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jadit\OneDrive\Desktop\BalanceSheetProject\ExcelFiles\"/>
    </mc:Choice>
  </mc:AlternateContent>
  <xr:revisionPtr revIDLastSave="0" documentId="13_ncr:1_{97DDE005-812A-491D-8970-F276B220E84D}" xr6:coauthVersionLast="47" xr6:coauthVersionMax="47" xr10:uidLastSave="{00000000-0000-0000-0000-000000000000}"/>
  <bookViews>
    <workbookView minimized="1" xWindow="2688" yWindow="2688" windowWidth="17280" windowHeight="8880" tabRatio="827" firstSheet="3" activeTab="3" xr2:uid="{00000000-000D-0000-FFFF-FFFF00000000}"/>
  </bookViews>
  <sheets>
    <sheet name="Glossary" sheetId="25" r:id="rId1"/>
    <sheet name="Validation" sheetId="26" r:id="rId2"/>
    <sheet name="Control Sheet" sheetId="13" r:id="rId3"/>
    <sheet name="Trial Balance" sheetId="16" r:id="rId4"/>
    <sheet name="Share Capital and WIP info" sheetId="20" r:id="rId5"/>
    <sheet name="Debtor&amp;Creditor Ageing Schedule" sheetId="24" r:id="rId6"/>
    <sheet name="PPE Data" sheetId="21" r:id="rId7"/>
    <sheet name="Intangible Asset Data" sheetId="23" r:id="rId8"/>
    <sheet name="Related Party Transaction" sheetId="28" r:id="rId9"/>
    <sheet name="Pivot Sheet" sheetId="22" r:id="rId10"/>
    <sheet name="Output&gt;&gt;&gt;&gt;" sheetId="27" r:id="rId11"/>
    <sheet name="BS" sheetId="1" r:id="rId12"/>
    <sheet name="PL" sheetId="2" r:id="rId13"/>
    <sheet name="CashFlow Statement" sheetId="3" r:id="rId14"/>
    <sheet name="Share Capital" sheetId="5" r:id="rId15"/>
    <sheet name="Promotors Listing" sheetId="11" state="hidden" r:id="rId16"/>
    <sheet name="BS Notes" sheetId="4" r:id="rId17"/>
    <sheet name="PPE &amp; Intangibles " sheetId="8" r:id="rId18"/>
    <sheet name="Support Sheet" sheetId="14" r:id="rId19"/>
    <sheet name="BS Notes " sheetId="6" r:id="rId20"/>
    <sheet name="PL Notes" sheetId="9" r:id="rId21"/>
    <sheet name="Additional Notes" sheetId="18" r:id="rId22"/>
    <sheet name="Ratio Analysis" sheetId="19" r:id="rId23"/>
    <sheet name="Related Party Transaction " sheetId="29" r:id="rId24"/>
    <sheet name="Rough." sheetId="12" state="hidden" r:id="rId25"/>
    <sheet name="Rough" sheetId="17" state="hidden" r:id="rId26"/>
    <sheet name="Depreciation Schedule" sheetId="7" state="hidden" r:id="rId27"/>
  </sheets>
  <definedNames>
    <definedName name="_xlnm._FilterDatabase" localSheetId="2" hidden="1">'Control Sheet'!$B$2:$D$18</definedName>
    <definedName name="_xlnm._FilterDatabase" localSheetId="18" hidden="1">'Support Sheet'!$J$2:$M$2</definedName>
    <definedName name="_xlnm._FilterDatabase" localSheetId="3" hidden="1">'Trial Balance'!$F$8:$I$50</definedName>
    <definedName name="_xlnm.Print_Area" localSheetId="21">'Additional Notes'!$B$1:$J$42</definedName>
    <definedName name="_xlnm.Print_Area" localSheetId="11">BS!$B$1:$F$73</definedName>
    <definedName name="_xlnm.Print_Area" localSheetId="16">'BS Notes'!$B$1:$H$129</definedName>
    <definedName name="_xlnm.Print_Area" localSheetId="19">'BS Notes '!$B$1:$I$76</definedName>
    <definedName name="_xlnm.Print_Area" localSheetId="13">'CashFlow Statement'!$B$1:$E$77</definedName>
    <definedName name="_xlnm.Print_Area" localSheetId="26">'Depreciation Schedule'!$A$1:$H$14</definedName>
    <definedName name="_xlnm.Print_Area" localSheetId="12">PL!$B$1:$E$64</definedName>
    <definedName name="_xlnm.Print_Area" localSheetId="20">'PL Notes'!$B$1:$F$129</definedName>
    <definedName name="_xlnm.Print_Area" localSheetId="17">'PPE &amp; Intangibles '!$B$1:$M$65</definedName>
    <definedName name="_xlnm.Print_Area" localSheetId="15">'Promotors Listing'!$A$1:$G$13</definedName>
    <definedName name="_xlnm.Print_Area" localSheetId="22">'Ratio Analysis'!$A$1:$I$63</definedName>
    <definedName name="_xlnm.Print_Area" localSheetId="14">'Share Capital'!$B$1:$G$75</definedName>
    <definedName name="_xlnm.Print_Area" localSheetId="3">'Trial Balance'!$A$1:$I$40</definedName>
    <definedName name="_xlnm.Print_Titles" localSheetId="16">'BS Notes'!$1:$7</definedName>
    <definedName name="_xlnm.Print_Titles" localSheetId="20">'PL Notes'!$1:$6</definedName>
  </definedNames>
  <calcPr calcId="191029"/>
  <pivotCaches>
    <pivotCache cacheId="2" r:id="rId28"/>
    <pivotCache cacheId="3" r:id="rId2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X26" i="14" l="1"/>
  <c r="FW26" i="14"/>
  <c r="FV26" i="14"/>
  <c r="FU26" i="14"/>
  <c r="FX2" i="14"/>
  <c r="FW2" i="14"/>
  <c r="FV2" i="14"/>
  <c r="FU2" i="14"/>
  <c r="BB3" i="14"/>
  <c r="AB113" i="9"/>
  <c r="AB112" i="9"/>
  <c r="AB107" i="9"/>
  <c r="BC4" i="14"/>
  <c r="BC3" i="14"/>
  <c r="BB4" i="14"/>
  <c r="DI26" i="14"/>
  <c r="DI2" i="14"/>
  <c r="GH26" i="14"/>
  <c r="GH2" i="14"/>
  <c r="AB106" i="9" l="1"/>
  <c r="CH26" i="14"/>
  <c r="CH2" i="14"/>
  <c r="DD26" i="14"/>
  <c r="DD2" i="14"/>
  <c r="GG26" i="14"/>
  <c r="GG2" i="14"/>
  <c r="EZ26" i="14" l="1"/>
  <c r="EZ2" i="14"/>
  <c r="EO26" i="14"/>
  <c r="EP26" i="14"/>
  <c r="ES26" i="14"/>
  <c r="ES2" i="14"/>
  <c r="EP2" i="14"/>
  <c r="EO2" i="14"/>
  <c r="EK26" i="14"/>
  <c r="EL26" i="14"/>
  <c r="EM26" i="14"/>
  <c r="EN26" i="14"/>
  <c r="EN2" i="14"/>
  <c r="EM2" i="14"/>
  <c r="EL2" i="14"/>
  <c r="EK2" i="14"/>
  <c r="DT26" i="14"/>
  <c r="DU26" i="14"/>
  <c r="DV26" i="14"/>
  <c r="DW26" i="14"/>
  <c r="DX26" i="14"/>
  <c r="DY26" i="14"/>
  <c r="DZ26" i="14"/>
  <c r="EA26" i="14"/>
  <c r="EB26" i="14"/>
  <c r="EC26" i="14"/>
  <c r="ED26" i="14"/>
  <c r="EE26" i="14"/>
  <c r="EF26" i="14"/>
  <c r="EG26" i="14"/>
  <c r="EH26" i="14"/>
  <c r="EI26" i="14"/>
  <c r="EJ26" i="14"/>
  <c r="EJ2" i="14"/>
  <c r="EI2" i="14"/>
  <c r="EH2" i="14"/>
  <c r="EG2" i="14"/>
  <c r="EF2" i="14"/>
  <c r="EE2" i="14"/>
  <c r="ED2" i="14"/>
  <c r="EC2" i="14"/>
  <c r="EB2" i="14"/>
  <c r="EA2" i="14"/>
  <c r="DZ2" i="14"/>
  <c r="DY2" i="14"/>
  <c r="DX2" i="14"/>
  <c r="DW2" i="14"/>
  <c r="DV2" i="14"/>
  <c r="DU2" i="14"/>
  <c r="DT2" i="14"/>
  <c r="DS26" i="14"/>
  <c r="DS2" i="14"/>
  <c r="DR26" i="14"/>
  <c r="DR2" i="14"/>
  <c r="DQ26" i="14"/>
  <c r="DQ2" i="14"/>
  <c r="DP26" i="14"/>
  <c r="DP2" i="14"/>
  <c r="DO26" i="14"/>
  <c r="DO2" i="14"/>
  <c r="DN26" i="14"/>
  <c r="DN2" i="14"/>
  <c r="DM26" i="14"/>
  <c r="DM2" i="14"/>
  <c r="DL26" i="14"/>
  <c r="DL2" i="14"/>
  <c r="DK26" i="14"/>
  <c r="DK2" i="14"/>
  <c r="GF26" i="14"/>
  <c r="GE26" i="14"/>
  <c r="GD26" i="14"/>
  <c r="GC26" i="14"/>
  <c r="GF2" i="14"/>
  <c r="GE2" i="14"/>
  <c r="GD2" i="14"/>
  <c r="GC2" i="14"/>
  <c r="DJ26" i="14"/>
  <c r="DJ2" i="14"/>
  <c r="BY26" i="14"/>
  <c r="BY2" i="14"/>
  <c r="GB26" i="14"/>
  <c r="GB2" i="14"/>
  <c r="GA2" i="14"/>
  <c r="GA26" i="14"/>
  <c r="FZ2" i="14"/>
  <c r="FZ26" i="14"/>
  <c r="FY2" i="14"/>
  <c r="FY26" i="14"/>
  <c r="AW4" i="14"/>
  <c r="AB67" i="6" l="1"/>
  <c r="AA6" i="14"/>
  <c r="AB59" i="6"/>
  <c r="AG9" i="14"/>
  <c r="AB35" i="6"/>
  <c r="AC9" i="14"/>
  <c r="AB25" i="6"/>
  <c r="AB15" i="6"/>
  <c r="AQ5" i="14"/>
  <c r="AB128" i="4"/>
  <c r="AI5" i="14"/>
  <c r="AK10" i="14"/>
  <c r="AB116" i="4"/>
  <c r="AX5" i="14"/>
  <c r="AB105" i="4"/>
  <c r="AB71" i="4"/>
  <c r="AV11" i="14"/>
  <c r="AB55" i="4"/>
  <c r="AJ4" i="14"/>
  <c r="AH14" i="14"/>
  <c r="AB41" i="4"/>
  <c r="AB16" i="4"/>
  <c r="AR9" i="14"/>
  <c r="N12" i="23"/>
  <c r="N12" i="21"/>
  <c r="E12" i="23"/>
  <c r="AB50" i="4"/>
  <c r="AB49" i="4"/>
  <c r="AP4" i="14"/>
  <c r="AP3" i="14"/>
  <c r="AB21" i="9"/>
  <c r="AB22" i="9"/>
  <c r="AB23" i="9"/>
  <c r="AO4" i="14"/>
  <c r="AO5" i="14"/>
  <c r="AO6" i="14"/>
  <c r="AO3" i="14"/>
  <c r="AB20" i="9"/>
  <c r="AB92" i="4"/>
  <c r="AB93" i="4"/>
  <c r="AB94" i="4"/>
  <c r="AB95" i="4"/>
  <c r="AB96" i="4"/>
  <c r="AB97" i="4"/>
  <c r="AB98" i="4"/>
  <c r="AB99" i="4"/>
  <c r="AB91" i="4"/>
  <c r="AM4" i="14"/>
  <c r="AM5" i="14"/>
  <c r="AM6" i="14"/>
  <c r="AM7" i="14"/>
  <c r="AM8" i="14"/>
  <c r="AM9" i="14"/>
  <c r="AM10" i="14"/>
  <c r="AM11" i="14"/>
  <c r="AM3" i="14"/>
  <c r="AL4" i="14"/>
  <c r="AL5" i="14"/>
  <c r="AL6" i="14"/>
  <c r="AL7" i="14"/>
  <c r="AL3" i="14"/>
  <c r="AB72" i="6"/>
  <c r="AB73" i="6"/>
  <c r="AB74" i="6"/>
  <c r="AB75" i="6"/>
  <c r="AB71" i="6"/>
  <c r="AB88" i="9"/>
  <c r="AB89" i="9"/>
  <c r="AB90" i="9"/>
  <c r="AB91" i="9"/>
  <c r="AB92" i="9"/>
  <c r="AB93" i="9"/>
  <c r="AB94" i="9"/>
  <c r="AB95" i="9"/>
  <c r="AB96" i="9"/>
  <c r="AB97" i="9"/>
  <c r="AB98" i="9"/>
  <c r="AB99" i="9"/>
  <c r="AB100" i="9"/>
  <c r="AB101" i="9"/>
  <c r="AB87" i="9"/>
  <c r="AB85" i="9"/>
  <c r="AB84" i="9"/>
  <c r="AN6" i="14"/>
  <c r="AN7" i="14"/>
  <c r="AN8" i="14"/>
  <c r="AN9" i="14"/>
  <c r="AN10" i="14"/>
  <c r="AN11" i="14"/>
  <c r="AN12" i="14"/>
  <c r="AN13" i="14"/>
  <c r="AN14" i="14"/>
  <c r="AN15" i="14"/>
  <c r="AN16" i="14"/>
  <c r="AN17" i="14"/>
  <c r="AN18" i="14"/>
  <c r="AN19" i="14"/>
  <c r="AN5" i="14"/>
  <c r="AN4" i="14"/>
  <c r="AN3" i="14"/>
  <c r="M24" i="23"/>
  <c r="M25" i="23"/>
  <c r="M26" i="23"/>
  <c r="M27" i="23"/>
  <c r="M28" i="23"/>
  <c r="M29" i="23"/>
  <c r="M30" i="23"/>
  <c r="M31" i="23"/>
  <c r="M32" i="23"/>
  <c r="M33" i="23"/>
  <c r="M34" i="23"/>
  <c r="M35" i="23"/>
  <c r="M36" i="23"/>
  <c r="M37" i="23"/>
  <c r="M38" i="23"/>
  <c r="M39" i="23"/>
  <c r="M40" i="23"/>
  <c r="M41" i="23"/>
  <c r="M42" i="23"/>
  <c r="M43" i="23"/>
  <c r="Q34" i="23"/>
  <c r="Q35" i="23"/>
  <c r="Q36" i="23"/>
  <c r="Q37" i="23"/>
  <c r="Q38" i="23"/>
  <c r="Q39" i="23"/>
  <c r="Q40" i="23"/>
  <c r="Q41" i="23"/>
  <c r="Q42" i="23"/>
  <c r="Q43" i="23"/>
  <c r="V43" i="23"/>
  <c r="W43" i="23"/>
  <c r="T24" i="23"/>
  <c r="T25" i="23"/>
  <c r="T26" i="23"/>
  <c r="T27" i="23"/>
  <c r="U27" i="23" s="1"/>
  <c r="T28" i="23"/>
  <c r="U28" i="23" s="1"/>
  <c r="T29" i="23"/>
  <c r="U29" i="23" s="1"/>
  <c r="T30" i="23"/>
  <c r="T31" i="23"/>
  <c r="T32" i="23"/>
  <c r="U32" i="23" s="1"/>
  <c r="T33" i="23"/>
  <c r="U33" i="23" s="1"/>
  <c r="T34" i="23"/>
  <c r="U34" i="23" s="1"/>
  <c r="T35" i="23"/>
  <c r="T36" i="23"/>
  <c r="T37" i="23"/>
  <c r="U37" i="23" s="1"/>
  <c r="T38" i="23"/>
  <c r="T39" i="23"/>
  <c r="T40" i="23"/>
  <c r="T41" i="23"/>
  <c r="T42" i="23"/>
  <c r="T43" i="23"/>
  <c r="U43" i="23" s="1"/>
  <c r="U24" i="23"/>
  <c r="V24" i="23"/>
  <c r="W24" i="23"/>
  <c r="U25" i="23"/>
  <c r="V25" i="23"/>
  <c r="W25" i="23"/>
  <c r="U26" i="23"/>
  <c r="V26" i="23"/>
  <c r="W26" i="23"/>
  <c r="V27" i="23"/>
  <c r="W27" i="23"/>
  <c r="V28" i="23"/>
  <c r="W28" i="23"/>
  <c r="V29" i="23"/>
  <c r="W29" i="23"/>
  <c r="U30" i="23"/>
  <c r="V30" i="23"/>
  <c r="W30" i="23"/>
  <c r="U31" i="23"/>
  <c r="V31" i="23"/>
  <c r="W31" i="23"/>
  <c r="V32" i="23"/>
  <c r="W32" i="23"/>
  <c r="V33" i="23"/>
  <c r="W33" i="23"/>
  <c r="V34" i="23"/>
  <c r="W34" i="23"/>
  <c r="U35" i="23"/>
  <c r="V35" i="23"/>
  <c r="W35" i="23"/>
  <c r="U36" i="23"/>
  <c r="V36" i="23"/>
  <c r="W36" i="23"/>
  <c r="V37" i="23"/>
  <c r="W37" i="23"/>
  <c r="U38" i="23"/>
  <c r="V38" i="23"/>
  <c r="W38" i="23"/>
  <c r="U39" i="23"/>
  <c r="V39" i="23"/>
  <c r="W39" i="23"/>
  <c r="U40" i="23"/>
  <c r="V40" i="23"/>
  <c r="W40" i="23"/>
  <c r="U41" i="23"/>
  <c r="V41" i="23"/>
  <c r="W41" i="23"/>
  <c r="U42" i="23"/>
  <c r="V42" i="23"/>
  <c r="W42" i="23"/>
  <c r="V23" i="21"/>
  <c r="V24" i="21"/>
  <c r="V25" i="21"/>
  <c r="V26" i="21"/>
  <c r="V27" i="21"/>
  <c r="V28" i="21"/>
  <c r="V29" i="21"/>
  <c r="V30" i="21"/>
  <c r="V31" i="21"/>
  <c r="V32" i="21"/>
  <c r="V33" i="21"/>
  <c r="V34" i="21"/>
  <c r="V35" i="21"/>
  <c r="V36" i="21"/>
  <c r="V37" i="21"/>
  <c r="V38" i="21"/>
  <c r="V39" i="21"/>
  <c r="V40" i="21"/>
  <c r="V41" i="21"/>
  <c r="V42" i="21"/>
  <c r="V43" i="21"/>
  <c r="R27" i="23" l="1"/>
  <c r="R42" i="23"/>
  <c r="R38" i="23"/>
  <c r="R34" i="23"/>
  <c r="R30" i="23"/>
  <c r="R26" i="23"/>
  <c r="R41" i="23"/>
  <c r="R37" i="23"/>
  <c r="R33" i="23"/>
  <c r="R29" i="23"/>
  <c r="R25" i="23"/>
  <c r="R40" i="23"/>
  <c r="R36" i="23"/>
  <c r="R32" i="23"/>
  <c r="R28" i="23"/>
  <c r="R24" i="23"/>
  <c r="R43" i="23"/>
  <c r="R39" i="23"/>
  <c r="R35" i="23"/>
  <c r="R31" i="23"/>
  <c r="J37" i="29"/>
  <c r="I37" i="29"/>
  <c r="J37" i="28"/>
  <c r="B14" i="29" l="1"/>
  <c r="B39" i="29" s="1"/>
  <c r="C14" i="29"/>
  <c r="B15" i="29"/>
  <c r="B40" i="29" s="1"/>
  <c r="C15" i="29"/>
  <c r="B16" i="29"/>
  <c r="B41" i="29" s="1"/>
  <c r="C16" i="29"/>
  <c r="B17" i="29"/>
  <c r="B42" i="29" s="1"/>
  <c r="C17" i="29"/>
  <c r="B18" i="29"/>
  <c r="C18" i="29"/>
  <c r="B19" i="29"/>
  <c r="B44" i="29" s="1"/>
  <c r="C19" i="29"/>
  <c r="B20" i="29"/>
  <c r="C20" i="29"/>
  <c r="B21" i="29"/>
  <c r="B46" i="29" s="1"/>
  <c r="C21" i="29"/>
  <c r="B22" i="29"/>
  <c r="B47" i="29" s="1"/>
  <c r="C22" i="29"/>
  <c r="B23" i="29"/>
  <c r="B48" i="29" s="1"/>
  <c r="C23" i="29"/>
  <c r="B24" i="29"/>
  <c r="C24" i="29"/>
  <c r="B25" i="29"/>
  <c r="B50" i="29" s="1"/>
  <c r="C25" i="29"/>
  <c r="B26" i="29"/>
  <c r="B51" i="29" s="1"/>
  <c r="C26" i="29"/>
  <c r="B27" i="29"/>
  <c r="B52" i="29" s="1"/>
  <c r="C27" i="29"/>
  <c r="B28" i="29"/>
  <c r="B53" i="29" s="1"/>
  <c r="C28" i="29"/>
  <c r="B29" i="29"/>
  <c r="B54" i="29" s="1"/>
  <c r="C29" i="29"/>
  <c r="B30" i="29"/>
  <c r="C30" i="29"/>
  <c r="B31" i="29"/>
  <c r="B56" i="29" s="1"/>
  <c r="C31" i="29"/>
  <c r="B32" i="29"/>
  <c r="C32" i="29"/>
  <c r="C13" i="29"/>
  <c r="B13" i="29"/>
  <c r="B38" i="29" s="1"/>
  <c r="B57" i="29"/>
  <c r="B55" i="29"/>
  <c r="B49" i="29"/>
  <c r="B45" i="29"/>
  <c r="B43" i="29"/>
  <c r="A39" i="29"/>
  <c r="A40" i="29" s="1"/>
  <c r="A41" i="29" s="1"/>
  <c r="A42" i="29" s="1"/>
  <c r="A43" i="29" s="1"/>
  <c r="A44" i="29" s="1"/>
  <c r="A45" i="29" s="1"/>
  <c r="A46" i="29" s="1"/>
  <c r="A47" i="29" s="1"/>
  <c r="A48" i="29" s="1"/>
  <c r="A49" i="29" s="1"/>
  <c r="A50" i="29" s="1"/>
  <c r="A51" i="29" s="1"/>
  <c r="A52" i="29" s="1"/>
  <c r="A53" i="29" s="1"/>
  <c r="A54" i="29" s="1"/>
  <c r="A55" i="29" s="1"/>
  <c r="A56" i="29" s="1"/>
  <c r="A57" i="29" s="1"/>
  <c r="H37" i="29"/>
  <c r="G37" i="29"/>
  <c r="F37" i="29"/>
  <c r="E37" i="29"/>
  <c r="D37" i="29"/>
  <c r="C37" i="29"/>
  <c r="A34" i="29"/>
  <c r="A14" i="29"/>
  <c r="A15" i="29" s="1"/>
  <c r="A16" i="29" s="1"/>
  <c r="A17" i="29" s="1"/>
  <c r="A18" i="29" s="1"/>
  <c r="A19" i="29" s="1"/>
  <c r="A20" i="29" s="1"/>
  <c r="A21" i="29" s="1"/>
  <c r="A22" i="29" s="1"/>
  <c r="A23" i="29" s="1"/>
  <c r="A24" i="29" s="1"/>
  <c r="A25" i="29" s="1"/>
  <c r="A26" i="29" s="1"/>
  <c r="A27" i="29" s="1"/>
  <c r="A28" i="29" s="1"/>
  <c r="A29" i="29" s="1"/>
  <c r="A30" i="29" s="1"/>
  <c r="A31" i="29" s="1"/>
  <c r="A32" i="29" s="1"/>
  <c r="A4" i="29"/>
  <c r="A3" i="29"/>
  <c r="A2" i="29"/>
  <c r="A1" i="29"/>
  <c r="A4" i="28"/>
  <c r="A3" i="28"/>
  <c r="A2" i="28"/>
  <c r="A1" i="28"/>
  <c r="B57" i="28"/>
  <c r="B39" i="28"/>
  <c r="B40" i="28"/>
  <c r="B41" i="28"/>
  <c r="B42" i="28"/>
  <c r="B43" i="28"/>
  <c r="B44" i="28"/>
  <c r="B45" i="28"/>
  <c r="B46" i="28"/>
  <c r="B47" i="28"/>
  <c r="B48" i="28"/>
  <c r="B49" i="28"/>
  <c r="B50" i="28"/>
  <c r="B51" i="28"/>
  <c r="B52" i="28"/>
  <c r="B53" i="28"/>
  <c r="B54" i="28"/>
  <c r="B55" i="28"/>
  <c r="B56" i="28"/>
  <c r="B38" i="28"/>
  <c r="I37" i="28"/>
  <c r="H37" i="28"/>
  <c r="G37" i="28"/>
  <c r="F37" i="28"/>
  <c r="E37" i="28"/>
  <c r="D37" i="28"/>
  <c r="C37" i="28"/>
  <c r="A5" i="19"/>
  <c r="A4" i="19"/>
  <c r="B4" i="18"/>
  <c r="B3" i="18"/>
  <c r="B4" i="9"/>
  <c r="B3" i="9"/>
  <c r="B4" i="6"/>
  <c r="B3" i="6"/>
  <c r="B4" i="8"/>
  <c r="B3" i="8"/>
  <c r="B4" i="4"/>
  <c r="B3" i="4"/>
  <c r="A34" i="28"/>
  <c r="BO34" i="14"/>
  <c r="BO31" i="14"/>
  <c r="BO32" i="14"/>
  <c r="BO29" i="14"/>
  <c r="BO9" i="14" l="1"/>
  <c r="J58" i="28"/>
  <c r="I58" i="28"/>
  <c r="H58" i="28"/>
  <c r="G58" i="28"/>
  <c r="F58" i="28"/>
  <c r="E58" i="28"/>
  <c r="D58" i="28"/>
  <c r="C58" i="28"/>
  <c r="A39" i="28"/>
  <c r="A40" i="28" s="1"/>
  <c r="A41" i="28" s="1"/>
  <c r="A42" i="28" s="1"/>
  <c r="A43" i="28" s="1"/>
  <c r="A44" i="28" s="1"/>
  <c r="A45" i="28" s="1"/>
  <c r="A46" i="28" s="1"/>
  <c r="A47" i="28" s="1"/>
  <c r="A48" i="28" s="1"/>
  <c r="A49" i="28" s="1"/>
  <c r="A50" i="28" s="1"/>
  <c r="A51" i="28" s="1"/>
  <c r="A52" i="28" s="1"/>
  <c r="A53" i="28" s="1"/>
  <c r="A54" i="28" s="1"/>
  <c r="A55" i="28" s="1"/>
  <c r="A56" i="28" s="1"/>
  <c r="A57" i="28" s="1"/>
  <c r="A14" i="28"/>
  <c r="A15" i="28" s="1"/>
  <c r="A16" i="28" s="1"/>
  <c r="A17" i="28" s="1"/>
  <c r="A18" i="28" s="1"/>
  <c r="A19" i="28" s="1"/>
  <c r="A20" i="28" s="1"/>
  <c r="A21" i="28" s="1"/>
  <c r="A22" i="28" s="1"/>
  <c r="A23" i="28" s="1"/>
  <c r="A24" i="28" s="1"/>
  <c r="A25" i="28" s="1"/>
  <c r="A26" i="28" s="1"/>
  <c r="A27" i="28" s="1"/>
  <c r="A28" i="28" s="1"/>
  <c r="A29" i="28" s="1"/>
  <c r="A30" i="28" s="1"/>
  <c r="A31" i="28" s="1"/>
  <c r="A32" i="28" s="1"/>
  <c r="BO8" i="14" l="1"/>
  <c r="R23" i="23" l="1"/>
  <c r="S23" i="23"/>
  <c r="T23" i="23" s="1"/>
  <c r="U23" i="23" s="1"/>
  <c r="V23" i="23"/>
  <c r="W23" i="23"/>
  <c r="M23" i="23"/>
  <c r="G23" i="23"/>
  <c r="H23" i="23" s="1"/>
  <c r="Q23" i="23" s="1"/>
  <c r="S21" i="21"/>
  <c r="T21" i="21" s="1"/>
  <c r="U21" i="21" s="1"/>
  <c r="V21" i="21"/>
  <c r="W21" i="21"/>
  <c r="M21" i="21"/>
  <c r="E73" i="3"/>
  <c r="D73" i="3"/>
  <c r="E58" i="2"/>
  <c r="D58" i="2"/>
  <c r="F67" i="1"/>
  <c r="E67" i="1"/>
  <c r="E5" i="24"/>
  <c r="D42" i="20"/>
  <c r="F111" i="9"/>
  <c r="E111" i="9"/>
  <c r="F105" i="9"/>
  <c r="E105" i="9"/>
  <c r="H119" i="4"/>
  <c r="G119" i="4"/>
  <c r="S4" i="24"/>
  <c r="S5" i="24"/>
  <c r="S6" i="24"/>
  <c r="S7" i="24"/>
  <c r="S8" i="24"/>
  <c r="S9" i="24"/>
  <c r="S10" i="24"/>
  <c r="S11" i="24"/>
  <c r="S12" i="24"/>
  <c r="S13" i="24"/>
  <c r="S14" i="24"/>
  <c r="S15" i="24"/>
  <c r="S16" i="24"/>
  <c r="S17" i="24"/>
  <c r="S18" i="24"/>
  <c r="S19" i="24"/>
  <c r="S20" i="24"/>
  <c r="S21" i="24"/>
  <c r="S22" i="24"/>
  <c r="S23" i="24"/>
  <c r="S24" i="24"/>
  <c r="S25" i="24"/>
  <c r="S26" i="24"/>
  <c r="S27" i="24"/>
  <c r="O5" i="24"/>
  <c r="O6" i="24"/>
  <c r="O7" i="24"/>
  <c r="O8" i="24"/>
  <c r="O9" i="24"/>
  <c r="O10" i="24"/>
  <c r="O11" i="24"/>
  <c r="O12" i="24"/>
  <c r="O13" i="24"/>
  <c r="O14" i="24"/>
  <c r="O15" i="24"/>
  <c r="O16" i="24"/>
  <c r="O17" i="24"/>
  <c r="O18" i="24"/>
  <c r="O19" i="24"/>
  <c r="O20" i="24"/>
  <c r="O21" i="24"/>
  <c r="O22" i="24"/>
  <c r="O23" i="24"/>
  <c r="O24" i="24"/>
  <c r="O25" i="24"/>
  <c r="O26" i="24"/>
  <c r="O27" i="24"/>
  <c r="O4" i="24"/>
  <c r="I4" i="24"/>
  <c r="I5" i="24"/>
  <c r="I6" i="24"/>
  <c r="I7" i="24"/>
  <c r="I8" i="24"/>
  <c r="I9" i="24"/>
  <c r="I10" i="24"/>
  <c r="I11" i="24"/>
  <c r="I12" i="24"/>
  <c r="I13" i="24"/>
  <c r="I14" i="24"/>
  <c r="I15" i="24"/>
  <c r="I16" i="24"/>
  <c r="I17" i="24"/>
  <c r="I18" i="24"/>
  <c r="I19" i="24"/>
  <c r="I20" i="24"/>
  <c r="I21" i="24"/>
  <c r="I22" i="24"/>
  <c r="I23" i="24"/>
  <c r="I24" i="24"/>
  <c r="I25" i="24"/>
  <c r="I26" i="24"/>
  <c r="I27" i="24"/>
  <c r="E4" i="24"/>
  <c r="E6" i="24"/>
  <c r="E7" i="24"/>
  <c r="E8" i="24"/>
  <c r="E9" i="24"/>
  <c r="E10" i="24"/>
  <c r="E11" i="24"/>
  <c r="E12" i="24"/>
  <c r="E13" i="24"/>
  <c r="E14" i="24"/>
  <c r="E15" i="24"/>
  <c r="E16" i="24"/>
  <c r="E17" i="24"/>
  <c r="E18" i="24"/>
  <c r="E19" i="24"/>
  <c r="E20" i="24"/>
  <c r="E21" i="24"/>
  <c r="E22" i="24"/>
  <c r="E23" i="24"/>
  <c r="E24" i="24"/>
  <c r="E25" i="24"/>
  <c r="E26" i="24"/>
  <c r="E27" i="24"/>
  <c r="U22" i="21"/>
  <c r="U23" i="21"/>
  <c r="U24" i="21"/>
  <c r="U25" i="21"/>
  <c r="U26" i="21"/>
  <c r="U27" i="21"/>
  <c r="U28" i="21"/>
  <c r="U29" i="21"/>
  <c r="U30" i="21"/>
  <c r="U31" i="21"/>
  <c r="U32" i="21"/>
  <c r="U33" i="21"/>
  <c r="U34" i="21"/>
  <c r="U35" i="21"/>
  <c r="U36" i="21"/>
  <c r="U37" i="21"/>
  <c r="U38" i="21"/>
  <c r="U39" i="21"/>
  <c r="U40" i="21"/>
  <c r="U41" i="21"/>
  <c r="U42" i="21"/>
  <c r="U43" i="21"/>
  <c r="R15" i="23"/>
  <c r="V15" i="23"/>
  <c r="R16" i="23"/>
  <c r="V16" i="23"/>
  <c r="R17" i="23"/>
  <c r="V17" i="23"/>
  <c r="R18" i="23"/>
  <c r="V18" i="23"/>
  <c r="R19" i="23"/>
  <c r="V19" i="23"/>
  <c r="R20" i="23"/>
  <c r="V20" i="23"/>
  <c r="R21" i="23"/>
  <c r="V21" i="23"/>
  <c r="R22" i="23"/>
  <c r="V22" i="23"/>
  <c r="Q24" i="23"/>
  <c r="Q25" i="23"/>
  <c r="Q26" i="23"/>
  <c r="Q27" i="23"/>
  <c r="Q28" i="23"/>
  <c r="Q29" i="23"/>
  <c r="Q30" i="23"/>
  <c r="Q31" i="23"/>
  <c r="Q32" i="23"/>
  <c r="Q33" i="23"/>
  <c r="V14" i="23"/>
  <c r="W14" i="21"/>
  <c r="W15" i="21"/>
  <c r="W16" i="21"/>
  <c r="W17" i="21"/>
  <c r="W18" i="21"/>
  <c r="W19" i="21"/>
  <c r="W20" i="21"/>
  <c r="W22" i="21"/>
  <c r="W23" i="21"/>
  <c r="W24" i="21"/>
  <c r="W25" i="21"/>
  <c r="W26" i="21"/>
  <c r="W27" i="21"/>
  <c r="W28" i="21"/>
  <c r="W29" i="21"/>
  <c r="W30" i="21"/>
  <c r="W31" i="21"/>
  <c r="W32" i="21"/>
  <c r="W33" i="21"/>
  <c r="W34" i="21"/>
  <c r="W35" i="21"/>
  <c r="W36" i="21"/>
  <c r="W37" i="21"/>
  <c r="W38" i="21"/>
  <c r="W39" i="21"/>
  <c r="W40" i="21"/>
  <c r="W41" i="21"/>
  <c r="W42" i="21"/>
  <c r="W43" i="21"/>
  <c r="V15" i="21"/>
  <c r="V16" i="21"/>
  <c r="V17" i="21"/>
  <c r="V18" i="21"/>
  <c r="V19" i="21"/>
  <c r="V20" i="21"/>
  <c r="V22" i="21"/>
  <c r="V14" i="21"/>
  <c r="S14" i="21"/>
  <c r="E12" i="21"/>
  <c r="B9" i="26"/>
  <c r="E5" i="16"/>
  <c r="E4" i="16"/>
  <c r="D5" i="16"/>
  <c r="D4" i="16"/>
  <c r="B75" i="3"/>
  <c r="B60" i="2"/>
  <c r="B69" i="1"/>
  <c r="D19" i="13"/>
  <c r="G21" i="21" l="1"/>
  <c r="H21" i="21" s="1"/>
  <c r="Q21" i="21" s="1"/>
  <c r="G23" i="21"/>
  <c r="H23" i="21" s="1"/>
  <c r="G28" i="21"/>
  <c r="H28" i="21" s="1"/>
  <c r="G31" i="21"/>
  <c r="H31" i="21" s="1"/>
  <c r="G36" i="21"/>
  <c r="H36" i="21" s="1"/>
  <c r="G39" i="21"/>
  <c r="H39" i="21" s="1"/>
  <c r="G26" i="21"/>
  <c r="H26" i="21" s="1"/>
  <c r="G29" i="21"/>
  <c r="H29" i="21" s="1"/>
  <c r="G34" i="21"/>
  <c r="H34" i="21" s="1"/>
  <c r="G37" i="21"/>
  <c r="H37" i="21" s="1"/>
  <c r="G42" i="21"/>
  <c r="H42" i="21" s="1"/>
  <c r="G24" i="21"/>
  <c r="H24" i="21" s="1"/>
  <c r="G27" i="21"/>
  <c r="H27" i="21" s="1"/>
  <c r="G32" i="21"/>
  <c r="H32" i="21" s="1"/>
  <c r="G35" i="21"/>
  <c r="H35" i="21" s="1"/>
  <c r="G40" i="21"/>
  <c r="H40" i="21" s="1"/>
  <c r="G43" i="21"/>
  <c r="H43" i="21" s="1"/>
  <c r="G22" i="21"/>
  <c r="H22" i="21" s="1"/>
  <c r="G25" i="21"/>
  <c r="H25" i="21" s="1"/>
  <c r="G30" i="21"/>
  <c r="H30" i="21" s="1"/>
  <c r="G33" i="21"/>
  <c r="H33" i="21" s="1"/>
  <c r="G38" i="21"/>
  <c r="H38" i="21" s="1"/>
  <c r="G41" i="21"/>
  <c r="H41" i="21" s="1"/>
  <c r="D6" i="16"/>
  <c r="E6" i="16"/>
  <c r="R21" i="21"/>
  <c r="B15" i="26"/>
  <c r="B16" i="26"/>
  <c r="D10" i="20"/>
  <c r="D9" i="20"/>
  <c r="D8" i="20"/>
  <c r="D7" i="20"/>
  <c r="D6" i="20"/>
  <c r="D5" i="20"/>
  <c r="G13" i="7"/>
  <c r="F13" i="7"/>
  <c r="E13" i="7"/>
  <c r="D13" i="7"/>
  <c r="C13" i="7"/>
  <c r="A3" i="19"/>
  <c r="A2" i="19"/>
  <c r="B2" i="18"/>
  <c r="B1" i="18"/>
  <c r="C64" i="8"/>
  <c r="C63" i="8"/>
  <c r="B58" i="8"/>
  <c r="C50" i="8"/>
  <c r="C49" i="8"/>
  <c r="B6" i="8"/>
  <c r="B2" i="8"/>
  <c r="B1" i="8"/>
  <c r="C129" i="9"/>
  <c r="F127" i="9"/>
  <c r="E127" i="9"/>
  <c r="F125" i="9"/>
  <c r="E125" i="9"/>
  <c r="F118" i="9"/>
  <c r="E118" i="9"/>
  <c r="B101" i="9"/>
  <c r="F82" i="9"/>
  <c r="E82" i="9"/>
  <c r="F74" i="9"/>
  <c r="E74" i="9"/>
  <c r="F66" i="9"/>
  <c r="E66" i="9"/>
  <c r="F50" i="9"/>
  <c r="E50" i="9"/>
  <c r="F44" i="9"/>
  <c r="E44" i="9"/>
  <c r="F27" i="9"/>
  <c r="E27" i="9"/>
  <c r="F19" i="9"/>
  <c r="E19" i="9"/>
  <c r="F10" i="9"/>
  <c r="E10" i="9"/>
  <c r="B6" i="9"/>
  <c r="B2" i="9"/>
  <c r="B1" i="9"/>
  <c r="I70" i="6"/>
  <c r="H70" i="6"/>
  <c r="I62" i="6"/>
  <c r="H62" i="6"/>
  <c r="I55" i="6"/>
  <c r="H55" i="6"/>
  <c r="C48" i="6"/>
  <c r="C41" i="6"/>
  <c r="B35" i="6"/>
  <c r="B34" i="6"/>
  <c r="I28" i="6"/>
  <c r="H28" i="6"/>
  <c r="I18" i="6"/>
  <c r="H18" i="6"/>
  <c r="I9" i="6"/>
  <c r="H9" i="6"/>
  <c r="B6" i="6"/>
  <c r="B2" i="6"/>
  <c r="B1" i="6"/>
  <c r="H122" i="4"/>
  <c r="G122" i="4"/>
  <c r="H108" i="4"/>
  <c r="G108" i="4"/>
  <c r="H102" i="4"/>
  <c r="G102" i="4"/>
  <c r="B97" i="4"/>
  <c r="H90" i="4"/>
  <c r="G90" i="4"/>
  <c r="C83" i="4"/>
  <c r="C76" i="4"/>
  <c r="H58" i="4"/>
  <c r="G58" i="4"/>
  <c r="H53" i="4"/>
  <c r="G53" i="4"/>
  <c r="H48" i="4"/>
  <c r="G48" i="4"/>
  <c r="H44" i="4"/>
  <c r="G44" i="4"/>
  <c r="H25" i="4"/>
  <c r="G25" i="4"/>
  <c r="H9" i="4"/>
  <c r="G9" i="4"/>
  <c r="B6" i="4"/>
  <c r="B2" i="4"/>
  <c r="B1" i="4"/>
  <c r="B68" i="5"/>
  <c r="C68" i="5" s="1"/>
  <c r="D68" i="5" s="1"/>
  <c r="B67" i="5"/>
  <c r="E67" i="5" s="1"/>
  <c r="F67" i="5" s="1"/>
  <c r="B66" i="5"/>
  <c r="C66" i="5" s="1"/>
  <c r="D66" i="5" s="1"/>
  <c r="B65" i="5"/>
  <c r="E65" i="5" s="1"/>
  <c r="F65" i="5" s="1"/>
  <c r="B64" i="5"/>
  <c r="C64" i="5" s="1"/>
  <c r="D64" i="5" s="1"/>
  <c r="B63" i="5"/>
  <c r="E63" i="5" s="1"/>
  <c r="F63" i="5" s="1"/>
  <c r="B62" i="5"/>
  <c r="C62" i="5" s="1"/>
  <c r="D62" i="5" s="1"/>
  <c r="B61" i="5"/>
  <c r="E61" i="5" s="1"/>
  <c r="F61" i="5" s="1"/>
  <c r="B60" i="5"/>
  <c r="C60" i="5" s="1"/>
  <c r="D60" i="5" s="1"/>
  <c r="B59" i="5"/>
  <c r="E59" i="5" s="1"/>
  <c r="F59" i="5" s="1"/>
  <c r="E57" i="5"/>
  <c r="C57" i="5"/>
  <c r="F52" i="5"/>
  <c r="E52" i="5"/>
  <c r="D52" i="5"/>
  <c r="B51" i="5"/>
  <c r="F48" i="5"/>
  <c r="E48" i="5"/>
  <c r="B47" i="5"/>
  <c r="B45" i="5"/>
  <c r="B37" i="5"/>
  <c r="D37" i="5" s="1"/>
  <c r="E37" i="5" s="1"/>
  <c r="B36" i="5"/>
  <c r="F36" i="5" s="1"/>
  <c r="G36" i="5" s="1"/>
  <c r="B35" i="5"/>
  <c r="F35" i="5" s="1"/>
  <c r="G35" i="5" s="1"/>
  <c r="B34" i="5"/>
  <c r="D34" i="5" s="1"/>
  <c r="E34" i="5" s="1"/>
  <c r="B33" i="5"/>
  <c r="D33" i="5" s="1"/>
  <c r="E33" i="5" s="1"/>
  <c r="B32" i="5"/>
  <c r="F32" i="5" s="1"/>
  <c r="G32" i="5" s="1"/>
  <c r="B31" i="5"/>
  <c r="F31" i="5" s="1"/>
  <c r="G31" i="5" s="1"/>
  <c r="B30" i="5"/>
  <c r="D30" i="5" s="1"/>
  <c r="E30" i="5" s="1"/>
  <c r="B29" i="5"/>
  <c r="D29" i="5" s="1"/>
  <c r="E29" i="5" s="1"/>
  <c r="B28" i="5"/>
  <c r="F28" i="5" s="1"/>
  <c r="G28" i="5" s="1"/>
  <c r="B27" i="5"/>
  <c r="F25" i="5"/>
  <c r="D25" i="5"/>
  <c r="B21" i="5"/>
  <c r="B17" i="5"/>
  <c r="B16" i="5"/>
  <c r="B13" i="5"/>
  <c r="B12" i="5"/>
  <c r="G10" i="5"/>
  <c r="F10" i="5"/>
  <c r="B6" i="5"/>
  <c r="B4" i="5"/>
  <c r="B3" i="5"/>
  <c r="B2" i="5"/>
  <c r="B1" i="5"/>
  <c r="B77" i="3"/>
  <c r="B76" i="3"/>
  <c r="B73" i="3"/>
  <c r="E71" i="3"/>
  <c r="D71" i="3"/>
  <c r="B71" i="3"/>
  <c r="D66" i="3"/>
  <c r="E9" i="3"/>
  <c r="D9" i="3"/>
  <c r="B6" i="3"/>
  <c r="B4" i="3"/>
  <c r="B3" i="3"/>
  <c r="B2" i="3"/>
  <c r="B1" i="3"/>
  <c r="B63" i="2"/>
  <c r="B62" i="2"/>
  <c r="B58" i="2"/>
  <c r="E56" i="2"/>
  <c r="D56" i="2"/>
  <c r="B56" i="2"/>
  <c r="D51" i="2"/>
  <c r="E10" i="2"/>
  <c r="D10" i="2"/>
  <c r="B6" i="2"/>
  <c r="B4" i="2"/>
  <c r="B3" i="2"/>
  <c r="B2" i="2"/>
  <c r="B1" i="2"/>
  <c r="B72" i="1"/>
  <c r="B71" i="1"/>
  <c r="B67" i="1"/>
  <c r="F65" i="1"/>
  <c r="E65" i="1"/>
  <c r="B65" i="1"/>
  <c r="E60" i="1"/>
  <c r="D15" i="1"/>
  <c r="D21" i="1" s="1"/>
  <c r="D22" i="1" s="1"/>
  <c r="D23" i="1" s="1"/>
  <c r="D24" i="1" s="1"/>
  <c r="D27" i="1" s="1"/>
  <c r="D28" i="1" s="1"/>
  <c r="D31" i="1" s="1"/>
  <c r="D32" i="1" s="1"/>
  <c r="D38" i="1" s="1"/>
  <c r="F10" i="1"/>
  <c r="E10" i="1"/>
  <c r="B6" i="1"/>
  <c r="B4" i="1"/>
  <c r="B3" i="1"/>
  <c r="B2" i="1"/>
  <c r="B1" i="1"/>
  <c r="M22" i="23"/>
  <c r="G22" i="23"/>
  <c r="H22" i="23" s="1"/>
  <c r="M21" i="23"/>
  <c r="G21" i="23"/>
  <c r="H21" i="23" s="1"/>
  <c r="M20" i="23"/>
  <c r="G20" i="23"/>
  <c r="H20" i="23" s="1"/>
  <c r="M19" i="23"/>
  <c r="G19" i="23"/>
  <c r="H19" i="23" s="1"/>
  <c r="M18" i="23"/>
  <c r="G18" i="23"/>
  <c r="H18" i="23" s="1"/>
  <c r="M17" i="23"/>
  <c r="G17" i="23"/>
  <c r="H17" i="23" s="1"/>
  <c r="Q17" i="23" s="1"/>
  <c r="S17" i="23" s="1"/>
  <c r="T17" i="23" s="1"/>
  <c r="M16" i="23"/>
  <c r="G16" i="23"/>
  <c r="H16" i="23" s="1"/>
  <c r="M15" i="23"/>
  <c r="G15" i="23"/>
  <c r="H15" i="23" s="1"/>
  <c r="R14" i="23"/>
  <c r="M14" i="23"/>
  <c r="G14" i="23"/>
  <c r="H14" i="23" s="1"/>
  <c r="R20" i="21"/>
  <c r="M20" i="21"/>
  <c r="G20" i="21"/>
  <c r="H20" i="21" s="1"/>
  <c r="R19" i="21"/>
  <c r="M19" i="21"/>
  <c r="G19" i="21"/>
  <c r="H19" i="21" s="1"/>
  <c r="Q19" i="21" s="1"/>
  <c r="R18" i="21"/>
  <c r="M18" i="21"/>
  <c r="G18" i="21"/>
  <c r="H18" i="21" s="1"/>
  <c r="R17" i="21"/>
  <c r="M17" i="21"/>
  <c r="G17" i="21"/>
  <c r="H17" i="21" s="1"/>
  <c r="R16" i="21"/>
  <c r="M16" i="21"/>
  <c r="G16" i="21"/>
  <c r="H16" i="21" s="1"/>
  <c r="Q16" i="21" s="1"/>
  <c r="S15" i="21"/>
  <c r="R15" i="21"/>
  <c r="M15" i="21"/>
  <c r="G15" i="21"/>
  <c r="H15" i="21" s="1"/>
  <c r="Q15" i="21" s="1"/>
  <c r="R14" i="21"/>
  <c r="M14" i="21"/>
  <c r="G14" i="21"/>
  <c r="H14" i="21" s="1"/>
  <c r="C21" i="14"/>
  <c r="C20" i="14"/>
  <c r="C19" i="14"/>
  <c r="C18" i="14"/>
  <c r="C17" i="14"/>
  <c r="B100" i="9" s="1"/>
  <c r="C16" i="14"/>
  <c r="B99" i="9" s="1"/>
  <c r="C15" i="14"/>
  <c r="B98" i="9" s="1"/>
  <c r="C14" i="14"/>
  <c r="B97" i="9" s="1"/>
  <c r="C13" i="14"/>
  <c r="B96" i="9" s="1"/>
  <c r="C12" i="14"/>
  <c r="B95" i="9" s="1"/>
  <c r="C11" i="14"/>
  <c r="B41" i="4" s="1"/>
  <c r="C10" i="14"/>
  <c r="B93" i="9" s="1"/>
  <c r="C9" i="14"/>
  <c r="C8" i="14"/>
  <c r="B33" i="8" s="1"/>
  <c r="C7" i="14"/>
  <c r="B16" i="8" s="1"/>
  <c r="C6" i="14"/>
  <c r="B113" i="4" s="1"/>
  <c r="C5" i="14"/>
  <c r="A8" i="23" s="1"/>
  <c r="C4" i="14"/>
  <c r="B111" i="4" s="1"/>
  <c r="C3" i="14"/>
  <c r="B30" i="6" s="1"/>
  <c r="C2" i="14"/>
  <c r="B49" i="4" s="1"/>
  <c r="E8" i="16"/>
  <c r="D8" i="16"/>
  <c r="F69" i="20"/>
  <c r="B69" i="20"/>
  <c r="B65" i="20"/>
  <c r="B47" i="20"/>
  <c r="B46" i="20"/>
  <c r="B44" i="20"/>
  <c r="B43" i="20"/>
  <c r="B31" i="20"/>
  <c r="B32" i="20" s="1"/>
  <c r="B33" i="20" s="1"/>
  <c r="B34" i="20" s="1"/>
  <c r="B35" i="20" s="1"/>
  <c r="B36" i="20" s="1"/>
  <c r="B37" i="20" s="1"/>
  <c r="B38" i="20" s="1"/>
  <c r="B39" i="20" s="1"/>
  <c r="E29" i="20"/>
  <c r="D29" i="20"/>
  <c r="B17" i="20"/>
  <c r="B18" i="20" s="1"/>
  <c r="B19" i="20" s="1"/>
  <c r="B20" i="20" s="1"/>
  <c r="B21" i="20" s="1"/>
  <c r="B22" i="20" s="1"/>
  <c r="B23" i="20" s="1"/>
  <c r="B24" i="20" s="1"/>
  <c r="B25" i="20" s="1"/>
  <c r="E15" i="20"/>
  <c r="D15" i="20"/>
  <c r="D17" i="13"/>
  <c r="D16" i="13"/>
  <c r="D15" i="13"/>
  <c r="D14" i="13"/>
  <c r="D13" i="13"/>
  <c r="D12" i="13"/>
  <c r="D11" i="13"/>
  <c r="D10" i="13"/>
  <c r="D9" i="13"/>
  <c r="D8" i="13"/>
  <c r="D7" i="13"/>
  <c r="D6" i="13"/>
  <c r="D5" i="13"/>
  <c r="D4" i="13"/>
  <c r="D3" i="13"/>
  <c r="D39" i="1" l="1"/>
  <c r="D40" i="1" s="1"/>
  <c r="D41" i="1" s="1"/>
  <c r="D42" i="1" s="1"/>
  <c r="D43" i="1" s="1"/>
  <c r="D44" i="1" s="1"/>
  <c r="D45" i="1" s="1"/>
  <c r="D48" i="1" s="1"/>
  <c r="D49" i="1" s="1"/>
  <c r="D50" i="1" s="1"/>
  <c r="D51" i="1" s="1"/>
  <c r="D52" i="1" s="1"/>
  <c r="D53" i="1" s="1"/>
  <c r="C11" i="2" s="1"/>
  <c r="C12" i="2" s="1"/>
  <c r="C16" i="2" s="1"/>
  <c r="C17" i="2" s="1"/>
  <c r="C18" i="2" s="1"/>
  <c r="C22" i="2" s="1"/>
  <c r="C23" i="2" s="1"/>
  <c r="C25" i="2" s="1"/>
  <c r="C29" i="2" s="1"/>
  <c r="C31" i="2" s="1"/>
  <c r="C37" i="2" s="1"/>
  <c r="C24" i="2"/>
  <c r="B104" i="4"/>
  <c r="B42" i="6"/>
  <c r="F70" i="20"/>
  <c r="B15" i="6"/>
  <c r="B44" i="6"/>
  <c r="B69" i="4"/>
  <c r="B8" i="18"/>
  <c r="B49" i="6"/>
  <c r="B79" i="20"/>
  <c r="B24" i="6"/>
  <c r="B29" i="8"/>
  <c r="A7" i="23"/>
  <c r="B105" i="4"/>
  <c r="B20" i="6"/>
  <c r="B80" i="20"/>
  <c r="B114" i="4"/>
  <c r="B25" i="6"/>
  <c r="B57" i="6"/>
  <c r="B76" i="9"/>
  <c r="B120" i="4"/>
  <c r="B106" i="9"/>
  <c r="B112" i="9"/>
  <c r="A5" i="23"/>
  <c r="B43" i="6"/>
  <c r="F77" i="20"/>
  <c r="A9" i="23"/>
  <c r="A9" i="21"/>
  <c r="B69" i="9"/>
  <c r="B15" i="4"/>
  <c r="B70" i="9"/>
  <c r="F79" i="20"/>
  <c r="B86" i="4"/>
  <c r="B20" i="9"/>
  <c r="F62" i="20"/>
  <c r="B83" i="20"/>
  <c r="B31" i="4"/>
  <c r="B115" i="4"/>
  <c r="B58" i="6"/>
  <c r="B77" i="9"/>
  <c r="B13" i="8"/>
  <c r="B30" i="9"/>
  <c r="B17" i="8"/>
  <c r="B64" i="8"/>
  <c r="B13" i="9"/>
  <c r="B93" i="4"/>
  <c r="B32" i="9"/>
  <c r="B30" i="8"/>
  <c r="B44" i="8"/>
  <c r="B107" i="9"/>
  <c r="A6" i="23"/>
  <c r="B113" i="9"/>
  <c r="B10" i="4"/>
  <c r="B11" i="4"/>
  <c r="B78" i="20"/>
  <c r="B12" i="4"/>
  <c r="F78" i="20"/>
  <c r="B110" i="4"/>
  <c r="B16" i="4"/>
  <c r="B21" i="6"/>
  <c r="B38" i="4"/>
  <c r="F63" i="20"/>
  <c r="B84" i="20"/>
  <c r="B64" i="20"/>
  <c r="F84" i="20"/>
  <c r="B95" i="4"/>
  <c r="B128" i="4"/>
  <c r="B31" i="6"/>
  <c r="B63" i="6"/>
  <c r="B36" i="9"/>
  <c r="B84" i="9"/>
  <c r="B70" i="20"/>
  <c r="B63" i="20"/>
  <c r="F83" i="20"/>
  <c r="G66" i="5"/>
  <c r="B92" i="4"/>
  <c r="F64" i="20"/>
  <c r="B96" i="4"/>
  <c r="B33" i="6"/>
  <c r="B38" i="9"/>
  <c r="W17" i="23"/>
  <c r="U17" i="23"/>
  <c r="S15" i="23"/>
  <c r="T15" i="23" s="1"/>
  <c r="Q15" i="23"/>
  <c r="Q19" i="23"/>
  <c r="S19" i="23" s="1"/>
  <c r="T19" i="23" s="1"/>
  <c r="S21" i="23"/>
  <c r="T21" i="23" s="1"/>
  <c r="Q21" i="23"/>
  <c r="Q16" i="23"/>
  <c r="S16" i="23" s="1"/>
  <c r="T16" i="23" s="1"/>
  <c r="Q18" i="23"/>
  <c r="S18" i="23"/>
  <c r="T18" i="23" s="1"/>
  <c r="Q20" i="23"/>
  <c r="S20" i="23"/>
  <c r="T20" i="23" s="1"/>
  <c r="S22" i="23"/>
  <c r="T22" i="23" s="1"/>
  <c r="Q22" i="23"/>
  <c r="Q18" i="21"/>
  <c r="Q14" i="21"/>
  <c r="B35" i="9"/>
  <c r="B29" i="9"/>
  <c r="B56" i="6"/>
  <c r="B19" i="6"/>
  <c r="B103" i="4"/>
  <c r="B82" i="20"/>
  <c r="B77" i="20"/>
  <c r="B68" i="20"/>
  <c r="B62" i="20"/>
  <c r="B63" i="8"/>
  <c r="B43" i="8"/>
  <c r="B11" i="8"/>
  <c r="B67" i="9"/>
  <c r="B11" i="9"/>
  <c r="B10" i="6"/>
  <c r="B123" i="4"/>
  <c r="B84" i="4"/>
  <c r="B45" i="4"/>
  <c r="B27" i="4"/>
  <c r="B27" i="8"/>
  <c r="B49" i="8"/>
  <c r="B45" i="6"/>
  <c r="B32" i="6"/>
  <c r="B112" i="4"/>
  <c r="B94" i="4"/>
  <c r="B13" i="4"/>
  <c r="B39" i="9"/>
  <c r="B33" i="9"/>
  <c r="B59" i="6"/>
  <c r="B22" i="6"/>
  <c r="F85" i="20"/>
  <c r="F80" i="20"/>
  <c r="F71" i="20"/>
  <c r="F65" i="20"/>
  <c r="B116" i="4"/>
  <c r="B98" i="4"/>
  <c r="B17" i="4"/>
  <c r="B33" i="4"/>
  <c r="B91" i="4"/>
  <c r="B29" i="6"/>
  <c r="B52" i="6"/>
  <c r="B14" i="9"/>
  <c r="B23" i="9"/>
  <c r="B88" i="9"/>
  <c r="B34" i="8"/>
  <c r="B57" i="8"/>
  <c r="F68" i="20"/>
  <c r="F82" i="20"/>
  <c r="B23" i="6"/>
  <c r="B15" i="8"/>
  <c r="B15" i="9"/>
  <c r="B34" i="4"/>
  <c r="B31" i="8"/>
  <c r="B40" i="4"/>
  <c r="B35" i="8"/>
  <c r="A5" i="21"/>
  <c r="B60" i="4"/>
  <c r="B77" i="4"/>
  <c r="B87" i="4"/>
  <c r="B109" i="4"/>
  <c r="B45" i="9"/>
  <c r="B89" i="9"/>
  <c r="B14" i="8"/>
  <c r="B71" i="20"/>
  <c r="B85" i="20"/>
  <c r="A8" i="21"/>
  <c r="B14" i="4"/>
  <c r="B39" i="4"/>
  <c r="B54" i="4"/>
  <c r="B68" i="4"/>
  <c r="B80" i="4"/>
  <c r="B99" i="4"/>
  <c r="B75" i="9"/>
  <c r="B92" i="9"/>
  <c r="A6" i="21"/>
  <c r="B50" i="4"/>
  <c r="B55" i="4"/>
  <c r="B63" i="4"/>
  <c r="B70" i="4"/>
  <c r="B78" i="4"/>
  <c r="B50" i="6"/>
  <c r="B67" i="6"/>
  <c r="B21" i="9"/>
  <c r="B85" i="9"/>
  <c r="B90" i="9"/>
  <c r="B94" i="9"/>
  <c r="B28" i="8"/>
  <c r="B32" i="8"/>
  <c r="B50" i="8"/>
  <c r="A7" i="21"/>
  <c r="B28" i="4"/>
  <c r="B37" i="4"/>
  <c r="B65" i="4"/>
  <c r="B71" i="4"/>
  <c r="B79" i="4"/>
  <c r="B85" i="4"/>
  <c r="B127" i="4"/>
  <c r="B14" i="6"/>
  <c r="B51" i="6"/>
  <c r="B12" i="9"/>
  <c r="B22" i="9"/>
  <c r="B68" i="9"/>
  <c r="B87" i="9"/>
  <c r="B91" i="9"/>
  <c r="B12" i="8"/>
  <c r="Q14" i="23"/>
  <c r="S14" i="23" s="1"/>
  <c r="T15" i="21"/>
  <c r="U15" i="21" s="1"/>
  <c r="Q17" i="21"/>
  <c r="S17" i="21" s="1"/>
  <c r="S20" i="21"/>
  <c r="Q20" i="21"/>
  <c r="S18" i="21"/>
  <c r="T18" i="21" s="1"/>
  <c r="U18" i="21" s="1"/>
  <c r="S16" i="21"/>
  <c r="T16" i="21" s="1"/>
  <c r="U16" i="21" s="1"/>
  <c r="S19" i="21"/>
  <c r="T14" i="21"/>
  <c r="U14" i="21" s="1"/>
  <c r="F30" i="5"/>
  <c r="G30" i="5" s="1"/>
  <c r="C63" i="5"/>
  <c r="D63" i="5" s="1"/>
  <c r="G63" i="5" s="1"/>
  <c r="C61" i="5"/>
  <c r="D61" i="5" s="1"/>
  <c r="G61" i="5" s="1"/>
  <c r="D31" i="5"/>
  <c r="E31" i="5" s="1"/>
  <c r="C59" i="5"/>
  <c r="D59" i="5" s="1"/>
  <c r="G59" i="5" s="1"/>
  <c r="C67" i="5"/>
  <c r="D67" i="5" s="1"/>
  <c r="G67" i="5" s="1"/>
  <c r="C65" i="5"/>
  <c r="D65" i="5" s="1"/>
  <c r="G65" i="5" s="1"/>
  <c r="F29" i="5"/>
  <c r="G29" i="5" s="1"/>
  <c r="F33" i="5"/>
  <c r="G33" i="5" s="1"/>
  <c r="F34" i="5"/>
  <c r="G34" i="5" s="1"/>
  <c r="F37" i="5"/>
  <c r="G37" i="5" s="1"/>
  <c r="E60" i="5"/>
  <c r="F60" i="5" s="1"/>
  <c r="G60" i="5" s="1"/>
  <c r="E62" i="5"/>
  <c r="F62" i="5" s="1"/>
  <c r="G62" i="5" s="1"/>
  <c r="E64" i="5"/>
  <c r="F64" i="5" s="1"/>
  <c r="G64" i="5" s="1"/>
  <c r="E66" i="5"/>
  <c r="F66" i="5" s="1"/>
  <c r="E68" i="5"/>
  <c r="F68" i="5" s="1"/>
  <c r="G68" i="5" s="1"/>
  <c r="D35" i="5"/>
  <c r="E35" i="5" s="1"/>
  <c r="G52" i="5"/>
  <c r="D48" i="5" s="1"/>
  <c r="G48" i="5" s="1"/>
  <c r="D28" i="5"/>
  <c r="E28" i="5" s="1"/>
  <c r="D32" i="5"/>
  <c r="E32" i="5" s="1"/>
  <c r="D36" i="5"/>
  <c r="E36" i="5" s="1"/>
  <c r="W20" i="23" l="1"/>
  <c r="U20" i="23"/>
  <c r="W16" i="23"/>
  <c r="U16" i="23"/>
  <c r="W18" i="23"/>
  <c r="U18" i="23"/>
  <c r="W21" i="23"/>
  <c r="U21" i="23"/>
  <c r="W15" i="23"/>
  <c r="U15" i="23"/>
  <c r="W22" i="23"/>
  <c r="U22" i="23"/>
  <c r="W19" i="23"/>
  <c r="U19" i="23"/>
  <c r="T14" i="23"/>
  <c r="T17" i="21"/>
  <c r="U17" i="21" s="1"/>
  <c r="T19" i="21"/>
  <c r="U19" i="21" s="1"/>
  <c r="T20" i="21"/>
  <c r="U20" i="21" s="1"/>
  <c r="W14" i="23" l="1"/>
  <c r="U14" i="23"/>
  <c r="D18" i="13" l="1"/>
  <c r="B49" i="5"/>
  <c r="B53" i="5"/>
  <c r="G8" i="5" l="1"/>
  <c r="F80" i="9"/>
  <c r="D11" i="19"/>
  <c r="F48" i="9"/>
  <c r="F11" i="19"/>
  <c r="H74" i="4"/>
  <c r="M60" i="8"/>
  <c r="E8" i="1"/>
  <c r="D89" i="20"/>
  <c r="G8" i="4"/>
  <c r="M24" i="8"/>
  <c r="M40" i="8"/>
  <c r="E7" i="3"/>
  <c r="F8" i="9"/>
  <c r="M54" i="8"/>
  <c r="J35" i="29"/>
  <c r="D8" i="2"/>
  <c r="M8" i="8"/>
  <c r="I8" i="6"/>
  <c r="M46" i="8"/>
  <c r="G10" i="14"/>
  <c r="H15" i="8"/>
  <c r="J32" i="8"/>
  <c r="I31" i="8"/>
  <c r="H31" i="8"/>
  <c r="J14" i="8"/>
  <c r="H30" i="8"/>
  <c r="E14" i="8"/>
  <c r="F11" i="8"/>
  <c r="E16" i="8"/>
  <c r="H11" i="8"/>
  <c r="I34" i="8"/>
  <c r="H12" i="8"/>
  <c r="D31" i="8"/>
  <c r="J28" i="8"/>
  <c r="D27" i="8"/>
  <c r="I27" i="8"/>
  <c r="E13" i="8"/>
  <c r="J11" i="8"/>
  <c r="H35" i="8"/>
  <c r="E12" i="8"/>
  <c r="D35" i="8"/>
  <c r="I13" i="8"/>
  <c r="H33" i="8"/>
  <c r="D13" i="8"/>
  <c r="F17" i="8"/>
  <c r="I32" i="8"/>
  <c r="I15" i="8"/>
  <c r="D29" i="8"/>
  <c r="D30" i="8"/>
  <c r="E30" i="8"/>
  <c r="J17" i="8"/>
  <c r="E15" i="8"/>
  <c r="I35" i="8"/>
  <c r="I12" i="8"/>
  <c r="D17" i="8"/>
  <c r="D32" i="8"/>
  <c r="D16" i="8"/>
  <c r="F32" i="8"/>
  <c r="H14" i="8"/>
  <c r="J35" i="8"/>
  <c r="F16" i="8"/>
  <c r="H34" i="8"/>
  <c r="J12" i="8"/>
  <c r="E33" i="8"/>
  <c r="E34" i="8"/>
  <c r="J27" i="8"/>
  <c r="F31" i="8"/>
  <c r="J13" i="8"/>
  <c r="F35" i="8"/>
  <c r="I29" i="8"/>
  <c r="D11" i="8"/>
  <c r="J31" i="8"/>
  <c r="J34" i="8"/>
  <c r="D34" i="8"/>
  <c r="E27" i="8"/>
  <c r="H28" i="8"/>
  <c r="F33" i="8"/>
  <c r="H32" i="8"/>
  <c r="E31" i="8"/>
  <c r="F34" i="8"/>
  <c r="I28" i="8"/>
  <c r="I33" i="8"/>
  <c r="J30" i="8"/>
  <c r="E11" i="8"/>
  <c r="J16" i="8"/>
  <c r="I11" i="8"/>
  <c r="F113" i="9" l="1"/>
  <c r="E36" i="2"/>
  <c r="G39" i="29"/>
  <c r="I44" i="29"/>
  <c r="F120" i="9"/>
  <c r="E37" i="2" s="1"/>
  <c r="I72" i="6"/>
  <c r="I74" i="6"/>
  <c r="H73" i="6"/>
  <c r="H75" i="6"/>
  <c r="I73" i="6"/>
  <c r="I75" i="6"/>
  <c r="H72" i="6"/>
  <c r="H74" i="6"/>
  <c r="H39" i="29"/>
  <c r="G45" i="29"/>
  <c r="H55" i="29"/>
  <c r="H47" i="29"/>
  <c r="G53" i="29"/>
  <c r="J49" i="29"/>
  <c r="K11" i="8"/>
  <c r="M11" i="8"/>
  <c r="G11" i="8"/>
  <c r="K34" i="8"/>
  <c r="K28" i="8"/>
  <c r="G16" i="8"/>
  <c r="M32" i="8"/>
  <c r="K32" i="8"/>
  <c r="K35" i="8"/>
  <c r="K12" i="8"/>
  <c r="G31" i="8"/>
  <c r="M31" i="8"/>
  <c r="M30" i="8"/>
  <c r="G34" i="8"/>
  <c r="M34" i="8"/>
  <c r="M35" i="8"/>
  <c r="K31" i="8"/>
  <c r="F48" i="29"/>
  <c r="E48" i="29"/>
  <c r="G55" i="29"/>
  <c r="H57" i="29"/>
  <c r="J51" i="29"/>
  <c r="G49" i="29"/>
  <c r="G43" i="29"/>
  <c r="G51" i="29"/>
  <c r="F42" i="29"/>
  <c r="H45" i="29"/>
  <c r="H53" i="29"/>
  <c r="J44" i="29"/>
  <c r="I42" i="29"/>
  <c r="I50" i="29"/>
  <c r="J43" i="29"/>
  <c r="E53" i="5"/>
  <c r="C49" i="29"/>
  <c r="D49" i="29"/>
  <c r="E42" i="29"/>
  <c r="F54" i="29"/>
  <c r="C44" i="29"/>
  <c r="C52" i="29"/>
  <c r="D40" i="29"/>
  <c r="D48" i="29"/>
  <c r="D56" i="29"/>
  <c r="J55" i="29"/>
  <c r="E45" i="29"/>
  <c r="E53" i="29"/>
  <c r="J45" i="29"/>
  <c r="F49" i="5"/>
  <c r="D41" i="29"/>
  <c r="E46" i="29"/>
  <c r="G40" i="29"/>
  <c r="G48" i="29"/>
  <c r="G56" i="29"/>
  <c r="H44" i="29"/>
  <c r="H52" i="29"/>
  <c r="F47" i="29"/>
  <c r="I41" i="29"/>
  <c r="I49" i="29"/>
  <c r="I57" i="29"/>
  <c r="F57" i="29"/>
  <c r="D39" i="29"/>
  <c r="J57" i="29"/>
  <c r="F53" i="5"/>
  <c r="H11" i="4"/>
  <c r="G98" i="4"/>
  <c r="E89" i="9"/>
  <c r="I52" i="29"/>
  <c r="D55" i="29"/>
  <c r="E113" i="9"/>
  <c r="C46" i="29"/>
  <c r="C54" i="29"/>
  <c r="D42" i="29"/>
  <c r="D50" i="29"/>
  <c r="J40" i="29"/>
  <c r="E39" i="29"/>
  <c r="E47" i="29"/>
  <c r="E55" i="29"/>
  <c r="F49" i="29"/>
  <c r="C43" i="29"/>
  <c r="D47" i="29"/>
  <c r="E52" i="29"/>
  <c r="G42" i="29"/>
  <c r="G50" i="29"/>
  <c r="F45" i="29"/>
  <c r="H46" i="29"/>
  <c r="H54" i="29"/>
  <c r="F52" i="29"/>
  <c r="I43" i="29"/>
  <c r="I51" i="29"/>
  <c r="F41" i="29"/>
  <c r="E107" i="9"/>
  <c r="D45" i="29"/>
  <c r="E44" i="29"/>
  <c r="G37" i="4"/>
  <c r="G69" i="4"/>
  <c r="D49" i="6"/>
  <c r="D42" i="6"/>
  <c r="D53" i="5"/>
  <c r="H10" i="4"/>
  <c r="G16" i="5"/>
  <c r="D49" i="5" s="1"/>
  <c r="H18" i="4"/>
  <c r="G18" i="4"/>
  <c r="H19" i="6"/>
  <c r="E100" i="9"/>
  <c r="D23" i="3" s="1"/>
  <c r="G10" i="4"/>
  <c r="I19" i="6"/>
  <c r="G27" i="4"/>
  <c r="G61" i="4"/>
  <c r="F100" i="9"/>
  <c r="E23" i="3" s="1"/>
  <c r="F52" i="9"/>
  <c r="E52" i="9"/>
  <c r="I64" i="6"/>
  <c r="I29" i="6"/>
  <c r="G49" i="4"/>
  <c r="D77" i="4"/>
  <c r="D50" i="8"/>
  <c r="E11" i="9"/>
  <c r="G109" i="4"/>
  <c r="D78" i="4"/>
  <c r="D57" i="8"/>
  <c r="D84" i="4"/>
  <c r="D43" i="8"/>
  <c r="F11" i="9"/>
  <c r="G91" i="4"/>
  <c r="G54" i="4"/>
  <c r="G103" i="4"/>
  <c r="F75" i="9"/>
  <c r="I11" i="6"/>
  <c r="D64" i="8"/>
  <c r="H27" i="4"/>
  <c r="F29" i="9"/>
  <c r="D85" i="4"/>
  <c r="E32" i="9"/>
  <c r="E75" i="9"/>
  <c r="D49" i="8"/>
  <c r="F32" i="9"/>
  <c r="D86" i="4"/>
  <c r="D63" i="8"/>
  <c r="D51" i="6"/>
  <c r="D87" i="4"/>
  <c r="D58" i="8"/>
  <c r="F67" i="9"/>
  <c r="E84" i="9"/>
  <c r="I71" i="6"/>
  <c r="H29" i="6"/>
  <c r="G104" i="4"/>
  <c r="H103" i="4"/>
  <c r="D40" i="2"/>
  <c r="D80" i="4"/>
  <c r="H11" i="6"/>
  <c r="H91" i="4"/>
  <c r="F84" i="9"/>
  <c r="I56" i="6"/>
  <c r="F45" i="9"/>
  <c r="D79" i="4"/>
  <c r="D43" i="6"/>
  <c r="D45" i="6"/>
  <c r="E22" i="9"/>
  <c r="F22" i="9"/>
  <c r="F122" i="9"/>
  <c r="E56" i="9"/>
  <c r="E29" i="9"/>
  <c r="H109" i="4"/>
  <c r="H64" i="6"/>
  <c r="E35" i="9"/>
  <c r="E20" i="9"/>
  <c r="H124" i="4"/>
  <c r="H49" i="4"/>
  <c r="H56" i="6"/>
  <c r="G45" i="4"/>
  <c r="G46" i="4" s="1"/>
  <c r="E22" i="1" s="1"/>
  <c r="H61" i="4"/>
  <c r="D44" i="8"/>
  <c r="E23" i="9"/>
  <c r="E67" i="9"/>
  <c r="F56" i="9"/>
  <c r="E60" i="9"/>
  <c r="F20" i="9"/>
  <c r="F35" i="9"/>
  <c r="E45" i="9"/>
  <c r="F23" i="9"/>
  <c r="D52" i="6"/>
  <c r="D50" i="6"/>
  <c r="D44" i="6"/>
  <c r="H54" i="4"/>
  <c r="G124" i="4"/>
  <c r="F60" i="9"/>
  <c r="F112" i="9"/>
  <c r="F114" i="9" s="1"/>
  <c r="E31" i="2" s="1"/>
  <c r="I38" i="29"/>
  <c r="D38" i="29"/>
  <c r="F106" i="9"/>
  <c r="H38" i="29"/>
  <c r="E106" i="9"/>
  <c r="E38" i="29"/>
  <c r="E24" i="2"/>
  <c r="E13" i="3" s="1"/>
  <c r="E40" i="2"/>
  <c r="J38" i="29"/>
  <c r="E112" i="9"/>
  <c r="C38" i="29"/>
  <c r="G38" i="29"/>
  <c r="F38" i="29"/>
  <c r="E84" i="4"/>
  <c r="G105" i="4"/>
  <c r="G70" i="4"/>
  <c r="I33" i="6"/>
  <c r="F49" i="8"/>
  <c r="F98" i="9"/>
  <c r="H13" i="4"/>
  <c r="H51" i="6"/>
  <c r="H50" i="6"/>
  <c r="G11" i="4"/>
  <c r="H31" i="6"/>
  <c r="H14" i="4"/>
  <c r="G85" i="4"/>
  <c r="H34" i="6"/>
  <c r="F121" i="9"/>
  <c r="I20" i="6"/>
  <c r="F63" i="8"/>
  <c r="H31" i="4"/>
  <c r="H30" i="6"/>
  <c r="H128" i="4"/>
  <c r="H57" i="6"/>
  <c r="G68" i="4"/>
  <c r="H112" i="4"/>
  <c r="H45" i="6"/>
  <c r="H115" i="4"/>
  <c r="E79" i="4"/>
  <c r="E44" i="6"/>
  <c r="F87" i="9"/>
  <c r="D93" i="20"/>
  <c r="G77" i="4"/>
  <c r="G14" i="4"/>
  <c r="H35" i="6"/>
  <c r="G32" i="4"/>
  <c r="E80" i="4"/>
  <c r="H127" i="4"/>
  <c r="E92" i="9"/>
  <c r="H97" i="4"/>
  <c r="H67" i="4"/>
  <c r="F50" i="6"/>
  <c r="F90" i="9"/>
  <c r="E30" i="9"/>
  <c r="F13" i="9"/>
  <c r="E95" i="9"/>
  <c r="J64" i="8"/>
  <c r="E98" i="9"/>
  <c r="F21" i="9"/>
  <c r="E16" i="3" s="1"/>
  <c r="J63" i="8"/>
  <c r="F79" i="4"/>
  <c r="G29" i="4"/>
  <c r="F41" i="1"/>
  <c r="F78" i="4"/>
  <c r="F42" i="6"/>
  <c r="E69" i="9"/>
  <c r="H96" i="4"/>
  <c r="G42" i="6"/>
  <c r="E38" i="9"/>
  <c r="F43" i="8"/>
  <c r="E77" i="9"/>
  <c r="H63" i="8"/>
  <c r="F94" i="9"/>
  <c r="G30" i="4"/>
  <c r="G41" i="4"/>
  <c r="F43" i="6"/>
  <c r="F97" i="9"/>
  <c r="F86" i="4"/>
  <c r="I21" i="6"/>
  <c r="F76" i="9"/>
  <c r="H110" i="4"/>
  <c r="I66" i="6"/>
  <c r="E91" i="9"/>
  <c r="E36" i="9"/>
  <c r="F87" i="4"/>
  <c r="G44" i="6"/>
  <c r="H15" i="6"/>
  <c r="G86" i="4"/>
  <c r="G51" i="6"/>
  <c r="F38" i="9"/>
  <c r="G38" i="4"/>
  <c r="G13" i="4"/>
  <c r="F84" i="4"/>
  <c r="E18" i="1"/>
  <c r="H42" i="6"/>
  <c r="G36" i="4"/>
  <c r="H94" i="4"/>
  <c r="E51" i="6"/>
  <c r="G71" i="4"/>
  <c r="G78" i="4"/>
  <c r="H43" i="6"/>
  <c r="H57" i="8"/>
  <c r="D94" i="20"/>
  <c r="G33" i="4"/>
  <c r="I32" i="6"/>
  <c r="H30" i="4"/>
  <c r="G79" i="4"/>
  <c r="G126" i="4"/>
  <c r="F89" i="9"/>
  <c r="I25" i="6"/>
  <c r="G95" i="4"/>
  <c r="E13" i="9"/>
  <c r="F77" i="9"/>
  <c r="G112" i="4"/>
  <c r="H116" i="4"/>
  <c r="F12" i="5"/>
  <c r="F44" i="6"/>
  <c r="G40" i="4"/>
  <c r="G87" i="4"/>
  <c r="H25" i="6"/>
  <c r="H32" i="4"/>
  <c r="H12" i="6"/>
  <c r="E85" i="4"/>
  <c r="H70" i="4"/>
  <c r="E88" i="9"/>
  <c r="F30" i="9"/>
  <c r="F53" i="9"/>
  <c r="F44" i="8"/>
  <c r="E93" i="9"/>
  <c r="F85" i="4"/>
  <c r="H29" i="4"/>
  <c r="G12" i="5"/>
  <c r="G39" i="4"/>
  <c r="H93" i="4"/>
  <c r="E45" i="6"/>
  <c r="H71" i="4"/>
  <c r="G125" i="4"/>
  <c r="F45" i="6"/>
  <c r="E68" i="9"/>
  <c r="F57" i="8"/>
  <c r="F91" i="9"/>
  <c r="E14" i="9"/>
  <c r="E121" i="9"/>
  <c r="G16" i="4"/>
  <c r="E41" i="2"/>
  <c r="G49" i="6"/>
  <c r="J58" i="8"/>
  <c r="G96" i="4"/>
  <c r="I30" i="6"/>
  <c r="E77" i="4"/>
  <c r="G128" i="4"/>
  <c r="E96" i="9"/>
  <c r="E99" i="9"/>
  <c r="F61" i="9"/>
  <c r="H125" i="4"/>
  <c r="H65" i="6"/>
  <c r="I34" i="6"/>
  <c r="H105" i="4"/>
  <c r="F101" i="9"/>
  <c r="H43" i="8"/>
  <c r="H95" i="4"/>
  <c r="G120" i="4"/>
  <c r="G121" i="4" s="1"/>
  <c r="H41" i="4"/>
  <c r="H99" i="4"/>
  <c r="G127" i="4"/>
  <c r="F49" i="6"/>
  <c r="H66" i="4"/>
  <c r="G111" i="4"/>
  <c r="H45" i="4"/>
  <c r="H46" i="4" s="1"/>
  <c r="F22" i="1" s="1"/>
  <c r="G114" i="4"/>
  <c r="H92" i="4"/>
  <c r="H58" i="6"/>
  <c r="H44" i="8"/>
  <c r="H12" i="4"/>
  <c r="F16" i="5"/>
  <c r="E43" i="6"/>
  <c r="H37" i="4"/>
  <c r="E86" i="4"/>
  <c r="I22" i="6"/>
  <c r="H50" i="8"/>
  <c r="H44" i="6"/>
  <c r="H114" i="4"/>
  <c r="E12" i="9"/>
  <c r="H58" i="8"/>
  <c r="G45" i="6"/>
  <c r="G94" i="4"/>
  <c r="G116" i="4"/>
  <c r="I58" i="6"/>
  <c r="G55" i="4"/>
  <c r="H98" i="4"/>
  <c r="E42" i="6"/>
  <c r="H55" i="4"/>
  <c r="H33" i="6"/>
  <c r="I12" i="6"/>
  <c r="E21" i="9"/>
  <c r="D16" i="3" s="1"/>
  <c r="F18" i="1"/>
  <c r="J44" i="8"/>
  <c r="E61" i="9"/>
  <c r="E120" i="9"/>
  <c r="D37" i="2" s="1"/>
  <c r="F68" i="9"/>
  <c r="F58" i="8"/>
  <c r="E101" i="9"/>
  <c r="H35" i="4"/>
  <c r="H113" i="4"/>
  <c r="H50" i="4"/>
  <c r="G110" i="4"/>
  <c r="F51" i="6"/>
  <c r="G80" i="4"/>
  <c r="I15" i="6"/>
  <c r="F93" i="9"/>
  <c r="F88" i="9"/>
  <c r="F12" i="9"/>
  <c r="F99" i="9"/>
  <c r="E70" i="9"/>
  <c r="F50" i="8"/>
  <c r="H104" i="4"/>
  <c r="E16" i="1"/>
  <c r="H21" i="6"/>
  <c r="F52" i="6"/>
  <c r="H40" i="4"/>
  <c r="H111" i="4"/>
  <c r="G43" i="6"/>
  <c r="G84" i="4"/>
  <c r="E49" i="6"/>
  <c r="H64" i="8"/>
  <c r="E53" i="9"/>
  <c r="I67" i="6"/>
  <c r="E85" i="9"/>
  <c r="F15" i="9"/>
  <c r="I23" i="6"/>
  <c r="H36" i="4"/>
  <c r="E50" i="6"/>
  <c r="H14" i="6"/>
  <c r="E57" i="9"/>
  <c r="F36" i="9"/>
  <c r="G31" i="4"/>
  <c r="H13" i="6"/>
  <c r="G93" i="4"/>
  <c r="H38" i="4"/>
  <c r="I14" i="6"/>
  <c r="E52" i="6"/>
  <c r="E78" i="4"/>
  <c r="I13" i="6"/>
  <c r="H24" i="6"/>
  <c r="G113" i="4"/>
  <c r="E122" i="9"/>
  <c r="H15" i="4"/>
  <c r="H62" i="4"/>
  <c r="D91" i="20"/>
  <c r="G50" i="6"/>
  <c r="G50" i="4"/>
  <c r="G97" i="4"/>
  <c r="I35" i="6"/>
  <c r="G92" i="4"/>
  <c r="H59" i="6"/>
  <c r="H23" i="6"/>
  <c r="F92" i="9"/>
  <c r="G15" i="4"/>
  <c r="H33" i="4"/>
  <c r="G66" i="4"/>
  <c r="H22" i="6"/>
  <c r="F70" i="9"/>
  <c r="H69" i="4"/>
  <c r="G115" i="4"/>
  <c r="I57" i="6"/>
  <c r="F80" i="4"/>
  <c r="H49" i="6"/>
  <c r="H32" i="6"/>
  <c r="F95" i="9"/>
  <c r="I59" i="6"/>
  <c r="I65" i="6"/>
  <c r="E87" i="9"/>
  <c r="J50" i="8"/>
  <c r="E90" i="9"/>
  <c r="J49" i="8"/>
  <c r="G12" i="4"/>
  <c r="G62" i="4"/>
  <c r="F40" i="1"/>
  <c r="G67" i="4"/>
  <c r="H20" i="6"/>
  <c r="H66" i="6"/>
  <c r="E87" i="4"/>
  <c r="I24" i="6"/>
  <c r="H67" i="6"/>
  <c r="F96" i="9"/>
  <c r="F57" i="9"/>
  <c r="H49" i="8"/>
  <c r="F85" i="9"/>
  <c r="F64" i="8"/>
  <c r="H39" i="4"/>
  <c r="D92" i="20"/>
  <c r="I31" i="6"/>
  <c r="F14" i="9"/>
  <c r="H68" i="4"/>
  <c r="H126" i="4"/>
  <c r="G52" i="6"/>
  <c r="G99" i="4"/>
  <c r="H52" i="6"/>
  <c r="H71" i="6"/>
  <c r="F69" i="9"/>
  <c r="E15" i="9"/>
  <c r="E94" i="9"/>
  <c r="E76" i="9"/>
  <c r="J57" i="8"/>
  <c r="H16" i="4"/>
  <c r="F16" i="1"/>
  <c r="H120" i="4"/>
  <c r="H121" i="4" s="1"/>
  <c r="E50" i="29"/>
  <c r="D57" i="29"/>
  <c r="C53" i="29"/>
  <c r="E49" i="5"/>
  <c r="J46" i="29"/>
  <c r="H41" i="29"/>
  <c r="J54" i="29"/>
  <c r="I54" i="29"/>
  <c r="C41" i="29"/>
  <c r="F40" i="29"/>
  <c r="F43" i="29"/>
  <c r="E54" i="29"/>
  <c r="C40" i="29"/>
  <c r="C48" i="29"/>
  <c r="C56" i="29"/>
  <c r="D44" i="29"/>
  <c r="D52" i="29"/>
  <c r="F46" i="29"/>
  <c r="E41" i="29"/>
  <c r="E49" i="29"/>
  <c r="E57" i="29"/>
  <c r="J52" i="29"/>
  <c r="C51" i="29"/>
  <c r="D53" i="29"/>
  <c r="J50" i="29"/>
  <c r="G44" i="29"/>
  <c r="G52" i="29"/>
  <c r="H40" i="29"/>
  <c r="H48" i="29"/>
  <c r="H56" i="29"/>
  <c r="J56" i="29"/>
  <c r="I45" i="29"/>
  <c r="I53" i="29"/>
  <c r="F50" i="29"/>
  <c r="C39" i="29"/>
  <c r="D51" i="29"/>
  <c r="E56" i="29"/>
  <c r="D41" i="2"/>
  <c r="F77" i="4"/>
  <c r="J43" i="8"/>
  <c r="C55" i="29"/>
  <c r="G47" i="29"/>
  <c r="H49" i="29"/>
  <c r="I46" i="29"/>
  <c r="G41" i="29"/>
  <c r="G57" i="29"/>
  <c r="H43" i="29"/>
  <c r="H51" i="29"/>
  <c r="F39" i="29"/>
  <c r="I40" i="29"/>
  <c r="I48" i="29"/>
  <c r="I56" i="29"/>
  <c r="F55" i="29"/>
  <c r="C45" i="29"/>
  <c r="D43" i="29"/>
  <c r="F53" i="29"/>
  <c r="J42" i="29"/>
  <c r="C42" i="29"/>
  <c r="C50" i="29"/>
  <c r="F44" i="29"/>
  <c r="D46" i="29"/>
  <c r="D54" i="29"/>
  <c r="F51" i="29"/>
  <c r="E43" i="29"/>
  <c r="E51" i="29"/>
  <c r="J39" i="29"/>
  <c r="F56" i="29"/>
  <c r="C57" i="29"/>
  <c r="E40" i="29"/>
  <c r="F107" i="9"/>
  <c r="G46" i="29"/>
  <c r="G54" i="29"/>
  <c r="H42" i="29"/>
  <c r="H50" i="29"/>
  <c r="J41" i="29"/>
  <c r="I39" i="29"/>
  <c r="I47" i="29"/>
  <c r="I55" i="29"/>
  <c r="J53" i="29"/>
  <c r="C47" i="29"/>
  <c r="J48" i="29"/>
  <c r="J47" i="29"/>
  <c r="D90" i="20"/>
  <c r="G35" i="4"/>
  <c r="E97" i="9"/>
  <c r="I16" i="8"/>
  <c r="D14" i="8"/>
  <c r="I14" i="8"/>
  <c r="E29" i="8"/>
  <c r="F12" i="8"/>
  <c r="E32" i="8"/>
  <c r="H29" i="8"/>
  <c r="D12" i="8"/>
  <c r="I30" i="8"/>
  <c r="H27" i="8"/>
  <c r="J15" i="8"/>
  <c r="F14" i="8"/>
  <c r="H16" i="8"/>
  <c r="D33" i="8"/>
  <c r="F27" i="8"/>
  <c r="D15" i="8"/>
  <c r="E17" i="8"/>
  <c r="J29" i="8"/>
  <c r="E35" i="8"/>
  <c r="D28" i="8"/>
  <c r="I17" i="8"/>
  <c r="H17" i="8"/>
  <c r="J33" i="8"/>
  <c r="E28" i="8"/>
  <c r="F29" i="8"/>
  <c r="F28" i="8"/>
  <c r="F15" i="8"/>
  <c r="F13" i="8"/>
  <c r="H13" i="8"/>
  <c r="F30" i="8"/>
  <c r="K33" i="8" l="1"/>
  <c r="J36" i="8"/>
  <c r="K15" i="8"/>
  <c r="J18" i="8"/>
  <c r="K29" i="8"/>
  <c r="M29" i="8"/>
  <c r="D36" i="2"/>
  <c r="L31" i="8"/>
  <c r="E114" i="9"/>
  <c r="D31" i="2" s="1"/>
  <c r="L34" i="8"/>
  <c r="G30" i="8"/>
  <c r="G13" i="8"/>
  <c r="M12" i="8"/>
  <c r="G12" i="8"/>
  <c r="L12" i="8" s="1"/>
  <c r="D18" i="8"/>
  <c r="M16" i="8"/>
  <c r="K16" i="8"/>
  <c r="L16" i="8" s="1"/>
  <c r="H18" i="8"/>
  <c r="M13" i="8"/>
  <c r="K13" i="8"/>
  <c r="E36" i="8"/>
  <c r="D39" i="3" s="1"/>
  <c r="G29" i="8"/>
  <c r="E18" i="8"/>
  <c r="G17" i="8"/>
  <c r="G33" i="8"/>
  <c r="L33" i="8" s="1"/>
  <c r="M33" i="8"/>
  <c r="M15" i="8"/>
  <c r="G15" i="8"/>
  <c r="L15" i="8" s="1"/>
  <c r="F36" i="8"/>
  <c r="E39" i="3" s="1"/>
  <c r="G27" i="8"/>
  <c r="I18" i="8"/>
  <c r="K14" i="8"/>
  <c r="G32" i="8"/>
  <c r="L32" i="8" s="1"/>
  <c r="K17" i="8"/>
  <c r="M17" i="8"/>
  <c r="M27" i="8"/>
  <c r="K27" i="8"/>
  <c r="H36" i="8"/>
  <c r="F18" i="8"/>
  <c r="G35" i="8"/>
  <c r="L35" i="8" s="1"/>
  <c r="K30" i="8"/>
  <c r="I36" i="8"/>
  <c r="D36" i="8"/>
  <c r="G28" i="8"/>
  <c r="L28" i="8" s="1"/>
  <c r="M28" i="8"/>
  <c r="M14" i="8"/>
  <c r="G14" i="8"/>
  <c r="L14" i="8" s="1"/>
  <c r="H76" i="6"/>
  <c r="E53" i="1" s="1"/>
  <c r="I76" i="6"/>
  <c r="F53" i="1" s="1"/>
  <c r="E108" i="9"/>
  <c r="D29" i="2" s="1"/>
  <c r="G58" i="29"/>
  <c r="E42" i="2"/>
  <c r="I58" i="29"/>
  <c r="H56" i="4"/>
  <c r="F24" i="1" s="1"/>
  <c r="E18" i="3"/>
  <c r="E45" i="3"/>
  <c r="E19" i="3"/>
  <c r="E62" i="9"/>
  <c r="D21" i="2" s="1"/>
  <c r="L44" i="8"/>
  <c r="H51" i="4"/>
  <c r="F23" i="1" s="1"/>
  <c r="H68" i="6"/>
  <c r="E52" i="1" s="1"/>
  <c r="E119" i="9"/>
  <c r="F119" i="9"/>
  <c r="I43" i="6"/>
  <c r="F102" i="9"/>
  <c r="E25" i="2" s="1"/>
  <c r="D42" i="2"/>
  <c r="H87" i="4"/>
  <c r="H85" i="4"/>
  <c r="L64" i="8"/>
  <c r="G56" i="4"/>
  <c r="E24" i="1" s="1"/>
  <c r="H84" i="4"/>
  <c r="E16" i="9"/>
  <c r="D11" i="2" s="1"/>
  <c r="I36" i="6"/>
  <c r="F49" i="1" s="1"/>
  <c r="I26" i="6"/>
  <c r="F48" i="1" s="1"/>
  <c r="G53" i="5"/>
  <c r="F14" i="1" s="1"/>
  <c r="K36" i="8"/>
  <c r="C58" i="29"/>
  <c r="H58" i="29"/>
  <c r="I44" i="6"/>
  <c r="D34" i="19"/>
  <c r="E46" i="9"/>
  <c r="D17" i="2" s="1"/>
  <c r="F58" i="9"/>
  <c r="E20" i="2" s="1"/>
  <c r="H72" i="4"/>
  <c r="F27" i="1" s="1"/>
  <c r="H129" i="4"/>
  <c r="F44" i="1" s="1"/>
  <c r="H117" i="4"/>
  <c r="F42" i="1" s="1"/>
  <c r="E17" i="3"/>
  <c r="E44" i="3"/>
  <c r="E43" i="3"/>
  <c r="H79" i="4"/>
  <c r="H100" i="4"/>
  <c r="F31" i="1" s="1"/>
  <c r="H106" i="4"/>
  <c r="F32" i="1" s="1"/>
  <c r="E102" i="9"/>
  <c r="D25" i="2" s="1"/>
  <c r="I51" i="6"/>
  <c r="L49" i="8"/>
  <c r="I16" i="6"/>
  <c r="F45" i="1" s="1"/>
  <c r="G100" i="4"/>
  <c r="E31" i="1" s="1"/>
  <c r="L57" i="8"/>
  <c r="L50" i="8"/>
  <c r="I68" i="6"/>
  <c r="F52" i="1" s="1"/>
  <c r="G72" i="4"/>
  <c r="E27" i="1" s="1"/>
  <c r="I42" i="6"/>
  <c r="F58" i="29"/>
  <c r="F108" i="9"/>
  <c r="E29" i="2" s="1"/>
  <c r="F62" i="9"/>
  <c r="E21" i="2" s="1"/>
  <c r="I50" i="6"/>
  <c r="F37" i="9"/>
  <c r="F39" i="9" s="1"/>
  <c r="E71" i="9"/>
  <c r="D22" i="2" s="1"/>
  <c r="D32" i="3"/>
  <c r="D14" i="3"/>
  <c r="D42" i="3"/>
  <c r="E24" i="9"/>
  <c r="D12" i="2" s="1"/>
  <c r="E31" i="9"/>
  <c r="E33" i="9" s="1"/>
  <c r="F27" i="19"/>
  <c r="D17" i="3"/>
  <c r="D43" i="3"/>
  <c r="D44" i="3"/>
  <c r="E17" i="2"/>
  <c r="F46" i="9"/>
  <c r="H16" i="6"/>
  <c r="E45" i="1" s="1"/>
  <c r="D34" i="3"/>
  <c r="F71" i="9"/>
  <c r="E22" i="2" s="1"/>
  <c r="L63" i="8"/>
  <c r="E78" i="9"/>
  <c r="D23" i="2" s="1"/>
  <c r="F31" i="9"/>
  <c r="F33" i="9" s="1"/>
  <c r="F78" i="9"/>
  <c r="E23" i="2" s="1"/>
  <c r="F16" i="9"/>
  <c r="E11" i="2" s="1"/>
  <c r="H78" i="4"/>
  <c r="H77" i="4"/>
  <c r="E54" i="9"/>
  <c r="G49" i="5"/>
  <c r="E14" i="1" s="1"/>
  <c r="I49" i="6"/>
  <c r="L11" i="8"/>
  <c r="J58" i="29"/>
  <c r="E58" i="29"/>
  <c r="D58" i="29"/>
  <c r="G129" i="4"/>
  <c r="E44" i="1" s="1"/>
  <c r="I52" i="6"/>
  <c r="E14" i="3"/>
  <c r="E42" i="3"/>
  <c r="F24" i="9"/>
  <c r="E12" i="2" s="1"/>
  <c r="D18" i="3"/>
  <c r="D45" i="3"/>
  <c r="D19" i="3"/>
  <c r="H60" i="6"/>
  <c r="E51" i="1" s="1"/>
  <c r="E37" i="9"/>
  <c r="E39" i="9" s="1"/>
  <c r="E58" i="9"/>
  <c r="D20" i="2" s="1"/>
  <c r="I45" i="6"/>
  <c r="I60" i="6"/>
  <c r="F51" i="1" s="1"/>
  <c r="D56" i="3" s="1"/>
  <c r="H80" i="4"/>
  <c r="H36" i="6"/>
  <c r="E49" i="1" s="1"/>
  <c r="L58" i="8"/>
  <c r="H86" i="4"/>
  <c r="H42" i="4"/>
  <c r="F21" i="1" s="1"/>
  <c r="G106" i="4"/>
  <c r="L43" i="8"/>
  <c r="G117" i="4"/>
  <c r="E42" i="1" s="1"/>
  <c r="G51" i="4"/>
  <c r="E23" i="1" s="1"/>
  <c r="F54" i="9"/>
  <c r="G42" i="4"/>
  <c r="E21" i="1" s="1"/>
  <c r="H26" i="6"/>
  <c r="E48" i="1" s="1"/>
  <c r="D41" i="3" l="1"/>
  <c r="L29" i="8"/>
  <c r="D24" i="2"/>
  <c r="D13" i="3" s="1"/>
  <c r="L17" i="8"/>
  <c r="L30" i="8"/>
  <c r="M36" i="8"/>
  <c r="F39" i="1" s="1"/>
  <c r="M18" i="8"/>
  <c r="F38" i="1" s="1"/>
  <c r="D52" i="3"/>
  <c r="K18" i="8"/>
  <c r="L27" i="8"/>
  <c r="L36" i="8" s="1"/>
  <c r="E39" i="1" s="1"/>
  <c r="D26" i="3"/>
  <c r="G36" i="8"/>
  <c r="E41" i="3" s="1"/>
  <c r="E46" i="3" s="1"/>
  <c r="L13" i="8"/>
  <c r="G18" i="8"/>
  <c r="I53" i="6"/>
  <c r="F50" i="1" s="1"/>
  <c r="F54" i="1" s="1"/>
  <c r="D29" i="3"/>
  <c r="H27" i="19"/>
  <c r="D27" i="19"/>
  <c r="G27" i="19" s="1"/>
  <c r="D46" i="3"/>
  <c r="D25" i="3"/>
  <c r="F41" i="9"/>
  <c r="E16" i="2" s="1"/>
  <c r="F30" i="1"/>
  <c r="D49" i="3"/>
  <c r="D31" i="3"/>
  <c r="E40" i="1"/>
  <c r="B5" i="26"/>
  <c r="E19" i="2"/>
  <c r="F63" i="9"/>
  <c r="E32" i="1"/>
  <c r="D33" i="3"/>
  <c r="E30" i="1"/>
  <c r="D15" i="3"/>
  <c r="D51" i="3"/>
  <c r="D13" i="2"/>
  <c r="D38" i="19"/>
  <c r="D31" i="19"/>
  <c r="F41" i="19"/>
  <c r="E13" i="2"/>
  <c r="E41" i="9"/>
  <c r="D16" i="2" s="1"/>
  <c r="E41" i="1"/>
  <c r="B6" i="26"/>
  <c r="H88" i="4"/>
  <c r="H34" i="19" s="1"/>
  <c r="F29" i="1"/>
  <c r="L18" i="8"/>
  <c r="D19" i="2"/>
  <c r="E63" i="9"/>
  <c r="E51" i="3"/>
  <c r="E53" i="3" s="1"/>
  <c r="E15" i="3"/>
  <c r="F21" i="19"/>
  <c r="D50" i="3"/>
  <c r="E29" i="1"/>
  <c r="H81" i="4"/>
  <c r="B11" i="26" s="1"/>
  <c r="I46" i="6"/>
  <c r="D30" i="3"/>
  <c r="D28" i="3"/>
  <c r="B8" i="26" l="1"/>
  <c r="E24" i="3"/>
  <c r="E36" i="3" s="1"/>
  <c r="F14" i="19"/>
  <c r="H31" i="19"/>
  <c r="I27" i="19"/>
  <c r="G103" i="20" s="1"/>
  <c r="C57" i="19" s="1"/>
  <c r="H14" i="19"/>
  <c r="D53" i="3"/>
  <c r="H38" i="19"/>
  <c r="E26" i="2"/>
  <c r="E27" i="2" s="1"/>
  <c r="E30" i="2" s="1"/>
  <c r="E33" i="2" s="1"/>
  <c r="H44" i="19" s="1"/>
  <c r="E50" i="1"/>
  <c r="B10" i="26"/>
  <c r="D24" i="3"/>
  <c r="F34" i="19"/>
  <c r="G34" i="19" s="1"/>
  <c r="I34" i="19" s="1"/>
  <c r="G105" i="20" s="1"/>
  <c r="C59" i="19" s="1"/>
  <c r="E55" i="3"/>
  <c r="E57" i="3" s="1"/>
  <c r="E38" i="1"/>
  <c r="B7" i="26"/>
  <c r="D26" i="2"/>
  <c r="D27" i="2" s="1"/>
  <c r="D30" i="2" s="1"/>
  <c r="D33" i="2" s="1"/>
  <c r="E54" i="1" l="1"/>
  <c r="F44" i="19" s="1"/>
  <c r="D11" i="3"/>
  <c r="D20" i="3" s="1"/>
  <c r="D38" i="2"/>
  <c r="D44" i="19"/>
  <c r="F31" i="19"/>
  <c r="G31" i="19" s="1"/>
  <c r="I31" i="19" s="1"/>
  <c r="G104" i="20" s="1"/>
  <c r="C58" i="19" s="1"/>
  <c r="D14" i="19"/>
  <c r="G14" i="19" s="1"/>
  <c r="I14" i="19" s="1"/>
  <c r="G99" i="20" s="1"/>
  <c r="D27" i="3"/>
  <c r="D36" i="3" s="1"/>
  <c r="D55" i="3" s="1"/>
  <c r="D57" i="3" s="1"/>
  <c r="B12" i="26" s="1"/>
  <c r="E11" i="3"/>
  <c r="E20" i="3" s="1"/>
  <c r="E38" i="2"/>
  <c r="H21" i="19" l="1"/>
  <c r="H41" i="19"/>
  <c r="H99" i="20"/>
  <c r="B17" i="26" s="1"/>
  <c r="C53" i="19"/>
  <c r="G44" i="19"/>
  <c r="I44" i="19" s="1"/>
  <c r="G108" i="20" s="1"/>
  <c r="C62" i="19" s="1"/>
  <c r="F126" i="9"/>
  <c r="F129" i="9" s="1"/>
  <c r="E43" i="2"/>
  <c r="F38" i="19"/>
  <c r="G38" i="19" s="1"/>
  <c r="I38" i="19" s="1"/>
  <c r="G106" i="20" s="1"/>
  <c r="C60" i="19" s="1"/>
  <c r="D43" i="2"/>
  <c r="D47" i="19"/>
  <c r="D21" i="19"/>
  <c r="G21" i="19" s="1"/>
  <c r="E126" i="9"/>
  <c r="E129" i="9" s="1"/>
  <c r="D24" i="19"/>
  <c r="D41" i="19"/>
  <c r="G41" i="19" s="1"/>
  <c r="I41" i="19" l="1"/>
  <c r="G107" i="20" s="1"/>
  <c r="C61" i="19" s="1"/>
  <c r="I21" i="19"/>
  <c r="G101" i="20" s="1"/>
  <c r="C55" i="19" s="1"/>
  <c r="D46" i="2"/>
  <c r="D45" i="2"/>
  <c r="E46" i="2"/>
  <c r="E45" i="2"/>
  <c r="G19" i="4"/>
  <c r="G22" i="4" s="1"/>
  <c r="G23" i="4" s="1"/>
  <c r="E15" i="1" s="1"/>
  <c r="H19" i="4"/>
  <c r="H22" i="4" s="1"/>
  <c r="H23" i="4" s="1"/>
  <c r="F15" i="1" s="1"/>
  <c r="H47" i="19" s="1"/>
  <c r="H24" i="19" l="1"/>
  <c r="F33" i="1"/>
  <c r="H17" i="19" s="1"/>
  <c r="E33" i="1"/>
  <c r="F47" i="19"/>
  <c r="G47" i="19" s="1"/>
  <c r="I47" i="19" s="1"/>
  <c r="G109" i="20" s="1"/>
  <c r="C63" i="19" s="1"/>
  <c r="F17" i="19"/>
  <c r="F24" i="19"/>
  <c r="G24" i="19" s="1"/>
  <c r="I24" i="19" l="1"/>
  <c r="G102" i="20" s="1"/>
  <c r="C56" i="19" s="1"/>
  <c r="B13" i="26"/>
  <c r="D17" i="19"/>
  <c r="G17" i="19" s="1"/>
  <c r="I17" i="19" s="1"/>
  <c r="G100" i="20" s="1"/>
  <c r="C54" i="19" s="1"/>
  <c r="B14" i="26"/>
</calcChain>
</file>

<file path=xl/sharedStrings.xml><?xml version="1.0" encoding="utf-8"?>
<sst xmlns="http://schemas.openxmlformats.org/spreadsheetml/2006/main" count="2584" uniqueCount="1079">
  <si>
    <t>Particulars</t>
  </si>
  <si>
    <t>Notes</t>
  </si>
  <si>
    <t>As on</t>
  </si>
  <si>
    <t xml:space="preserve">As on </t>
  </si>
  <si>
    <t>I.</t>
  </si>
  <si>
    <t xml:space="preserve"> EQUITY AND LIABILITIES</t>
  </si>
  <si>
    <t xml:space="preserve"> Shareholder's Funds</t>
  </si>
  <si>
    <t>(a) Share Capital</t>
  </si>
  <si>
    <t>(b) Reserves and Surplus</t>
  </si>
  <si>
    <t>(c) Money Received Against Share Warrants</t>
  </si>
  <si>
    <t>Share Application Money Pending Allotment</t>
  </si>
  <si>
    <t xml:space="preserve"> Non-Current Liabilities</t>
  </si>
  <si>
    <t xml:space="preserve"> Current Liabilities</t>
  </si>
  <si>
    <t>(c) Other Current Liabilities</t>
  </si>
  <si>
    <t>Total</t>
  </si>
  <si>
    <t>II.</t>
  </si>
  <si>
    <t>Assets</t>
  </si>
  <si>
    <t>AS PER OUR AUDIT REPORT OF EVEN DATE</t>
  </si>
  <si>
    <t>Chartered Accountants</t>
  </si>
  <si>
    <t>Partner</t>
  </si>
  <si>
    <t>(Director)</t>
  </si>
  <si>
    <t xml:space="preserve"> </t>
  </si>
  <si>
    <t>&lt;Name of the Company&gt;</t>
  </si>
  <si>
    <t>&lt;Regsitered Office Address&gt;</t>
  </si>
  <si>
    <t>(b) Trade Payables</t>
  </si>
  <si>
    <t>(a) Long-Term Borrowings</t>
  </si>
  <si>
    <t>Significant Accounting Policies</t>
  </si>
  <si>
    <t>For P.G. Joshi &amp; CO.</t>
  </si>
  <si>
    <t>&lt;Name of the Signing Partner&gt;</t>
  </si>
  <si>
    <t>&lt;Place of Signing of Audit Report&gt;</t>
  </si>
  <si>
    <r>
      <t xml:space="preserve">The </t>
    </r>
    <r>
      <rPr>
        <b/>
        <sz val="11"/>
        <rFont val="Calibri"/>
        <family val="2"/>
      </rPr>
      <t xml:space="preserve">Notes </t>
    </r>
    <r>
      <rPr>
        <sz val="11"/>
        <rFont val="Calibri"/>
        <family val="2"/>
      </rPr>
      <t>referred to above are an integral part of Balance Sheet.</t>
    </r>
  </si>
  <si>
    <t>&lt;Date of Signing&gt;</t>
  </si>
  <si>
    <t>For The Year Ending</t>
  </si>
  <si>
    <t>II. Other Income</t>
  </si>
  <si>
    <t>III. Total Revenue (I +II)</t>
  </si>
  <si>
    <t>IV. Expenses:</t>
  </si>
  <si>
    <t>Purchase Of Stock in Trade</t>
  </si>
  <si>
    <t>VIII. Extraordinary Items</t>
  </si>
  <si>
    <t xml:space="preserve">       (1) Basic</t>
  </si>
  <si>
    <t xml:space="preserve">       (2) Diluted</t>
  </si>
  <si>
    <t xml:space="preserve">I. Revenue From Operations </t>
  </si>
  <si>
    <t>Cost of Materials Consumed</t>
  </si>
  <si>
    <t>Finance Costs</t>
  </si>
  <si>
    <t>Depreciation and Amortization Expense</t>
  </si>
  <si>
    <t>Other Expenses</t>
  </si>
  <si>
    <t>VI. Exceptional Items</t>
  </si>
  <si>
    <t xml:space="preserve">V. Profit Before Exceptional and Extraordinary Items and Tax  (III - IV)                                                                  </t>
  </si>
  <si>
    <t>VII. Profit Before Extraordinary Items and Tax (V-VI)</t>
  </si>
  <si>
    <t xml:space="preserve"> (2) Less Deferred Tax Liability</t>
  </si>
  <si>
    <t>XI. Profit/(Loss) for the Period from Continuing Operations (XI-X)</t>
  </si>
  <si>
    <t xml:space="preserve"> (1) Less Current Tax \ MAT</t>
  </si>
  <si>
    <t>X. Tax Expenses:</t>
  </si>
  <si>
    <t>XVI. Earning Per Equity Share:</t>
  </si>
  <si>
    <t>XV. Profit/(Loss) for the Period (XI + XIV)</t>
  </si>
  <si>
    <t>XIV. Profit/(Loss) from Discontinuing Operations (XII - XIII)</t>
  </si>
  <si>
    <t>XIII. Tax Expense of Discounting Operations</t>
  </si>
  <si>
    <t>XII. Profit/(Loss) from Discontinuing Operations</t>
  </si>
  <si>
    <t>IX. Profit Before Tax (VII - VIII)</t>
  </si>
  <si>
    <t>Employee Benefit Expense</t>
  </si>
  <si>
    <t>(a) Short-Term Borrowings</t>
  </si>
  <si>
    <t xml:space="preserve"> Current Assets</t>
  </si>
  <si>
    <t>Non-Current Assets</t>
  </si>
  <si>
    <t>IV. Total Expenses</t>
  </si>
  <si>
    <t>(A)</t>
  </si>
  <si>
    <t>Depreciation</t>
  </si>
  <si>
    <t>Interest Income</t>
  </si>
  <si>
    <t>Interest Expense</t>
  </si>
  <si>
    <t>Other Current Assets</t>
  </si>
  <si>
    <t>Taxes Paid</t>
  </si>
  <si>
    <t>(B)</t>
  </si>
  <si>
    <t>(C)</t>
  </si>
  <si>
    <t>Long Term Borrowings</t>
  </si>
  <si>
    <t>Finance Cost</t>
  </si>
  <si>
    <t>(D)</t>
  </si>
  <si>
    <t>Figures in brackets indicate cash out flow.</t>
  </si>
  <si>
    <t>Cash flow From Operating Activities:</t>
  </si>
  <si>
    <t>Net Profit Before Taxation &amp; Extra-Ordinary Items</t>
  </si>
  <si>
    <t>Loss From Sale Of Assets</t>
  </si>
  <si>
    <t>Bad Debts Writen Off</t>
  </si>
  <si>
    <t>Change In Income Tax Provision</t>
  </si>
  <si>
    <t>Changes In Trade Payable</t>
  </si>
  <si>
    <t>Adjustments For:</t>
  </si>
  <si>
    <t>Operating Profit Before Working Capital Changes</t>
  </si>
  <si>
    <t>Net Cash Flow From Operating Activities (A)</t>
  </si>
  <si>
    <t>Cash Flow From Investing Activities:</t>
  </si>
  <si>
    <t>Purchase Of Fixed Assets</t>
  </si>
  <si>
    <t>Advance For Purchase Of Fixed Assets</t>
  </si>
  <si>
    <t>Sale Of Fixed Assets</t>
  </si>
  <si>
    <t>Net Cash Flow From Investing Activities (B)</t>
  </si>
  <si>
    <t/>
  </si>
  <si>
    <t>Cash Flow From Financing Activities:</t>
  </si>
  <si>
    <t>Short Term Borrowing</t>
  </si>
  <si>
    <t>Net Cash Flow From Financing Activities (C)</t>
  </si>
  <si>
    <t>Net Increase / (Decrease) In Cash &amp; Cash Equivalents (A+B+C)</t>
  </si>
  <si>
    <t>Cash And Cash Equivalents As At The Beginning Of The Year</t>
  </si>
  <si>
    <t>Cash And Cash Equivalents As At The End Of The Year</t>
  </si>
  <si>
    <t>Cash comprises Cash on Hand, Current Accounts and Deposits with Banks. Cash Equivalents are Short-Term Balances (with an original maturity of three months or less from the date of acquisition), highly liquid investments that are readily convertible into known amounts of cash and which are subject to insignificant risk of changes in value.</t>
  </si>
  <si>
    <t>The previous year’s figures have been regrouped/ restated wherever necessary to conform to this year’s classification.</t>
  </si>
  <si>
    <t>Surplus</t>
  </si>
  <si>
    <t>Opening Balance</t>
  </si>
  <si>
    <t>Closing Balance</t>
  </si>
  <si>
    <t>Deferred Tax Liability</t>
  </si>
  <si>
    <t xml:space="preserve">Total </t>
  </si>
  <si>
    <t>Deposits</t>
  </si>
  <si>
    <t>Other Assets</t>
  </si>
  <si>
    <t>Finished Goods</t>
  </si>
  <si>
    <t>…Etc</t>
  </si>
  <si>
    <t>Note : 2   Share Capital</t>
  </si>
  <si>
    <t>Note:</t>
  </si>
  <si>
    <t xml:space="preserve">Class of shares / Name of shareholder </t>
  </si>
  <si>
    <t>TOTAL</t>
  </si>
  <si>
    <t>ISSUED, SUBSCRIBED &amp; PAID UP CAPITAL :</t>
  </si>
  <si>
    <t>(B) Details Of Shares Held By Each Shareholder Holding More Than 5% Shares:</t>
  </si>
  <si>
    <t>Each shareholder is entitled to one vote for per share with a right to receive per share dividend declared by the Company.</t>
  </si>
  <si>
    <t>Number Of Shares Held</t>
  </si>
  <si>
    <t xml:space="preserve">% Holding In That Class Of Shares </t>
  </si>
  <si>
    <t>(A) AUTHORISED SHARE CAPITAL :</t>
  </si>
  <si>
    <t>(C) Reconciliation Of The Number Of Shares And Amount Outstanding At The Beginning And At The End Of The Reporting Period:</t>
  </si>
  <si>
    <t>Equity Shares With Voting Rights</t>
  </si>
  <si>
    <t>- Number Of Shares</t>
  </si>
  <si>
    <t>Note : 9 Fixed Assets</t>
  </si>
  <si>
    <t>Electrical Instalation</t>
  </si>
  <si>
    <t>Furniture &amp; Fixture</t>
  </si>
  <si>
    <t>Land &amp; Building</t>
  </si>
  <si>
    <t>Office Equipments</t>
  </si>
  <si>
    <t>Plant &amp; Machinery</t>
  </si>
  <si>
    <t>Testing Equipment</t>
  </si>
  <si>
    <t>Vehicle</t>
  </si>
  <si>
    <t>Grand Total</t>
  </si>
  <si>
    <t>Addition During The Year</t>
  </si>
  <si>
    <t>Deletions During The Year</t>
  </si>
  <si>
    <t>Balance As On &lt;CY Date&gt;</t>
  </si>
  <si>
    <t>Balance As On &lt;PY Date&gt;</t>
  </si>
  <si>
    <t>Depreciation For FY &lt;CY Date&gt;</t>
  </si>
  <si>
    <t>Sr. No.</t>
  </si>
  <si>
    <t>Accumulated Depreciation</t>
  </si>
  <si>
    <t>Nature Of The Fixed Assets</t>
  </si>
  <si>
    <t>Gross Carrying Amounts</t>
  </si>
  <si>
    <t>Net Carrying Amounts</t>
  </si>
  <si>
    <t>Value As At 
Beginning Of Financial Year</t>
  </si>
  <si>
    <t>Additions 
During
Financial Year</t>
  </si>
  <si>
    <t>Deductions During
Financial Year</t>
  </si>
  <si>
    <t>Value As At 
End Of Financial Year</t>
  </si>
  <si>
    <t>Depreciation During The Financial Year</t>
  </si>
  <si>
    <t>Sales/ Adjustment During The Financial Year</t>
  </si>
  <si>
    <t>Value As At 
End Of Current Year</t>
  </si>
  <si>
    <t>Value As At 
End Of Previous Year</t>
  </si>
  <si>
    <t>A) Raw Material Consumed</t>
  </si>
  <si>
    <t>Opening Stock</t>
  </si>
  <si>
    <t>Add : Purchases</t>
  </si>
  <si>
    <t>Less : Closing Stock</t>
  </si>
  <si>
    <t>Raw Material Consumed</t>
  </si>
  <si>
    <t>A</t>
  </si>
  <si>
    <t>B) Stores &amp; Consumables</t>
  </si>
  <si>
    <t>Purchases</t>
  </si>
  <si>
    <t>Stores Consumed</t>
  </si>
  <si>
    <t>B</t>
  </si>
  <si>
    <t>Total (A)</t>
  </si>
  <si>
    <t>Total (B)</t>
  </si>
  <si>
    <t>Salary &amp; Wages</t>
  </si>
  <si>
    <t>Employees State Insurance</t>
  </si>
  <si>
    <t>Director Remuneration</t>
  </si>
  <si>
    <t>Payment To Auditors</t>
  </si>
  <si>
    <t>Statutory Audit</t>
  </si>
  <si>
    <t>Taxation Matters</t>
  </si>
  <si>
    <t>Labour Contract Charges</t>
  </si>
  <si>
    <t>Insurance</t>
  </si>
  <si>
    <t>Power And Fuel</t>
  </si>
  <si>
    <t xml:space="preserve">Factory Rent </t>
  </si>
  <si>
    <t>Travelling  Expenses</t>
  </si>
  <si>
    <t>Misc. Expenses</t>
  </si>
  <si>
    <t>Repair To Machinery</t>
  </si>
  <si>
    <t>Rates And Taxes</t>
  </si>
  <si>
    <t>Office Expenses</t>
  </si>
  <si>
    <t>Operating Expenses</t>
  </si>
  <si>
    <t>Other Repair And Maintanance</t>
  </si>
  <si>
    <t>Repairs To Building</t>
  </si>
  <si>
    <t>Printing Expenses</t>
  </si>
  <si>
    <t>Debt Written Off</t>
  </si>
  <si>
    <t>Net Profit After Tax</t>
  </si>
  <si>
    <t xml:space="preserve">Weighted Average Number Of Equity Shares </t>
  </si>
  <si>
    <t>Interest On Income Tax</t>
  </si>
  <si>
    <t>The above Cash Flow Statement has been prepared under the ‘Indirect Method’ as set out in the Accounting Standard 3 (AS-3), “Cash Flow Statements” prescribed in Companies (Accounts) Rule, 2014.</t>
  </si>
  <si>
    <t>(b) Deferred Tax Liability (Net)</t>
  </si>
  <si>
    <t>(c) Other Long-Term Liability</t>
  </si>
  <si>
    <t>(d) Long-Term Provisions</t>
  </si>
  <si>
    <t>- total outstanding dues of creditors other than micro enterprises and small enterprises</t>
  </si>
  <si>
    <t>- total outstanding dues of micro enterprises and small enterprises; and</t>
  </si>
  <si>
    <t>(d) Short-Term Provisions</t>
  </si>
  <si>
    <t>(a) Property, Plant and Equipment and Intangible Assets</t>
  </si>
  <si>
    <t xml:space="preserve">     (ii) Intangible Assets</t>
  </si>
  <si>
    <t xml:space="preserve">      (i) Property, Plant and Equipment </t>
  </si>
  <si>
    <t xml:space="preserve">    (iii) Capital Work in Progress</t>
  </si>
  <si>
    <t xml:space="preserve">    (iv) Intangible Assets Under Development</t>
  </si>
  <si>
    <t>(b) Non-Current Investments</t>
  </si>
  <si>
    <t>(c) Deferred Tax Assets (Net)</t>
  </si>
  <si>
    <t>(d) Long-Term Loans and Advances</t>
  </si>
  <si>
    <t>(a) Current  Investments</t>
  </si>
  <si>
    <t>(b) Inventories</t>
  </si>
  <si>
    <t>(c) Trade Receivables</t>
  </si>
  <si>
    <t>(d) Cash and Cash Equivalents</t>
  </si>
  <si>
    <t>(e) Short-Term Loans and Advances</t>
  </si>
  <si>
    <t>(f) Other Current Assets</t>
  </si>
  <si>
    <t>Shares held by promoters at the end of the year</t>
  </si>
  <si>
    <t>% Change during the year***</t>
  </si>
  <si>
    <t>Promotor Name</t>
  </si>
  <si>
    <t>No of Shares Held</t>
  </si>
  <si>
    <t>% of Total Shares</t>
  </si>
  <si>
    <t>&lt;Name&gt;</t>
  </si>
  <si>
    <t>**</t>
  </si>
  <si>
    <t>** Details shall be given separately for each class of shares</t>
  </si>
  <si>
    <t>*** percentage change shall be computed with respect to the number at the beginning of the year</t>
  </si>
  <si>
    <t>or if issued during the year for the first time then with respect to the date of issue</t>
  </si>
  <si>
    <t>Capital Redemption Reserve</t>
  </si>
  <si>
    <t>Add:</t>
  </si>
  <si>
    <t>Capital Reserves</t>
  </si>
  <si>
    <t>Securities Premium</t>
  </si>
  <si>
    <t>Debenture Redemption Reserve</t>
  </si>
  <si>
    <t>Revaluation Reserve</t>
  </si>
  <si>
    <t xml:space="preserve"> Share Options Outstanding Account</t>
  </si>
  <si>
    <t>Other Reserves-(specify the nature and purpose of each reserve and the amount in respect thereof)</t>
  </si>
  <si>
    <t>Surplus Transferred from Statement of Profit and Loss</t>
  </si>
  <si>
    <t>Bonds and Debentures</t>
  </si>
  <si>
    <t>Term Loans</t>
  </si>
  <si>
    <t xml:space="preserve">     -from Banks</t>
  </si>
  <si>
    <t xml:space="preserve">    - from Other Parties</t>
  </si>
  <si>
    <t>Deferred Payment Liabilities</t>
  </si>
  <si>
    <t>Loans And Advances From Related Parties</t>
  </si>
  <si>
    <t>Long Term Maturities Of Finance Lease Obligations</t>
  </si>
  <si>
    <t>Additional Notes</t>
  </si>
  <si>
    <t>Borrowings shall further be sub-classified as secured and unsecured. Nature of security shall be specified separately in each case.</t>
  </si>
  <si>
    <t>Where loans have been guaranteed by Directors or others, the aggregate amount of such loans under each head shall be disclosed.</t>
  </si>
  <si>
    <t xml:space="preserve">Bonds/debentures (along with the rate of interest and particulars of redemption or conversion, as the case may be) shall be stated in descending order of maturity or conversion, starting from farthest redemption or conversion date, as the case may be. Where bonds/debentures are redeemable by instalments, the date of maturity for this purpose must be reckoned as the date on which the first instalment becomes due.
</t>
  </si>
  <si>
    <t>Particulars of any redeemed bonds/debentures which the company has power to reissue shall be disclosed.</t>
  </si>
  <si>
    <t>Terms of repayment of term loans and other loans shall be stated.</t>
  </si>
  <si>
    <t>Period and amount of continuing default as on the balance sheet date in repayment of loans and interest, shall be specified separately in each case.</t>
  </si>
  <si>
    <t>Long-Term Borrowings</t>
  </si>
  <si>
    <t>Trade Payables</t>
  </si>
  <si>
    <t>Others</t>
  </si>
  <si>
    <t>Provision For Employee Benefits</t>
  </si>
  <si>
    <t>Loans Repayable on Demand</t>
  </si>
  <si>
    <t xml:space="preserve">    - from Banks</t>
  </si>
  <si>
    <t xml:space="preserve">   - from Other Parties</t>
  </si>
  <si>
    <t>Loans and Advances from Related Parties</t>
  </si>
  <si>
    <t>Other Loans And Advances (Specify Nature)</t>
  </si>
  <si>
    <t xml:space="preserve"> Borrowings shall further be sub-classified as secured and unsecured. Nature of security shall be specified separately in each case.</t>
  </si>
  <si>
    <t xml:space="preserve"> Where loans have been guaranteed by Directors or others, the aggregate amount of such loans under each head shall be disclosed.</t>
  </si>
  <si>
    <t xml:space="preserve"> Period and amount of default as on the balance sheet date in repayment of loans and interest, shall be specified separately in each case.</t>
  </si>
  <si>
    <t>Current maturities of Long term borrowings shall be disclosed separately</t>
  </si>
  <si>
    <t>Short-Term Borrowings</t>
  </si>
  <si>
    <t>The following details relating to Micro, Small and Medium Enterprises shall be disclosed in the notes:-</t>
  </si>
  <si>
    <t>(a) the principal amount and the interest due thereon (to be shown separately) remaining unpaid to any supplier at the end of each accounting year;</t>
  </si>
  <si>
    <t>(b) the amount of interest paid by the buyer in terms of section 16 of the Micro, Small and Medium Enterprises Development Act, 2006, along with the amount of the payment made to the supplier beyond the appointed day during each accounting year;</t>
  </si>
  <si>
    <t>(c) the amount of interest due and payable for the period of detay in making payment (which have been paid but beyond the appointed day during the year) but without adding the interest specified under the Micro, Small and Medium Enterprises Development Act, 2006;</t>
  </si>
  <si>
    <t>(d) the amount of interest accrued and remaining unpaid at the end of each accountang year; and</t>
  </si>
  <si>
    <t>(e) the amount of further interest remaining due and payable even in the succeeding years, until such date when the interest dues above are actually paid to the small enterprise, for the purpose of disallowance of a deductible expenditure under section 23 of the Micro, Small and Medium Enterprises Development Act, 2006.</t>
  </si>
  <si>
    <t>Explanation.-The terms'appointed day','buyer','enterprise','micro enterprise', 'small enterprise'and'supplier', shall have the same meaning assigned to those under clauses (b), (d), (e), (h), (m) and (n) respectively of section 2 of the Micro, Small and Medium Enterprises Development Act, 2006.</t>
  </si>
  <si>
    <t>Less than 1 year</t>
  </si>
  <si>
    <t>1-2 years</t>
  </si>
  <si>
    <t>2-3 years</t>
  </si>
  <si>
    <t>More than 3 years</t>
  </si>
  <si>
    <t>(i)MSME</t>
  </si>
  <si>
    <t>(ii)Others</t>
  </si>
  <si>
    <t xml:space="preserve">           MSME</t>
  </si>
  <si>
    <t xml:space="preserve">           Others</t>
  </si>
  <si>
    <t>(iii) Disputed dues</t>
  </si>
  <si>
    <t># similar information shall be given where no due date of payment is specified in that case disclosure shall be from the date of the transaction.</t>
  </si>
  <si>
    <t>Outstanding For Following Periods From Due Date Of Payment#</t>
  </si>
  <si>
    <t>Application Money Received For Allotment Of Securities And Due For Refund And Interest Accrued Thereon</t>
  </si>
  <si>
    <t>Provision for Employees Benefits</t>
  </si>
  <si>
    <t>Others (Specify Nature)</t>
  </si>
  <si>
    <t>A reconciliation of the gross and net carrying amounts of each class of assets at the beginning and end of the reporting period showing additions, disposals, acquisitions through business combinations, amount of change due to revaluation (if change is 10% or more in the aggregate of the net carrying value of each class of Property, Plant and Equipment) and other adjustments and the related depreciation and impairment losses/reversals shall be disclosed separately.</t>
  </si>
  <si>
    <t>Property, Plant and Equipment and Intangible Assets</t>
  </si>
  <si>
    <t>Where sums have been written-off on a reduction of capital or revaluation of assets or where sums have been added on revaluation of assets, every balance sheet subsequent to date of such write-off, or addition shall show the reduced or increased figures as applicable and shall by way of a note also show the amount of the reduction or increase as applicable together with the date thereof for the first five years subsequent to the date of such reduction or increase.</t>
  </si>
  <si>
    <t xml:space="preserve"> Goodwill</t>
  </si>
  <si>
    <t xml:space="preserve"> Brands /Trademarks</t>
  </si>
  <si>
    <t xml:space="preserve"> Computer Software</t>
  </si>
  <si>
    <t xml:space="preserve"> Mastheads And Publishing Titles</t>
  </si>
  <si>
    <t xml:space="preserve"> Mining Rights</t>
  </si>
  <si>
    <t xml:space="preserve"> Recipes, Formulae, Models, Designs And Prototypes</t>
  </si>
  <si>
    <t xml:space="preserve"> Licences And Franchise</t>
  </si>
  <si>
    <t xml:space="preserve"> Others (Specify Nature)</t>
  </si>
  <si>
    <t xml:space="preserve">Less: </t>
  </si>
  <si>
    <t>Transferred from Reserves</t>
  </si>
  <si>
    <t>(e) Other Non-Current Asset</t>
  </si>
  <si>
    <t>Intangible Assets</t>
  </si>
  <si>
    <t>Non Current Investments</t>
  </si>
  <si>
    <t xml:space="preserve"> Investment Property</t>
  </si>
  <si>
    <t xml:space="preserve"> Investments In Equity Instruments</t>
  </si>
  <si>
    <t xml:space="preserve"> Investments In Preference Shares</t>
  </si>
  <si>
    <t xml:space="preserve"> Investments In Government Or Trust Securities</t>
  </si>
  <si>
    <t xml:space="preserve"> Investments In Debentures Or Bonds</t>
  </si>
  <si>
    <t xml:space="preserve"> Investments In Mutual Funds</t>
  </si>
  <si>
    <t xml:space="preserve"> Investments In Partnership Firms</t>
  </si>
  <si>
    <t xml:space="preserve"> Other Non-Current Investments (Specify Nature)</t>
  </si>
  <si>
    <t>Non- Current Investments</t>
  </si>
  <si>
    <t>Investments carried at other than at cost should be separately stated specifying the basis for valuation thereof;</t>
  </si>
  <si>
    <t>The following shall also be disclosed:</t>
  </si>
  <si>
    <t>Aggregate amount of quoted investments and market value thereof;</t>
  </si>
  <si>
    <t>Aggregate amount of unquoted investments;</t>
  </si>
  <si>
    <t>Aggregate provision for diminution in value of investments.</t>
  </si>
  <si>
    <t>Long-Term Loans and  Advances</t>
  </si>
  <si>
    <t>Capital Advances</t>
  </si>
  <si>
    <t>Loans And Advances To Related Parties (Giving Details Thereof)</t>
  </si>
  <si>
    <t>(a) Secured, considered good;</t>
  </si>
  <si>
    <t>(b) Unsecured, considered good;</t>
  </si>
  <si>
    <t>(c) Doubtful.</t>
  </si>
  <si>
    <t>Long-term Loans and Advances</t>
  </si>
  <si>
    <t>The details shall also be separately sub-classified as:</t>
  </si>
  <si>
    <t>Allowance for bad and doubtful loans and advances shall be disclosed under the relevant heads separately.</t>
  </si>
  <si>
    <r>
      <t>Loans and advances due by Directors or other officers of the </t>
    </r>
    <r>
      <rPr>
        <u/>
        <sz val="11"/>
        <color rgb="FF0000FF"/>
        <rFont val="Calibri"/>
        <family val="2"/>
        <scheme val="minor"/>
      </rPr>
      <t>company</t>
    </r>
    <r>
      <rPr>
        <sz val="11"/>
        <color rgb="FF333333"/>
        <rFont val="Calibri"/>
        <family val="2"/>
        <scheme val="minor"/>
      </rPr>
      <t> or any of them either severally or jointly with any other persons or amounts due by firms or private companies respectively in which any </t>
    </r>
    <r>
      <rPr>
        <u/>
        <sz val="11"/>
        <color rgb="FF0000FF"/>
        <rFont val="Calibri"/>
        <family val="2"/>
        <scheme val="minor"/>
      </rPr>
      <t>director</t>
    </r>
    <r>
      <rPr>
        <sz val="11"/>
        <color rgb="FF333333"/>
        <rFont val="Calibri"/>
        <family val="2"/>
        <scheme val="minor"/>
      </rPr>
      <t> is a partner or a </t>
    </r>
    <r>
      <rPr>
        <u/>
        <sz val="11"/>
        <color rgb="FF0000FF"/>
        <rFont val="Calibri"/>
        <family val="2"/>
        <scheme val="minor"/>
      </rPr>
      <t>director</t>
    </r>
    <r>
      <rPr>
        <sz val="11"/>
        <color rgb="FF333333"/>
        <rFont val="Calibri"/>
        <family val="2"/>
        <scheme val="minor"/>
      </rPr>
      <t> or a </t>
    </r>
    <r>
      <rPr>
        <u/>
        <sz val="11"/>
        <color rgb="FF0000FF"/>
        <rFont val="Calibri"/>
        <family val="2"/>
        <scheme val="minor"/>
      </rPr>
      <t>member</t>
    </r>
    <r>
      <rPr>
        <sz val="11"/>
        <color rgb="FF333333"/>
        <rFont val="Calibri"/>
        <family val="2"/>
        <scheme val="minor"/>
      </rPr>
      <t> should be separately stated.</t>
    </r>
  </si>
  <si>
    <t>Other Non-Current Assets</t>
  </si>
  <si>
    <t>(A) (a) Secured, considered good;</t>
  </si>
  <si>
    <t>(B) Unsecured, considered good;</t>
  </si>
  <si>
    <t>(C) Doubtful.</t>
  </si>
  <si>
    <t>Allowance for bad and doubtful debts shall be disclosed under the relevant heads separately.</t>
  </si>
  <si>
    <t>Debts due by Directors or other officers of the company or any of them either severally or jointly with any other person or debts due by firms or private companies respectively in which any director is a partner or a director or a member should be separately stated.</t>
  </si>
  <si>
    <t>Current Investments</t>
  </si>
  <si>
    <t xml:space="preserve"> Other Investments (Specify Nature)</t>
  </si>
  <si>
    <t>(a) The basis of valuation of individual investments;</t>
  </si>
  <si>
    <t>(b) Aggregate amount of quoted investments and market value thereof;</t>
  </si>
  <si>
    <t>(c) Aggregate amount of unquoted investments;</t>
  </si>
  <si>
    <t>(d) Aggregate provision made for diminution in value of investments.</t>
  </si>
  <si>
    <t>Under each classification, details shall be given of names of the bodies corporate [indicating separately whether such bodies are: (i) subsidiaries, (ii) associates, (iii) joint ventures, or (iv) controlled special purpose entities] in whom investments have been made and the nature and extent of the investment so made in each such body corporate (showing separately investments which are partly paid). In regard to investments in the capital of partnership firms, the names of the firms (with the names of all their partners, total capital and the shares of each partner) shall be given.</t>
  </si>
  <si>
    <t xml:space="preserve"> Inventories shall be classified as:</t>
  </si>
  <si>
    <t xml:space="preserve"> Raw Materials</t>
  </si>
  <si>
    <t xml:space="preserve"> Work-In-Progress</t>
  </si>
  <si>
    <t xml:space="preserve"> Finished Goods</t>
  </si>
  <si>
    <t xml:space="preserve"> Stock-In-Trade </t>
  </si>
  <si>
    <t xml:space="preserve"> Stores And Spares</t>
  </si>
  <si>
    <t xml:space="preserve"> Loose Tools</t>
  </si>
  <si>
    <t>Goods-in-transit shall be disclosed under the relevant sub-head of inventories.</t>
  </si>
  <si>
    <t>Mode of valuation shall be stated.</t>
  </si>
  <si>
    <t>Trade Receivables</t>
  </si>
  <si>
    <t>Cheques, Drafts On Hand</t>
  </si>
  <si>
    <t>Cash On Hand</t>
  </si>
  <si>
    <t>Cash and Cash Equivalents</t>
  </si>
  <si>
    <t>Earmarked balances with banks (for example, for unpaid dividend) shall be separately stated.</t>
  </si>
  <si>
    <t>Balances with banks to the extent held as margin money or security against the borrowings, guarantees, other commitments shall be disclosed separately.</t>
  </si>
  <si>
    <t>Repatriation restrictions, if any, in respect of cash and bank balances shall be separately stated.</t>
  </si>
  <si>
    <t>Bank deposits with more than twelve months maturity shall be disclosed separately.</t>
  </si>
  <si>
    <t>Short Term Loans and Advances</t>
  </si>
  <si>
    <t>The above shall also be sub-classified as:</t>
  </si>
  <si>
    <r>
      <t>Loans and advances due by Directors or other officers of the </t>
    </r>
    <r>
      <rPr>
        <u/>
        <sz val="11"/>
        <color rgb="FF0000FF"/>
        <rFont val="Calibri"/>
        <family val="2"/>
        <scheme val="minor"/>
      </rPr>
      <t>company</t>
    </r>
    <r>
      <rPr>
        <sz val="11"/>
        <color rgb="FF333333"/>
        <rFont val="Calibri"/>
        <family val="2"/>
        <scheme val="minor"/>
      </rPr>
      <t> or any of them either severally or jointly with any other person or amounts due by firms or private companies respectively in which any </t>
    </r>
    <r>
      <rPr>
        <u/>
        <sz val="11"/>
        <color rgb="FF0000FF"/>
        <rFont val="Calibri"/>
        <family val="2"/>
        <scheme val="minor"/>
      </rPr>
      <t>director</t>
    </r>
    <r>
      <rPr>
        <sz val="11"/>
        <color rgb="FF333333"/>
        <rFont val="Calibri"/>
        <family val="2"/>
        <scheme val="minor"/>
      </rPr>
      <t> is a partner or a </t>
    </r>
    <r>
      <rPr>
        <u/>
        <sz val="11"/>
        <color rgb="FF0000FF"/>
        <rFont val="Calibri"/>
        <family val="2"/>
        <scheme val="minor"/>
      </rPr>
      <t>director</t>
    </r>
    <r>
      <rPr>
        <sz val="11"/>
        <color rgb="FF333333"/>
        <rFont val="Calibri"/>
        <family val="2"/>
        <scheme val="minor"/>
      </rPr>
      <t> or a </t>
    </r>
    <r>
      <rPr>
        <u/>
        <sz val="11"/>
        <color rgb="FF0000FF"/>
        <rFont val="Calibri"/>
        <family val="2"/>
        <scheme val="minor"/>
      </rPr>
      <t>member</t>
    </r>
    <r>
      <rPr>
        <sz val="11"/>
        <color rgb="FF333333"/>
        <rFont val="Calibri"/>
        <family val="2"/>
        <scheme val="minor"/>
      </rPr>
      <t> shall be separately stated.</t>
    </r>
  </si>
  <si>
    <t>Changes in Inventory of</t>
  </si>
  <si>
    <t xml:space="preserve">       -Finished Goods</t>
  </si>
  <si>
    <t xml:space="preserve">       -Stock in Trade</t>
  </si>
  <si>
    <t xml:space="preserve">       -Work In Progress</t>
  </si>
  <si>
    <t>Less: Excise Duty</t>
  </si>
  <si>
    <t>(a) Interest; and</t>
  </si>
  <si>
    <t>(b) Other financial services.</t>
  </si>
  <si>
    <t>Revenue under each of the above heads shall be disclosed separately by way of notes to accounts to the extent applicable.</t>
  </si>
  <si>
    <t>In Respect of a Finance Company</t>
  </si>
  <si>
    <t>Dividend Income</t>
  </si>
  <si>
    <t>Net Gain/Loss On Sale Of Investments</t>
  </si>
  <si>
    <t>Other Non - Operating Income (net of expenses directly attributable to such income)</t>
  </si>
  <si>
    <t>Employers Contribution To Providend Fund</t>
  </si>
  <si>
    <t>Interest Paid During The Year</t>
  </si>
  <si>
    <t>Other Borrowing Cost</t>
  </si>
  <si>
    <t>Applicable Net Gain/Loss On Foreign Currency Transactions And Translation</t>
  </si>
  <si>
    <t>&lt;PY Balance Sheet Date&gt;</t>
  </si>
  <si>
    <t>&lt;Memership Number of Signing Partner&gt;</t>
  </si>
  <si>
    <t>&lt;Name of the Director (1) of the Company&gt;</t>
  </si>
  <si>
    <t>&lt;Name of the Director (2) of the Company&gt;</t>
  </si>
  <si>
    <t>&lt;DIN of Director (1)&gt;</t>
  </si>
  <si>
    <t>&lt;DIN of Director (2)&gt;</t>
  </si>
  <si>
    <t>&lt;CY Balance Sheet Date&gt;</t>
  </si>
  <si>
    <t>&lt;Regsitered Office Address 1&gt;</t>
  </si>
  <si>
    <t>&lt;Regsitered Office Address 2&gt;</t>
  </si>
  <si>
    <t>&lt;Regsitered Office Address 3&gt;</t>
  </si>
  <si>
    <t>Check- List</t>
  </si>
  <si>
    <t>&lt;Values&gt;</t>
  </si>
  <si>
    <t>Outstanding for following periods from due date of transaction</t>
  </si>
  <si>
    <t>less than 1 Year</t>
  </si>
  <si>
    <t>1year-2year</t>
  </si>
  <si>
    <t>2year-3year</t>
  </si>
  <si>
    <t>more than 3 years</t>
  </si>
  <si>
    <t xml:space="preserve"> Outstanding for following periods from due date of transaction</t>
  </si>
  <si>
    <t>less than 6 months</t>
  </si>
  <si>
    <t>6months-1year</t>
  </si>
  <si>
    <t>Bonds/debentures (along with the rate of interest and particulars of redemption or conversion, as the case may be) shall be stated in</t>
  </si>
  <si>
    <t>descending order of maturity or conversion, starting from farthest redemption or conversion date, as the case may be. Whe</t>
  </si>
  <si>
    <t>Secured Borrowings</t>
  </si>
  <si>
    <t>Unsecured Borrowings</t>
  </si>
  <si>
    <t>Unpaid Matured Deposits And Interest Accrued Thereon</t>
  </si>
  <si>
    <t>Unpaid Matured Debentures And Interest Accrued Thereon</t>
  </si>
  <si>
    <t>Current Maturities Of Finance Lease Obligations</t>
  </si>
  <si>
    <t>Interest Accrued But Not Due On Borrowings</t>
  </si>
  <si>
    <t>Interest Accrued And Due On Borrowings</t>
  </si>
  <si>
    <t>Income Received In Advance</t>
  </si>
  <si>
    <t>Unpaid Dividends</t>
  </si>
  <si>
    <t>Other Payables (Specify Nature)</t>
  </si>
  <si>
    <t>i</t>
  </si>
  <si>
    <t>ii</t>
  </si>
  <si>
    <t>iii</t>
  </si>
  <si>
    <t>iv</t>
  </si>
  <si>
    <t>v</t>
  </si>
  <si>
    <t>vi</t>
  </si>
  <si>
    <t>vii</t>
  </si>
  <si>
    <t>viii</t>
  </si>
  <si>
    <t>ix</t>
  </si>
  <si>
    <t>x</t>
  </si>
  <si>
    <t>xi</t>
  </si>
  <si>
    <t>xii</t>
  </si>
  <si>
    <t>xiii</t>
  </si>
  <si>
    <t>xiv</t>
  </si>
  <si>
    <t>xv</t>
  </si>
  <si>
    <t>xvi</t>
  </si>
  <si>
    <t>xvii</t>
  </si>
  <si>
    <t>xviii</t>
  </si>
  <si>
    <t>xix</t>
  </si>
  <si>
    <t>xx</t>
  </si>
  <si>
    <t>MSME</t>
  </si>
  <si>
    <t>Disputed Dues - Others</t>
  </si>
  <si>
    <t>Under each classification, details shall be given of names of the bodies corporate indicating separately whether such</t>
  </si>
  <si>
    <t>bodies are (i) subsidiaries, (ii) associates, (iii) joint ventures, or (iv) controlled special purpose entities in whom</t>
  </si>
  <si>
    <t xml:space="preserve">investments have </t>
  </si>
  <si>
    <t>Current Maturities of Long Term Debt</t>
  </si>
  <si>
    <t>A reconciliation of the gross and net carrying amounts of each class of assets at the beginning and end of the reporting</t>
  </si>
  <si>
    <t>period showing additions, disposals, acquisitions through business combinations, amount of change due to revaluation</t>
  </si>
  <si>
    <t>Where sums have been written-off on a reduction of capital or revaluation of assets or where sums have been added on</t>
  </si>
  <si>
    <t>revaluation of assets, every balance sheet subsequent to date of such write-off, or addition shall show the reduced or</t>
  </si>
  <si>
    <t>increased figures a</t>
  </si>
  <si>
    <t>(if change is 10%)</t>
  </si>
  <si>
    <t xml:space="preserve">increased figures </t>
  </si>
  <si>
    <t>Copyrights, And Patents And Other Intellectual Property Rights, 
Services And Operating Rights</t>
  </si>
  <si>
    <t>A reconciliation of the gross and net carrying amounts of each class of assets at the beginning and end</t>
  </si>
  <si>
    <t>of the reporting period showing additions, disposals, acquisitions through business combinations,</t>
  </si>
  <si>
    <t>amount of change due to revaluation (if change is 10%</t>
  </si>
  <si>
    <t>Where sums have been written-off on a reduction of capital or revaluation of assets or where sums</t>
  </si>
  <si>
    <t>have been added on revaluation of assets, every balance sheet subsequent to date of such write-off, or</t>
  </si>
  <si>
    <t xml:space="preserve">addition shall show the reduced or increased figures </t>
  </si>
  <si>
    <t>Long-term Trade Receivables
 (including trade receivables on deferred credit terms)</t>
  </si>
  <si>
    <t>Security Deposits</t>
  </si>
  <si>
    <t>- Secured, considered good</t>
  </si>
  <si>
    <t>- Unsecured, considered good</t>
  </si>
  <si>
    <t>- Doubtful</t>
  </si>
  <si>
    <t>Debts due by Directors or other officers of the company or any of them either severally or jointly</t>
  </si>
  <si>
    <t>with any other person or debts due by firms or private companies respectively in which any</t>
  </si>
  <si>
    <t>director is a partner or a director or a member should be separat</t>
  </si>
  <si>
    <t>Under each classification, details shall be given of names of the bodies corporate [indicating separately whether such</t>
  </si>
  <si>
    <t>bodies are: (i) subsidiaries, (ii) associates, (iii) joint ventures, or (iv) controlled special purpose entities] in whom</t>
  </si>
  <si>
    <t>investments have been made and the nature and extent of the investment so made in each such body corporate (showing separately investments which are partly paid). In regard to</t>
  </si>
  <si>
    <t>(with the names of all their partners, total capital and the shares of each partner) shall be given.</t>
  </si>
  <si>
    <t>investments in the capital of partnership firms, the names of the firms</t>
  </si>
  <si>
    <t>Sale of Services :</t>
  </si>
  <si>
    <t>Grants or Donations Received (relevant in case of section 8 companies only)</t>
  </si>
  <si>
    <t>Other Operating Revenue</t>
  </si>
  <si>
    <t>Sale Of Product</t>
  </si>
  <si>
    <t>(D) Shares held by promoters</t>
  </si>
  <si>
    <t>% Change during the year</t>
  </si>
  <si>
    <t>Major Head</t>
  </si>
  <si>
    <t xml:space="preserve">Sub Head </t>
  </si>
  <si>
    <t>Sub to sub head</t>
  </si>
  <si>
    <t>Reserve &amp; Surplus</t>
  </si>
  <si>
    <t>Other Reserves</t>
  </si>
  <si>
    <t>Nature</t>
  </si>
  <si>
    <t>Secured</t>
  </si>
  <si>
    <t>from Banks</t>
  </si>
  <si>
    <t>from Other Parties</t>
  </si>
  <si>
    <t>Unsecured</t>
  </si>
  <si>
    <t>Other Long-term Liabilities</t>
  </si>
  <si>
    <t>Long-Term Provisions</t>
  </si>
  <si>
    <t>Other Current Liabilites</t>
  </si>
  <si>
    <t>Doubtful</t>
  </si>
  <si>
    <t>Long-term Trade Receivables</t>
  </si>
  <si>
    <t>Inventories</t>
  </si>
  <si>
    <t>Short Term Loans and Advance</t>
  </si>
  <si>
    <t>Loans And Advances To Related Parties</t>
  </si>
  <si>
    <t>Revenue From Operations</t>
  </si>
  <si>
    <t>Grants or Donations Received</t>
  </si>
  <si>
    <t>Excise Duty</t>
  </si>
  <si>
    <t>Other Income</t>
  </si>
  <si>
    <t>Other Non - Operating Income</t>
  </si>
  <si>
    <t>Closing stock</t>
  </si>
  <si>
    <t>Stores &amp; Consumables</t>
  </si>
  <si>
    <t>(Increase)/Decrease in Stocks</t>
  </si>
  <si>
    <t>Employees Remuneration &amp; Benefits</t>
  </si>
  <si>
    <t>Dr/Cr</t>
  </si>
  <si>
    <t>Dr.</t>
  </si>
  <si>
    <t>Cr.</t>
  </si>
  <si>
    <t>Trial Balance</t>
  </si>
  <si>
    <t>Short Term Provisions</t>
  </si>
  <si>
    <t>&lt;Face Value per Shares&gt;</t>
  </si>
  <si>
    <t>ISSUED, SUBSCRIBED &amp; PAID UP CAPITAL</t>
  </si>
  <si>
    <t>Share Capital</t>
  </si>
  <si>
    <t xml:space="preserve"> Purchase Of Stock in Trade</t>
  </si>
  <si>
    <t>SUM IF LIST</t>
  </si>
  <si>
    <t>VALUE</t>
  </si>
  <si>
    <t>INDENTATION</t>
  </si>
  <si>
    <t>Note : 3 Reserve &amp; Surplus</t>
  </si>
  <si>
    <t>Note : 4  Long-Term Borrowings</t>
  </si>
  <si>
    <t>Note : 5  Deferred Tax Liability</t>
  </si>
  <si>
    <t>Note : 6 Other Long-term Liabilities</t>
  </si>
  <si>
    <t>Note : 7 Long-Term Provisions</t>
  </si>
  <si>
    <t xml:space="preserve">Note : 8  Short Term Borrowing </t>
  </si>
  <si>
    <t>Note  : 9  Trade Payables</t>
  </si>
  <si>
    <t>Note : 10  Other Current Liabilites</t>
  </si>
  <si>
    <t>Note : 11 Short Term Provisions</t>
  </si>
  <si>
    <t>Note : 13 Intangible Assets</t>
  </si>
  <si>
    <t>Note : 12 Property, Plant and Equipments</t>
  </si>
  <si>
    <t>Dates</t>
  </si>
  <si>
    <t>bt</t>
  </si>
  <si>
    <t>In Rs. thousands</t>
  </si>
  <si>
    <t>In Rs. Lakhs</t>
  </si>
  <si>
    <t>In Rs. million</t>
  </si>
  <si>
    <t>In Rs. crores</t>
  </si>
  <si>
    <t>&lt;Turnover Range&gt;</t>
  </si>
  <si>
    <t>100 crore rupees or more</t>
  </si>
  <si>
    <t>Turnover Range</t>
  </si>
  <si>
    <t>less than 100 crore rupees</t>
  </si>
  <si>
    <t> Finance Costs</t>
  </si>
  <si>
    <t>Finance costs shall be classified as:</t>
  </si>
  <si>
    <t>(a) Interest expense;</t>
  </si>
  <si>
    <t>(b) Other borrowing costs;</t>
  </si>
  <si>
    <t>(c) Applicable net gain/loss on foreign currency transactions and translation</t>
  </si>
  <si>
    <t>Other income</t>
  </si>
  <si>
    <t>Other income shall be classified as:</t>
  </si>
  <si>
    <t>(a) Interest Income (in case of a company other than a finance company);</t>
  </si>
  <si>
    <t>(b) Dividend Income;</t>
  </si>
  <si>
    <t>(c) Net gain/loss on sale of investments;</t>
  </si>
  <si>
    <t>(d) Other non-operating income (net of expenses directly attributable to such income).</t>
  </si>
  <si>
    <t>5. Additional Information</t>
  </si>
  <si>
    <t>A Company shall disclose by way of notes additional information regarding aggregate expenditure and income on the following items:—</t>
  </si>
  <si>
    <t>(i) (a) Employee Benefits Expense [showing separately (i) salaries and wages,</t>
  </si>
  <si>
    <t>(ii) contribution to provident and other funds, (iii) expense on Employee Stock Option Scheme (ESOP) and Employee Stock Purchase Plan (ESPP), (iv) staff welfare expenses].</t>
  </si>
  <si>
    <t>(b) Depreciation and amortisation expense;</t>
  </si>
  <si>
    <t>(c) Any item of income or expenditure which exceeds one per cent. of the revenue from operations or Rs.1,00,000, whichever is higher;</t>
  </si>
  <si>
    <t>(d) Interest Income;</t>
  </si>
  <si>
    <t>(e) Interest expense;</t>
  </si>
  <si>
    <t>(f) Dividend income;</t>
  </si>
  <si>
    <t>(g) Net gain/loss on sale of investments;</t>
  </si>
  <si>
    <t>(h) Adjustments to the carrying amount of investments;</t>
  </si>
  <si>
    <t>(i) Net gain or loss on foreign currency transaction and translation (other than considered as finance cost);</t>
  </si>
  <si>
    <t>(j) Payments to the auditor as (a) auditor; (b) for taxation matters; (c) for company law matters; (d) for management services; (e) for other services; and (f) for reimbursement of expenses;</t>
  </si>
  <si>
    <t>(k) In case of Companies covered under section 135, amount of expenditure incurred on corporate social responsibility activities;</t>
  </si>
  <si>
    <t>(l) Details of items of exceptional and extraordinary nature;</t>
  </si>
  <si>
    <t>(m) Prior period items;</t>
  </si>
  <si>
    <t>(ii) (a) In the case of manufacturing companies,—</t>
  </si>
  <si>
    <t>4[(1) Raw materials under broad heads.</t>
  </si>
  <si>
    <t>(2) goods purchased under broad heads.</t>
  </si>
  <si>
    <t>(b) In the case of trading companies, purchases in respect of goods traded in by the company under broad heads.</t>
  </si>
  <si>
    <t>(c) In the case of companies rendering or supplying services, gross income derived from services rendered or supplied under broad heads.</t>
  </si>
  <si>
    <t>(d) In the case of a company, which falls under more than one of the categories mentioned in (a), (b) and (c) above, it shall be sufficient compliance with the requirements herein if purchases, sales and consumption of raw material and the gross income from services rendered is shown under broad heads.</t>
  </si>
  <si>
    <t>5[(e) In the case of other companies, gross income derived under broad heads.</t>
  </si>
  <si>
    <t>(iii) In the case of all concerns having works in progress, works-in-progress under broad heads.</t>
  </si>
  <si>
    <t>(iv) (a) The aggregate, if material, of any amounts set aside or proposed to be set aside, to reserve, but not including provisions made to meet any specific liability, contingency or commitment known to exist at the date as to which the balance sheet is made up.</t>
  </si>
  <si>
    <t>(b) The aggregate, if material, of any amounts withdrawn from such reserves.</t>
  </si>
  <si>
    <t>(v) (a) The aggregate, if material, of the amounts set aside to provisions made for meeting specific liabilities, contingencies or commitments.</t>
  </si>
  <si>
    <t>(b) The aggregate, if material, of the amounts withdrawn from such provisions, as no longer required.</t>
  </si>
  <si>
    <t>(vi) Expenditure incurred on each of the following items, separately for each item:—</t>
  </si>
  <si>
    <t>(a) Consumption of stores and spare parts;</t>
  </si>
  <si>
    <t>(b) Power and fuel;</t>
  </si>
  <si>
    <t>(c) Rent;</t>
  </si>
  <si>
    <t>(d) Repairs to buildings;</t>
  </si>
  <si>
    <t>(e) Repairs to machinery;</t>
  </si>
  <si>
    <t>(f) Insurance;</t>
  </si>
  <si>
    <t>(g) Rates and taxes, excluding, taxes on income;</t>
  </si>
  <si>
    <t>(h) Miscellaneous expenses,</t>
  </si>
  <si>
    <t>(vii) (a) Dividends from subsidiary companies.</t>
  </si>
  <si>
    <t>(b) Provisions for losses of subsidiary companies.</t>
  </si>
  <si>
    <t>(viii) The profit and loss account shall also contain by way of a note the following information, namely: —</t>
  </si>
  <si>
    <t>I. Raw materials;</t>
  </si>
  <si>
    <t>II. Components and spare parts;</t>
  </si>
  <si>
    <t>III. Capital goods;</t>
  </si>
  <si>
    <t>(b) Expenditure in foreign currency during the financial year on account of royalty, know-how, professional and consultation fees, interest, and other matters;</t>
  </si>
  <si>
    <t>(c) Total value if all imported raw materials, spare parts and components consumed during the financial year and the total value of all indigenous raw materials, spare parts and components similarly consumed and the percentage of each to the total consumption;</t>
  </si>
  <si>
    <t>5[(e) Earnings in foreign exchange classified under the following heads, namely:—</t>
  </si>
  <si>
    <t>I. Export of goods calculated on F.O.B. basis;</t>
  </si>
  <si>
    <t>II. Royalty, know-how, professional and consultation fees;</t>
  </si>
  <si>
    <t>III. Interest and dividend;</t>
  </si>
  <si>
    <t>IV. Other income, indicating the nature thereof.]</t>
  </si>
  <si>
    <t>Note:— Broad heads shall be decided taking into account the concept of materiality and presentation of true and fair view of financial statements.</t>
  </si>
  <si>
    <t>14[ (ix) Undisclosed income</t>
  </si>
  <si>
    <t>(x) Corporate Social Responsibility (CSR)</t>
  </si>
  <si>
    <t>(a) amount required to be spent by the company during the year,</t>
  </si>
  <si>
    <t>(b) amount of expenditure incurred,</t>
  </si>
  <si>
    <t>(c) shortfall at the end of the year,</t>
  </si>
  <si>
    <t>(d) total of previous years shortfall,</t>
  </si>
  <si>
    <t>(e) reason for shortfall,</t>
  </si>
  <si>
    <t>(f) nature of CSR activities,</t>
  </si>
  <si>
    <t>(g) details of related party transactions, e.g., contribution to a trust controlled by the company</t>
  </si>
  <si>
    <t>in relation to CSR expenditure as per relevant Accounting Standard,</t>
  </si>
  <si>
    <t>(h) where a provision is made with respect to a liability incurred by entering into a contractual obligation, the movements in the provision during the year should be shown separately.</t>
  </si>
  <si>
    <t>(xi) Details of Crypto Currency or Virtual Currency</t>
  </si>
  <si>
    <t>Where the Company has traded or invested in Crypto currency or Virtual Currency during the financial year, the following shall be disclosed:-</t>
  </si>
  <si>
    <t>(a) profit or loss on transactions involving Crypto currency or Virtual Currency</t>
  </si>
  <si>
    <t>(b) amount of currency held as at the reporting date,</t>
  </si>
  <si>
    <t>(c) deposits or advances from any person for the purpose of trading or investing in Crypto Currency/ virtual currency.]</t>
  </si>
  <si>
    <r>
      <t>5</t>
    </r>
    <r>
      <rPr>
        <sz val="11"/>
        <rFont val="Calibri"/>
        <family val="2"/>
        <scheme val="minor"/>
      </rPr>
      <t>[(a) Value of imports calculated on C.I.F basis by the </t>
    </r>
    <r>
      <rPr>
        <u/>
        <sz val="11"/>
        <rFont val="Calibri"/>
        <family val="2"/>
        <scheme val="minor"/>
      </rPr>
      <t>company</t>
    </r>
    <r>
      <rPr>
        <sz val="11"/>
        <rFont val="Calibri"/>
        <family val="2"/>
        <scheme val="minor"/>
      </rPr>
      <t> during the </t>
    </r>
    <r>
      <rPr>
        <u/>
        <sz val="11"/>
        <rFont val="Calibri"/>
        <family val="2"/>
        <scheme val="minor"/>
      </rPr>
      <t>financial year</t>
    </r>
    <r>
      <rPr>
        <sz val="11"/>
        <rFont val="Calibri"/>
        <family val="2"/>
        <scheme val="minor"/>
      </rPr>
      <t> in respect of—</t>
    </r>
  </si>
  <si>
    <r>
      <t>(d) The amount remitted during the year in foreign currencies on account of </t>
    </r>
    <r>
      <rPr>
        <u/>
        <sz val="11"/>
        <rFont val="Calibri"/>
        <family val="2"/>
        <scheme val="minor"/>
      </rPr>
      <t>dividends</t>
    </r>
    <r>
      <rPr>
        <sz val="11"/>
        <rFont val="Calibri"/>
        <family val="2"/>
        <scheme val="minor"/>
      </rPr>
      <t> with a specific mention of the total number of non-resident shareholders, the total number of shares held by them on which the </t>
    </r>
    <r>
      <rPr>
        <u/>
        <sz val="11"/>
        <rFont val="Calibri"/>
        <family val="2"/>
        <scheme val="minor"/>
      </rPr>
      <t>dividends</t>
    </r>
    <r>
      <rPr>
        <sz val="11"/>
        <rFont val="Calibri"/>
        <family val="2"/>
        <scheme val="minor"/>
      </rPr>
      <t> were due and the year to which the </t>
    </r>
    <r>
      <rPr>
        <u/>
        <sz val="11"/>
        <rFont val="Calibri"/>
        <family val="2"/>
        <scheme val="minor"/>
      </rPr>
      <t>dividends</t>
    </r>
    <r>
      <rPr>
        <sz val="11"/>
        <rFont val="Calibri"/>
        <family val="2"/>
        <scheme val="minor"/>
      </rPr>
      <t> related;</t>
    </r>
  </si>
  <si>
    <r>
      <t>The Company shall give details of any transaction not recorded in the </t>
    </r>
    <r>
      <rPr>
        <u/>
        <sz val="11"/>
        <rFont val="Calibri"/>
        <family val="2"/>
        <scheme val="minor"/>
      </rPr>
      <t>books of accounts</t>
    </r>
    <r>
      <rPr>
        <sz val="11"/>
        <rFont val="Calibri"/>
        <family val="2"/>
        <scheme val="minor"/>
      </rPr>
      <t> that has been surrendered or disclosed as income during the year in the tax assessments under the Income Tax Act, 1961 (such as, search or survey or any other relevant provisions of the Income Tax Act, 1961), unless there is immunity for disclosure under any scheme and also shall state whether the previously unrecorded income and related assets have been properly recorded in the </t>
    </r>
    <r>
      <rPr>
        <u/>
        <sz val="11"/>
        <rFont val="Calibri"/>
        <family val="2"/>
        <scheme val="minor"/>
      </rPr>
      <t>books of account</t>
    </r>
    <r>
      <rPr>
        <sz val="11"/>
        <rFont val="Calibri"/>
        <family val="2"/>
        <scheme val="minor"/>
      </rPr>
      <t> during the year.;</t>
    </r>
  </si>
  <si>
    <r>
      <t>Where the </t>
    </r>
    <r>
      <rPr>
        <u/>
        <sz val="11"/>
        <rFont val="Calibri"/>
        <family val="2"/>
        <scheme val="minor"/>
      </rPr>
      <t>company</t>
    </r>
    <r>
      <rPr>
        <sz val="11"/>
        <rFont val="Calibri"/>
        <family val="2"/>
        <scheme val="minor"/>
      </rPr>
      <t> covered under </t>
    </r>
    <r>
      <rPr>
        <u/>
        <sz val="11"/>
        <rFont val="Calibri"/>
        <family val="2"/>
        <scheme val="minor"/>
      </rPr>
      <t>section 135</t>
    </r>
    <r>
      <rPr>
        <sz val="11"/>
        <rFont val="Calibri"/>
        <family val="2"/>
        <scheme val="minor"/>
      </rPr>
      <t> of the companies act, the following shall be disclosed with regard to CSR activities:-</t>
    </r>
  </si>
  <si>
    <t>Additional Regulatory Information</t>
  </si>
  <si>
    <t>Title deeds of Immovable Property not held in name of the Company</t>
  </si>
  <si>
    <t>There are no immovable properties held by the company as on the Balance Sheet date for which the Title Deeds are not in</t>
  </si>
  <si>
    <t>its name.</t>
  </si>
  <si>
    <t>(ii)</t>
  </si>
  <si>
    <t>Revaluation of Property Plant and Equipment</t>
  </si>
  <si>
    <t>The company has not revalued its Propery Plant and Equipment during the period.</t>
  </si>
  <si>
    <t>(iii)</t>
  </si>
  <si>
    <t>Loans Granted to Promoters, Directors and Relatives</t>
  </si>
  <si>
    <t>The company has not granted any loans or advances to promoters, Directors, KMPs and the related parties during the</t>
  </si>
  <si>
    <t>period. There is no balance receivable from these parties on the Balance Sheet Date</t>
  </si>
  <si>
    <t>Capital-Work-in Progress (CWIP)</t>
  </si>
  <si>
    <t>The company does not have any capital asset under work-in-progress state as on the Balance Sheet date.</t>
  </si>
  <si>
    <t xml:space="preserve"> Intangible assets under development</t>
  </si>
  <si>
    <t>The company hold no intangible assets in work in progress state on the Balance Sheet date.</t>
  </si>
  <si>
    <t>(vi)</t>
  </si>
  <si>
    <t>Details of Benami Property held</t>
  </si>
  <si>
    <t>There are no procedings intiated against company under the Benami Transactions (Prohibition) Act, 1988 and the rules</t>
  </si>
  <si>
    <t>made thereunder during the period. There are no pending procedings under the said act as on the Balance Sheet date.</t>
  </si>
  <si>
    <t>(vii)</t>
  </si>
  <si>
    <t>Borrowings from Bank on basis of security of current asset</t>
  </si>
  <si>
    <t>(viii)</t>
  </si>
  <si>
    <t>Wilful Defaulter</t>
  </si>
  <si>
    <t>The company has not been declared as a willful defaulter by any bank or lender</t>
  </si>
  <si>
    <t>during the period 2022-2023</t>
  </si>
  <si>
    <t>(ix)</t>
  </si>
  <si>
    <t xml:space="preserve"> Relationship with Struck off Companies</t>
  </si>
  <si>
    <t>The company has not entered into any transactions with struck off companies</t>
  </si>
  <si>
    <t>during the year. There are no balance outstanding to or from such companies as on</t>
  </si>
  <si>
    <t>the Balance Sheet date</t>
  </si>
  <si>
    <t xml:space="preserve"> Registration of charges or satisfaction with Registrar of Companies</t>
  </si>
  <si>
    <t xml:space="preserve"> Compliance with number of layers of companies</t>
  </si>
  <si>
    <t>The company has not borrowed any funds from banks or financial institutions on the basis of security of current assets</t>
  </si>
  <si>
    <t>The company has not registered any charge with the RoC during the financial year. There are no charges or satisfaction yet</t>
  </si>
  <si>
    <t>to be registered with the RoC as on the Balance Sheet Date.</t>
  </si>
  <si>
    <t>The company is not a holding, subsidiary, associate company to any other company under this Act. Therefore the provisions</t>
  </si>
  <si>
    <t>of Companies (Restriction on number of Layers) Rules, 2017 is not applicable to it.</t>
  </si>
  <si>
    <t>Sr.</t>
  </si>
  <si>
    <t>Ratio Analysis</t>
  </si>
  <si>
    <t>Numerator</t>
  </si>
  <si>
    <t>Current Ratio</t>
  </si>
  <si>
    <t>Current Assets</t>
  </si>
  <si>
    <t>Current Liabilities</t>
  </si>
  <si>
    <t>Total Liabilities</t>
  </si>
  <si>
    <t>Net Operating Income</t>
  </si>
  <si>
    <t>Return on Equity Ratio</t>
  </si>
  <si>
    <t>(Beginning shareholders' equity + Ending shareholders' equity) ÷ 2</t>
  </si>
  <si>
    <t>Inventory Turnover Ratio</t>
  </si>
  <si>
    <t>Cost of Goods sold</t>
  </si>
  <si>
    <t>Average Inventory</t>
  </si>
  <si>
    <t>(Opening Stock + Purchases) – Closing Stock</t>
  </si>
  <si>
    <t>(Opening Stock + Closing Stock)/2</t>
  </si>
  <si>
    <t>Trade Receivables Turnover Ratio</t>
  </si>
  <si>
    <t>Net Credit Sales</t>
  </si>
  <si>
    <t>Average Trade Receivables</t>
  </si>
  <si>
    <t>Credit Sales</t>
  </si>
  <si>
    <t>(Beginning Trade Receivables + Ending Trade Receivables) / 2</t>
  </si>
  <si>
    <t>Trade Payables Turnover Ratio</t>
  </si>
  <si>
    <t>Total Purchases</t>
  </si>
  <si>
    <t>Average Trade Payables</t>
  </si>
  <si>
    <t>Annual Net Credit Purchases</t>
  </si>
  <si>
    <t>(Beginning Trade Payables + Ending Trade Payables) / 2</t>
  </si>
  <si>
    <t>Net Capital Turnover Ratio</t>
  </si>
  <si>
    <t>Net Sales</t>
  </si>
  <si>
    <t>Average Working Capital</t>
  </si>
  <si>
    <t>Total Sales - Sales Return</t>
  </si>
  <si>
    <t>Current Assets - Current Liabilities</t>
  </si>
  <si>
    <t>Net Profit Ratio</t>
  </si>
  <si>
    <t>Net Profit</t>
  </si>
  <si>
    <t>Profit After Tax</t>
  </si>
  <si>
    <t>Sales</t>
  </si>
  <si>
    <t>Return on Capital employed</t>
  </si>
  <si>
    <t>EBIT</t>
  </si>
  <si>
    <t>Profit before Interest and Taxes</t>
  </si>
  <si>
    <t>Return on Investment</t>
  </si>
  <si>
    <t>Return/Profit/Earnings</t>
  </si>
  <si>
    <t>Denominator</t>
  </si>
  <si>
    <t>Total current assets</t>
  </si>
  <si>
    <t>Total current liabilities</t>
  </si>
  <si>
    <t>Debt Equity Ratio</t>
  </si>
  <si>
    <t>Shareholder's Equity</t>
  </si>
  <si>
    <t>Total Outside Liabilities</t>
  </si>
  <si>
    <t>Total Shareholders Equity</t>
  </si>
  <si>
    <t>Debt Service Coverage Ratio</t>
  </si>
  <si>
    <t>Debt Service</t>
  </si>
  <si>
    <t>(For Ind AS Companies Profit before OCI)</t>
  </si>
  <si>
    <t>Net Profit after tax + non-cash operating expenses like depreciation and other amortizations + Interest+other adjustments like loss on sale of fixed assets, etc.</t>
  </si>
  <si>
    <t>Profit for the period</t>
  </si>
  <si>
    <t>Avg. Shareholders Equity</t>
  </si>
  <si>
    <t>Net Profit after taxes - preference dividend (if any)</t>
  </si>
  <si>
    <t>Capital Employed = Total Assets -Current Liabilities</t>
  </si>
  <si>
    <t>Shareholders Funds</t>
  </si>
  <si>
    <t xml:space="preserve">Investment </t>
  </si>
  <si>
    <t xml:space="preserve">Capital Employed </t>
  </si>
  <si>
    <t>Provision for Income Tax</t>
  </si>
  <si>
    <t>Closing Stock</t>
  </si>
  <si>
    <t>Work-in-Progress</t>
  </si>
  <si>
    <t>Stock in Trade</t>
  </si>
  <si>
    <t>Total (C)</t>
  </si>
  <si>
    <t>(Increase)/Decrease in Stock (A+B+C)</t>
  </si>
  <si>
    <t>Gain on loss of investment</t>
  </si>
  <si>
    <t>Loss on sale of investment</t>
  </si>
  <si>
    <t>Other Non Operating Income</t>
  </si>
  <si>
    <t>Changes in Other Current Assets</t>
  </si>
  <si>
    <t>Changes in Debtors (Trade Recievable)</t>
  </si>
  <si>
    <t>Changes in Inventory</t>
  </si>
  <si>
    <t>Changes in Other Current Liabilities &amp; Advances</t>
  </si>
  <si>
    <t>Changes in Short Term Loan And Advance</t>
  </si>
  <si>
    <t>Changes in Other Non Current Asset</t>
  </si>
  <si>
    <t>Amount in CWIP for the period of</t>
  </si>
  <si>
    <t>Projects in progress</t>
  </si>
  <si>
    <t>Projects temporarily suspended</t>
  </si>
  <si>
    <t>Sr.No.</t>
  </si>
  <si>
    <t>(a) CWIP Aging Schedule</t>
  </si>
  <si>
    <t xml:space="preserve">To be completed in </t>
  </si>
  <si>
    <t>(a)  Intangible Assets under Developmen Aging Schedule</t>
  </si>
  <si>
    <t>(b) Details of overdue in Intangible Assets under Developmen</t>
  </si>
  <si>
    <t>Changes in Long Term Provisions</t>
  </si>
  <si>
    <t>Changes in Deffered Tax Liability</t>
  </si>
  <si>
    <t>Changes in Other Short Term Provisions</t>
  </si>
  <si>
    <t>Other Non Current Liability</t>
  </si>
  <si>
    <t>Name of struck off Company</t>
  </si>
  <si>
    <t>Nature of transactions with struckoff Company</t>
  </si>
  <si>
    <t>Balance outstanding</t>
  </si>
  <si>
    <t>Relationship with the Struck off company, if any, to be disclosed</t>
  </si>
  <si>
    <t>Investments in securities</t>
  </si>
  <si>
    <t>Receivables</t>
  </si>
  <si>
    <t>Payables</t>
  </si>
  <si>
    <t>Shares held by stuck off company</t>
  </si>
  <si>
    <t>Other outstanding balances (to be specified)</t>
  </si>
  <si>
    <t>(iv)</t>
  </si>
  <si>
    <t>(v)</t>
  </si>
  <si>
    <t>Disputed Dues - MSME</t>
  </si>
  <si>
    <t>Opening Deferred Tax Liability</t>
  </si>
  <si>
    <t>Closing Deferred Tax Liability</t>
  </si>
  <si>
    <t>Deferred Tax</t>
  </si>
  <si>
    <t>Deferred Tax Expense</t>
  </si>
  <si>
    <t>Deferred Tax Asset during the year</t>
  </si>
  <si>
    <t>Deferred Tax Income</t>
  </si>
  <si>
    <t>Deferred Tax Liability during the year</t>
  </si>
  <si>
    <t xml:space="preserve">FY ends on </t>
  </si>
  <si>
    <t>S.No</t>
  </si>
  <si>
    <t>Major head</t>
  </si>
  <si>
    <t>Asset Name in Books</t>
  </si>
  <si>
    <t>Date of Put to Use</t>
  </si>
  <si>
    <t>Life as per company act</t>
  </si>
  <si>
    <t>Life Elaspe</t>
  </si>
  <si>
    <t>Balance Life</t>
  </si>
  <si>
    <t>Original Cost of Assets</t>
  </si>
  <si>
    <t>Addition during the year</t>
  </si>
  <si>
    <t>Salvage Value
5% of original Cost</t>
  </si>
  <si>
    <t>sale date check</t>
  </si>
  <si>
    <t>Sale/ Transfer During the Year</t>
  </si>
  <si>
    <t>Balance that will be depreciated over useful life of Asset</t>
  </si>
  <si>
    <t>Broken Period</t>
  </si>
  <si>
    <t>Depreciation  for the Year</t>
  </si>
  <si>
    <t>Depreciation Calculation</t>
  </si>
  <si>
    <t>Row Labels</t>
  </si>
  <si>
    <t>(blank)</t>
  </si>
  <si>
    <t>Sum of Depreciation  for the Year</t>
  </si>
  <si>
    <t>Sum of Addition during the year</t>
  </si>
  <si>
    <t>Sum of Sale/ Transfer During the Year</t>
  </si>
  <si>
    <t>Cumulative Depreciation as on the 1st day of year</t>
  </si>
  <si>
    <t xml:space="preserve"> Balance as on 1st day of the year</t>
  </si>
  <si>
    <t>Balance as on last day of FY</t>
  </si>
  <si>
    <t>Sum of Cumulative Depreciation as on the 1st day of year</t>
  </si>
  <si>
    <t>Sum of  Balance as on 1st day of the year</t>
  </si>
  <si>
    <t>Sum of Balance as on last day of FY</t>
  </si>
  <si>
    <t>Instructions</t>
  </si>
  <si>
    <t>FY starts on</t>
  </si>
  <si>
    <t>PPE Pivot</t>
  </si>
  <si>
    <t>Intangible Asset Pivot</t>
  </si>
  <si>
    <t>Name of the Shareholder holder holding more than 5% share.</t>
  </si>
  <si>
    <t>No of shares Held</t>
  </si>
  <si>
    <t>Sr.no</t>
  </si>
  <si>
    <t>Name of the promoter.</t>
  </si>
  <si>
    <t>Cash At Bank</t>
  </si>
  <si>
    <t xml:space="preserve">Fresh Issue/Bonus </t>
  </si>
  <si>
    <t>Buyback</t>
  </si>
  <si>
    <t>No. of shares issued during the Previous year</t>
  </si>
  <si>
    <t>No. of shares issued during the Current year</t>
  </si>
  <si>
    <t>No. of shares bought back during the Current year</t>
  </si>
  <si>
    <t>No. of shares bought back during the Previous year</t>
  </si>
  <si>
    <t>No. of Shares</t>
  </si>
  <si>
    <t>CWIP</t>
  </si>
  <si>
    <t>Amount</t>
  </si>
  <si>
    <t>(a)</t>
  </si>
  <si>
    <t>(b)</t>
  </si>
  <si>
    <t>(b) Details of overdue in CWIP</t>
  </si>
  <si>
    <t>CWIP Ageing Schedule</t>
  </si>
  <si>
    <t>Details of overdue in CWIP</t>
  </si>
  <si>
    <t>&lt;Name Of Project&gt;</t>
  </si>
  <si>
    <t>Intangible assets under development Ageing Schedule</t>
  </si>
  <si>
    <t>Trade Payables at the beginning of the previous financial year</t>
  </si>
  <si>
    <t>Trade Receivables at the beginning of the previous financial year</t>
  </si>
  <si>
    <t>Shareholders Funds( Share capital + Reserves) at the beginning of the previou year</t>
  </si>
  <si>
    <t>Value of stock ( all items) at the beginning of the previous year</t>
  </si>
  <si>
    <t>Surplus at the beginning of the previous year</t>
  </si>
  <si>
    <t xml:space="preserve">Particulars </t>
  </si>
  <si>
    <t>Money Received Against Share Warrants</t>
  </si>
  <si>
    <t>No. of Equity Shares</t>
  </si>
  <si>
    <t>Diluted Equity Shares as on</t>
  </si>
  <si>
    <t>Weighted Average Equity Shares as on</t>
  </si>
  <si>
    <t>Supplier Name</t>
  </si>
  <si>
    <t>Creditor</t>
  </si>
  <si>
    <t>Type</t>
  </si>
  <si>
    <t>Ageing</t>
  </si>
  <si>
    <t xml:space="preserve">Ageing </t>
  </si>
  <si>
    <t xml:space="preserve">Type </t>
  </si>
  <si>
    <t>Buyer Name</t>
  </si>
  <si>
    <t>Current year Amount</t>
  </si>
  <si>
    <t>Previous Year Amount</t>
  </si>
  <si>
    <t>Undisputed Trade receivables – considered good</t>
  </si>
  <si>
    <t>Undisputed Trade Receivables – considered doubtful</t>
  </si>
  <si>
    <t xml:space="preserve">Disputed Trade Receivables considered good
</t>
  </si>
  <si>
    <t xml:space="preserve">Disputed Trade Receivables considered doubtful </t>
  </si>
  <si>
    <t>Debtor</t>
  </si>
  <si>
    <t>Current Debt Obligation (Interest &amp; Lease payment+ Principal Repayment).</t>
  </si>
  <si>
    <t xml:space="preserve">Sale of Services </t>
  </si>
  <si>
    <t>Surplus Opening balance</t>
  </si>
  <si>
    <t>H.Trade Payables Ageing Schedule</t>
  </si>
  <si>
    <t>I.Trade Receivables Ageing Schedule</t>
  </si>
  <si>
    <t>B.Details Of Shares Held By Each Shareholder Holding More Than 5% Shares</t>
  </si>
  <si>
    <t>C.Shares held by promoters</t>
  </si>
  <si>
    <t>D. Equity Shares:</t>
  </si>
  <si>
    <t>E. Issues and Buyback during the year</t>
  </si>
  <si>
    <t>F. Capital Work In Progress</t>
  </si>
  <si>
    <t>G. Intangible assets under development</t>
  </si>
  <si>
    <t>A. Share Capital Details</t>
  </si>
  <si>
    <t>Table Of Content</t>
  </si>
  <si>
    <t>Control Sheet</t>
  </si>
  <si>
    <t>Share Capital and WIP info</t>
  </si>
  <si>
    <t>Debtor&amp;Creditor Ageing Schedule</t>
  </si>
  <si>
    <t>PPE Data</t>
  </si>
  <si>
    <t>Intangilble Asset Data</t>
  </si>
  <si>
    <t>Pivot Sheet</t>
  </si>
  <si>
    <t>Consolidates data from "PPE Data" and "Intangible Asset Data" sheet</t>
  </si>
  <si>
    <t>Sheet</t>
  </si>
  <si>
    <t>Discription</t>
  </si>
  <si>
    <t>Details about shareholding structure. 
Details Regarding CWIP and Intangilble asset under development.
Previous year opening balances of certain account.</t>
  </si>
  <si>
    <t>Capital Work in Progress</t>
  </si>
  <si>
    <t>Intangible Assets Under Development</t>
  </si>
  <si>
    <t>Item seperately shown in PorL</t>
  </si>
  <si>
    <t>Exceptional Items</t>
  </si>
  <si>
    <t>Extraordinary Items</t>
  </si>
  <si>
    <t>Profit/(Loss) from Discontinuing Operations</t>
  </si>
  <si>
    <t>Tax Expense of Discounting Operations</t>
  </si>
  <si>
    <t>Company &amp; Audit Details</t>
  </si>
  <si>
    <r>
      <t>Interest Income</t>
    </r>
    <r>
      <rPr>
        <b/>
        <sz val="11"/>
        <rFont val="Calibri"/>
        <family val="2"/>
        <scheme val="minor"/>
      </rPr>
      <t xml:space="preserve"> (If the company is other than a fincance company)</t>
    </r>
  </si>
  <si>
    <t>&lt;UDIN&gt;</t>
  </si>
  <si>
    <t>Capital WIP</t>
  </si>
  <si>
    <t>Intangible Asset Under Development</t>
  </si>
  <si>
    <t>Amount in Intangible assets under development for the period of</t>
  </si>
  <si>
    <t>Property, Plant and Equipment</t>
  </si>
  <si>
    <t>Property Plant And Equipment</t>
  </si>
  <si>
    <t>Sum Of Debits</t>
  </si>
  <si>
    <t>Sum of Credits</t>
  </si>
  <si>
    <t>Trade Receivable/Payable</t>
  </si>
  <si>
    <t>Error</t>
  </si>
  <si>
    <t>Validation</t>
  </si>
  <si>
    <t>Cash And Cash Equivalents</t>
  </si>
  <si>
    <t>Sales Details</t>
  </si>
  <si>
    <t>Sold during previous years</t>
  </si>
  <si>
    <t>Sold in current year</t>
  </si>
  <si>
    <t>Unsold</t>
  </si>
  <si>
    <t>PPE</t>
  </si>
  <si>
    <t>Cost of Asset sold during the year</t>
  </si>
  <si>
    <t>Total Depreciation on sold out Asset</t>
  </si>
  <si>
    <t>Sum of Total Depreciation on sold out Asset</t>
  </si>
  <si>
    <t>Sum of Cost of Asset sold during the year</t>
  </si>
  <si>
    <t>In Rs. hundreds</t>
  </si>
  <si>
    <t>&lt;Number of Authorised Shares&gt; (At end of current year)</t>
  </si>
  <si>
    <t>&lt;Number of Authorised Shares&gt; (At end of previous  year)</t>
  </si>
  <si>
    <t>&lt;Number of Issued Shares&gt; (At end of current year)</t>
  </si>
  <si>
    <t>&lt;Number of Issued Shares&gt; (At end of previous year)</t>
  </si>
  <si>
    <t>&lt;Number of Issued Shares&gt; (At beginning of previous year)</t>
  </si>
  <si>
    <t>H. Previous Year Opening Information</t>
  </si>
  <si>
    <t>Amount (In Rs.)</t>
  </si>
  <si>
    <t>Dividend, Bonus Shares, Transferred to Reserves</t>
  </si>
  <si>
    <t>Current Year Balance Sheet</t>
  </si>
  <si>
    <t>Previous Year Balance Sheet</t>
  </si>
  <si>
    <t>Previous Year TB Total</t>
  </si>
  <si>
    <t>Current Year TB Total</t>
  </si>
  <si>
    <t>Payment due since</t>
  </si>
  <si>
    <t xml:space="preserve">Payment due since </t>
  </si>
  <si>
    <t>Receipt due since</t>
  </si>
  <si>
    <t xml:space="preserve">Receipt due since </t>
  </si>
  <si>
    <t>Deferred Tax Asset</t>
  </si>
  <si>
    <t>Exceptional Item 1</t>
  </si>
  <si>
    <t>Exceptional Item 2</t>
  </si>
  <si>
    <t>Extraordinary Item 1</t>
  </si>
  <si>
    <t>Extraordinary Item 2</t>
  </si>
  <si>
    <t>Colour &amp; font</t>
  </si>
  <si>
    <t>User Input</t>
  </si>
  <si>
    <t>Not to be changed or altered</t>
  </si>
  <si>
    <t>Inputs to be given by user</t>
  </si>
  <si>
    <t>Nature of Cell/Sheet</t>
  </si>
  <si>
    <t>Input Sheet</t>
  </si>
  <si>
    <t>Output Sheets</t>
  </si>
  <si>
    <t>User to Give input in these sheets only</t>
  </si>
  <si>
    <t>Sheet for printing ,not to be altered</t>
  </si>
  <si>
    <t>Index</t>
  </si>
  <si>
    <t>Glossary</t>
  </si>
  <si>
    <t>Calculated Cell</t>
  </si>
  <si>
    <t>-ve figure in amount column.</t>
  </si>
  <si>
    <t>Do not Add/Delete any Row /Column as it might affect the working of the template.</t>
  </si>
  <si>
    <t>Intangilbe Assets</t>
  </si>
  <si>
    <t>Remark</t>
  </si>
  <si>
    <t>Refresh the Pivot Tables after filling the inputs in input sheets</t>
  </si>
  <si>
    <t>B)Extraordinary/exceptional item to be classifed as "Cr."</t>
  </si>
  <si>
    <t>and in case of loss put -ve figure in amount column</t>
  </si>
  <si>
    <t>Sub-head</t>
  </si>
  <si>
    <t>Main Head</t>
  </si>
  <si>
    <t>Note : 14 CWIP</t>
  </si>
  <si>
    <t>Note : 15 Intangible Assets under Development</t>
  </si>
  <si>
    <t>Note : 16 Non Current Investments</t>
  </si>
  <si>
    <t>Note : 17  Deferred Tax Asset</t>
  </si>
  <si>
    <t>Note : 18 Long-Term Loans and  Advances</t>
  </si>
  <si>
    <t>Note : 19 Other Non-Current Assets</t>
  </si>
  <si>
    <t>Note : 20 Current Investments</t>
  </si>
  <si>
    <t>Note : 21 Inventories</t>
  </si>
  <si>
    <t>Note  : 22  Trade Receivables</t>
  </si>
  <si>
    <t>Note : 23 Cash and Cash Equivalents</t>
  </si>
  <si>
    <t>Note : 24 Short Term Loans and Advances</t>
  </si>
  <si>
    <t>Note : 25 Other Current Assets</t>
  </si>
  <si>
    <t>Note : 26  Revenue From Operations</t>
  </si>
  <si>
    <t>Note : 27 Other Income</t>
  </si>
  <si>
    <t>Note : 28  Cost of Materials Consumed</t>
  </si>
  <si>
    <t>Note : 29 Purchase Of Stock in Trade</t>
  </si>
  <si>
    <t>Note : 30 (Increase)/Decrease in Stocks</t>
  </si>
  <si>
    <t>Note : 31 Employees Remuneration &amp; Benefits</t>
  </si>
  <si>
    <t>Note : 32 Finance Cost</t>
  </si>
  <si>
    <t>Note : 33  Other Expenses</t>
  </si>
  <si>
    <t>Note : 34 Exceptional Items</t>
  </si>
  <si>
    <t>Note : 35 Extraordinary Items</t>
  </si>
  <si>
    <t>Note : 36 Deferred Tax</t>
  </si>
  <si>
    <t>Note 37 :  Earning per share</t>
  </si>
  <si>
    <t>Note : 38</t>
  </si>
  <si>
    <t>of the Companies (Accounting Standard) Rules, 2006:-</t>
  </si>
  <si>
    <t>Names of related parties and description of relationship :</t>
  </si>
  <si>
    <t>Name</t>
  </si>
  <si>
    <t>Relation</t>
  </si>
  <si>
    <t>Director's daughter</t>
  </si>
  <si>
    <t>Director</t>
  </si>
  <si>
    <t>Director's Sister</t>
  </si>
  <si>
    <t xml:space="preserve">Note 39 : Disclosure as required by Para 20 of Accounting Standard-AS 18 ”Related Parties” </t>
  </si>
  <si>
    <t>Key Managerial Person</t>
  </si>
  <si>
    <t>Firm in which Director,Manager or relative is partner</t>
  </si>
  <si>
    <t>Private conpany in which Director,Manager or relative is member or director</t>
  </si>
  <si>
    <t>Public company in which director or manager is the director or holds with its relative more than 2% shares</t>
  </si>
  <si>
    <t>Holding Company</t>
  </si>
  <si>
    <t>Subsidiary Company</t>
  </si>
  <si>
    <t>Associate Company</t>
  </si>
  <si>
    <t>Sister Subsidiary company</t>
  </si>
  <si>
    <t>Member of same HUF as of Director</t>
  </si>
  <si>
    <t>Director's Father</t>
  </si>
  <si>
    <t>Director's Wife</t>
  </si>
  <si>
    <t>Director's Husband</t>
  </si>
  <si>
    <t>Director's Mother</t>
  </si>
  <si>
    <t>Director's Son</t>
  </si>
  <si>
    <t>Director's Brother</t>
  </si>
  <si>
    <t>Director's Son's Wife</t>
  </si>
  <si>
    <t>Director's Daughters Husband</t>
  </si>
  <si>
    <t>Member of same HUF as of Key Managerial Preson</t>
  </si>
  <si>
    <t>Key Managerial Preson's Father</t>
  </si>
  <si>
    <t>Key Managerial Preson's Wife</t>
  </si>
  <si>
    <t>Key Managerial Preson's Husband</t>
  </si>
  <si>
    <t>Key Managerial Preson's Mother</t>
  </si>
  <si>
    <t>Key Managerial Preson's Son</t>
  </si>
  <si>
    <t>Key Managerial Preson's daughter</t>
  </si>
  <si>
    <t>Key Managerial Preson's Brother</t>
  </si>
  <si>
    <t>Key Managerial Preson's Sister</t>
  </si>
  <si>
    <t>Key Managerial Preson's Son's Wife</t>
  </si>
  <si>
    <t>Key Managerial Preson's Daughters Husband</t>
  </si>
  <si>
    <t>Related party</t>
  </si>
  <si>
    <t>Sub to sub Head</t>
  </si>
  <si>
    <t>Rent during the year ended</t>
  </si>
  <si>
    <t>Interest Expenses during the year ended</t>
  </si>
  <si>
    <t>Salary Expenses during the year ended</t>
  </si>
  <si>
    <t>Loan Taken during the year ended</t>
  </si>
  <si>
    <t>Loan Repaid during the year ended</t>
  </si>
  <si>
    <t xml:space="preserve">Note 37 : Disclosure as required by Para 20 of Accounting Standard-AS 18 ”Related Parties” </t>
  </si>
  <si>
    <t>% Change</t>
  </si>
  <si>
    <t>Ratios</t>
  </si>
  <si>
    <t>Reason for change in Ratios</t>
  </si>
  <si>
    <t>Check</t>
  </si>
  <si>
    <t>Specify Reason for change</t>
  </si>
  <si>
    <t>Reasons for changes in Ratios</t>
  </si>
  <si>
    <t>Details regarding Trade Receivables and Trade Payables, 
its nature and its ageing.
The value of debtors and creditors flow into the
financials through this sheet.</t>
  </si>
  <si>
    <t>Catagorise the data from the trial balance of company into 
various heads and sub heads.
Except specifit items, all other items flow to the financials through this sheet.</t>
  </si>
  <si>
    <t>Collects details of movement of PPE during the year.
The PPE value flows into the financials through this sheet.</t>
  </si>
  <si>
    <t>Collects details of movement of Intangilble assets during the year.
The Intangible asset value flows into the financials through this sheet.</t>
  </si>
  <si>
    <t>For entering general information about the company and the auditor.
Carries common information whereever required in the financials.</t>
  </si>
  <si>
    <t>Reason for change in ratios in excess of 25%</t>
  </si>
  <si>
    <t>Note : 39</t>
  </si>
  <si>
    <t>Ratios as required by Schedule III of The Companies Act, 2013</t>
  </si>
  <si>
    <t>Status</t>
  </si>
  <si>
    <t>Year of put to use</t>
  </si>
  <si>
    <t>Column L - "Addition During the Year" is for placing value of asset not
present as on the first day but bought during the year</t>
  </si>
  <si>
    <t>Column L - "Addition During the Year" is for placing value of asset not 
present as on the first day but bought during the year</t>
  </si>
  <si>
    <t>Fill the basic details as required in column A to F &amp; I</t>
  </si>
  <si>
    <t>In case any asset is sold during the year, enter detalis in column N,O &amp; P</t>
  </si>
  <si>
    <t>Paste(values) the closing balance of Prev Year in the Column K</t>
  </si>
  <si>
    <t>Paste(values) the closing balance of Prev Year in the Column K.</t>
  </si>
  <si>
    <t>Enter the opening balance of Cumulative deprecialtion in column J.
It is the sum of Column J and Column T of this sheet in previous year.</t>
  </si>
  <si>
    <t>A)If any reserves have -ve balance, consider it "Cr", and put</t>
  </si>
  <si>
    <t>Yes</t>
  </si>
  <si>
    <t>No</t>
  </si>
  <si>
    <t>Additional Info.</t>
  </si>
  <si>
    <t>Whether these additional information are correct as per the Company whose financial statements are being prepared. If not whether it has been changes accordingly</t>
  </si>
  <si>
    <t>Other Current Assets 1</t>
  </si>
  <si>
    <t>Other Current Assets 2</t>
  </si>
  <si>
    <t>Other Current Assets 3</t>
  </si>
  <si>
    <t>Other Current Assets 4</t>
  </si>
  <si>
    <t>Other Current Assets 5</t>
  </si>
  <si>
    <t>Items linked to the dropdown list</t>
  </si>
  <si>
    <t xml:space="preserve"> Other Inventory (Specify Nature)</t>
  </si>
  <si>
    <t>Other C &amp; CE (Specify Nature)</t>
  </si>
  <si>
    <t>Others Long Term Provision (Specify Nature)</t>
  </si>
  <si>
    <t>Other Short Term Loans and Advances (Specify Nature)</t>
  </si>
  <si>
    <t>Other Short Term Provision (Specify Nature)</t>
  </si>
  <si>
    <t>Power and Fuel</t>
  </si>
  <si>
    <t>Other Short Term Loans And Advances (Specify Nature)</t>
  </si>
  <si>
    <t>Other Long Term Loans And Advances (Specify Nature)</t>
  </si>
  <si>
    <t>I. Reason For Changes In Ratio</t>
  </si>
  <si>
    <t>Current Tax/MAT</t>
  </si>
  <si>
    <t>Saptaranga Research and Organic Private Limited</t>
  </si>
  <si>
    <t xml:space="preserve">Plot No 45, </t>
  </si>
  <si>
    <t>Ravindra Nagar P.M.G. Society</t>
  </si>
  <si>
    <t>Nagpur MH 440022 IN</t>
  </si>
  <si>
    <t>CA. Ashutosh Joshi</t>
  </si>
  <si>
    <t>038193</t>
  </si>
  <si>
    <t>Nagpur</t>
  </si>
  <si>
    <t>Shrutika Kailash Bagul</t>
  </si>
  <si>
    <t>09390033</t>
  </si>
  <si>
    <t>Kalindi Ramesh Dhakulkar</t>
  </si>
  <si>
    <t>09390034</t>
  </si>
  <si>
    <t>Reserves &amp; Surplus</t>
  </si>
  <si>
    <t>In Fed IIM N</t>
  </si>
  <si>
    <t>Kalindi Dhakulkar (Capital A/c)</t>
  </si>
  <si>
    <t>Shrutika Bagul (Capital A/c)</t>
  </si>
  <si>
    <t>4% Optionally Convertible Unsecured Debentures</t>
  </si>
  <si>
    <t>Loan From Director ( Kalindi)</t>
  </si>
  <si>
    <t>Loan From Director (Shrutika)</t>
  </si>
  <si>
    <t>Duties &amp; Taxes</t>
  </si>
  <si>
    <t>Provisions</t>
  </si>
  <si>
    <t>Atul Enterprises</t>
  </si>
  <si>
    <t>Sundry Creditors</t>
  </si>
  <si>
    <t>Salary Payable</t>
  </si>
  <si>
    <t>Interest Payble</t>
  </si>
  <si>
    <t>Sundry Debtors</t>
  </si>
  <si>
    <t>Cash-in-Hand</t>
  </si>
  <si>
    <t>Bank Accounts</t>
  </si>
  <si>
    <t>Advance To Bhojraj Kamdi</t>
  </si>
  <si>
    <t>Sale@5%</t>
  </si>
  <si>
    <t>Purchase</t>
  </si>
  <si>
    <t>Purchase 18%</t>
  </si>
  <si>
    <t>Carriage In</t>
  </si>
  <si>
    <t>Fooder</t>
  </si>
  <si>
    <t>Instruments</t>
  </si>
  <si>
    <t>Weighing Machine</t>
  </si>
  <si>
    <t>Reimbursement of Testing Expenses</t>
  </si>
  <si>
    <t>BANK CHARGES</t>
  </si>
  <si>
    <t>Carriage out</t>
  </si>
  <si>
    <t>Interest</t>
  </si>
  <si>
    <t>Legal Expenses</t>
  </si>
  <si>
    <t>Marketing Expense</t>
  </si>
  <si>
    <t>Packing Expenses</t>
  </si>
  <si>
    <t>Printing &amp; Stationery</t>
  </si>
  <si>
    <t>Audit Fee</t>
  </si>
  <si>
    <t>Professional Fee</t>
  </si>
  <si>
    <t>Repair and Maintanance</t>
  </si>
  <si>
    <t>Salary</t>
  </si>
  <si>
    <t>Salary to Director</t>
  </si>
  <si>
    <t>SMS ALERT CHARGES</t>
  </si>
  <si>
    <t>Rent Expenses</t>
  </si>
  <si>
    <t>Travelling Expense</t>
  </si>
  <si>
    <t>Wages</t>
  </si>
  <si>
    <t>Central Scientific Company</t>
  </si>
  <si>
    <t>J. M. Katawala</t>
  </si>
  <si>
    <t>New Diamond Traders</t>
  </si>
  <si>
    <t>Interest Income (If the company is other than a fincance company)</t>
  </si>
  <si>
    <t>aa</t>
  </si>
  <si>
    <t>ss</t>
  </si>
  <si>
    <t>sss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</si>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</sst>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43" formatCode="_ * #,##0.00_ ;_ * \-#,##0.00_ ;_ * &quot;-&quot;??_ ;_ @_ "/>
    <numFmt numFmtId="164" formatCode="_(* #,##0.00_);_(* \(#,##0.00\);_(* &quot;-&quot;??_);_(@_)"/>
    <numFmt numFmtId="165" formatCode="0.0,&quot;&quot;"/>
    <numFmt numFmtId="166" formatCode="0_);\(0\)"/>
    <numFmt numFmtId="167" formatCode="#,#00.00,&quot;&quot;"/>
    <numFmt numFmtId="168" formatCode="#\.00,"/>
    <numFmt numFmtId="169" formatCode="_(* #,##0_);_(* \(#,##0\);_(* &quot;-&quot;??_);_(@_)"/>
    <numFmt numFmtId="170" formatCode="00000000"/>
  </numFmts>
  <fonts count="43">
    <font>
      <sz val="11"/>
      <color theme="1"/>
      <name val="Calibri"/>
      <family val="2"/>
      <scheme val="minor"/>
    </font>
    <font>
      <sz val="11"/>
      <color theme="1"/>
      <name val="Calibri"/>
      <family val="2"/>
      <scheme val="minor"/>
    </font>
    <font>
      <sz val="10"/>
      <name val="Arial"/>
      <family val="2"/>
    </font>
    <font>
      <sz val="11"/>
      <name val="Calibri"/>
      <family val="2"/>
    </font>
    <font>
      <b/>
      <sz val="11"/>
      <name val="Calibri"/>
      <family val="2"/>
    </font>
    <font>
      <b/>
      <sz val="11"/>
      <name val="Calibri"/>
      <family val="2"/>
      <scheme val="minor"/>
    </font>
    <font>
      <b/>
      <u/>
      <sz val="11"/>
      <name val="Calibri"/>
      <family val="2"/>
    </font>
    <font>
      <b/>
      <sz val="14"/>
      <color theme="4" tint="-0.249977111117893"/>
      <name val="Calibri"/>
      <family val="2"/>
    </font>
    <font>
      <b/>
      <sz val="11"/>
      <color theme="4" tint="-0.249977111117893"/>
      <name val="Calibri"/>
      <family val="2"/>
    </font>
    <font>
      <b/>
      <sz val="11"/>
      <color theme="4" tint="-0.249977111117893"/>
      <name val="Calibri"/>
      <family val="2"/>
      <scheme val="minor"/>
    </font>
    <font>
      <sz val="11"/>
      <name val="Calibri"/>
      <family val="2"/>
      <scheme val="minor"/>
    </font>
    <font>
      <b/>
      <u/>
      <sz val="11"/>
      <name val="Calibri"/>
      <family val="2"/>
      <scheme val="minor"/>
    </font>
    <font>
      <b/>
      <sz val="11"/>
      <color theme="1"/>
      <name val="Calibri"/>
      <family val="2"/>
      <scheme val="minor"/>
    </font>
    <font>
      <sz val="10"/>
      <name val="Georgia"/>
      <family val="1"/>
    </font>
    <font>
      <b/>
      <sz val="11"/>
      <color theme="4" tint="-0.499984740745262"/>
      <name val="Calibri"/>
      <family val="2"/>
      <scheme val="minor"/>
    </font>
    <font>
      <sz val="11"/>
      <color indexed="8"/>
      <name val="Calibri"/>
      <family val="2"/>
      <scheme val="minor"/>
    </font>
    <font>
      <b/>
      <sz val="11"/>
      <color indexed="8"/>
      <name val="Calibri"/>
      <family val="2"/>
      <scheme val="minor"/>
    </font>
    <font>
      <b/>
      <u val="singleAccounting"/>
      <sz val="11"/>
      <name val="Calibri"/>
      <family val="2"/>
      <scheme val="minor"/>
    </font>
    <font>
      <b/>
      <sz val="12"/>
      <color theme="1"/>
      <name val="Calibri"/>
      <family val="2"/>
      <scheme val="minor"/>
    </font>
    <font>
      <b/>
      <sz val="11"/>
      <color rgb="FFFF0000"/>
      <name val="Calibri"/>
      <family val="2"/>
      <scheme val="minor"/>
    </font>
    <font>
      <sz val="11"/>
      <color rgb="FF333333"/>
      <name val="Calibri"/>
      <family val="2"/>
      <scheme val="minor"/>
    </font>
    <font>
      <b/>
      <sz val="11"/>
      <color rgb="FF333333"/>
      <name val="Calibri"/>
      <family val="2"/>
      <scheme val="minor"/>
    </font>
    <font>
      <u/>
      <sz val="11"/>
      <color rgb="FF0000FF"/>
      <name val="Calibri"/>
      <family val="2"/>
      <scheme val="minor"/>
    </font>
    <font>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9"/>
      <color rgb="FF333333"/>
      <name val="Poppins"/>
    </font>
    <font>
      <u/>
      <sz val="11"/>
      <name val="Calibri"/>
      <family val="2"/>
      <scheme val="minor"/>
    </font>
    <font>
      <sz val="12"/>
      <color theme="5" tint="0.59999389629810485"/>
      <name val="Calibri"/>
      <family val="2"/>
      <scheme val="minor"/>
    </font>
    <font>
      <b/>
      <u/>
      <sz val="11"/>
      <color theme="10"/>
      <name val="Calibri"/>
      <family val="2"/>
      <scheme val="minor"/>
    </font>
    <font>
      <b/>
      <u/>
      <sz val="11"/>
      <color theme="8"/>
      <name val="Calibri"/>
      <family val="2"/>
      <scheme val="minor"/>
    </font>
    <font>
      <b/>
      <sz val="14"/>
      <name val="Calibri"/>
      <family val="2"/>
    </font>
    <font>
      <u/>
      <sz val="12"/>
      <name val="Calibri"/>
      <family val="2"/>
      <scheme val="minor"/>
    </font>
    <font>
      <b/>
      <u val="singleAccounting"/>
      <sz val="11"/>
      <name val="Calibri"/>
      <family val="2"/>
    </font>
    <font>
      <b/>
      <sz val="10"/>
      <name val="Arial   "/>
    </font>
    <font>
      <b/>
      <sz val="14"/>
      <name val="Calibri"/>
      <family val="2"/>
      <scheme val="minor"/>
    </font>
    <font>
      <b/>
      <sz val="18"/>
      <color theme="1"/>
      <name val="Calibri"/>
      <family val="2"/>
      <scheme val="minor"/>
    </font>
    <font>
      <b/>
      <sz val="20"/>
      <color theme="1"/>
      <name val="Calibri"/>
      <family val="2"/>
      <scheme val="minor"/>
    </font>
    <font>
      <sz val="11"/>
      <color theme="0"/>
      <name val="Calibri"/>
      <family val="2"/>
      <scheme val="minor"/>
    </font>
    <font>
      <b/>
      <sz val="10"/>
      <name val="Calibri"/>
      <family val="2"/>
    </font>
    <font>
      <b/>
      <sz val="14"/>
      <color rgb="FFFF0000"/>
      <name val="Calibri"/>
      <family val="2"/>
      <scheme val="minor"/>
    </font>
    <font>
      <sz val="11"/>
      <color rgb="FFFF7C8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FFFF"/>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bgColor indexed="64"/>
      </patternFill>
    </fill>
    <fill>
      <patternFill patternType="solid">
        <fgColor theme="1"/>
        <bgColor indexed="64"/>
      </patternFill>
    </fill>
    <fill>
      <patternFill patternType="solid">
        <fgColor theme="3" tint="0.59999389629810485"/>
        <bgColor indexed="64"/>
      </patternFill>
    </fill>
    <fill>
      <patternFill patternType="solid">
        <fgColor theme="9"/>
        <bgColor indexed="64"/>
      </patternFill>
    </fill>
    <fill>
      <patternFill patternType="solid">
        <fgColor theme="6" tint="0.79998168889431442"/>
        <bgColor indexed="64"/>
      </patternFill>
    </fill>
    <fill>
      <patternFill patternType="solid">
        <fgColor rgb="FFFF3300"/>
        <bgColor indexed="64"/>
      </patternFill>
    </fill>
    <fill>
      <patternFill patternType="solid">
        <fgColor rgb="FF92D050"/>
        <bgColor indexed="64"/>
      </patternFill>
    </fill>
  </fills>
  <borders count="106">
    <border>
      <left/>
      <right/>
      <top/>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
      <left style="thin">
        <color indexed="64"/>
      </left>
      <right/>
      <top style="thin">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bottom style="double">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double">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ck">
        <color rgb="FFFFC000"/>
      </left>
      <right/>
      <top style="thick">
        <color rgb="FFFFC000"/>
      </top>
      <bottom/>
      <diagonal/>
    </border>
    <border>
      <left/>
      <right style="thick">
        <color rgb="FFFFC000"/>
      </right>
      <top style="thick">
        <color rgb="FFFFC000"/>
      </top>
      <bottom/>
      <diagonal/>
    </border>
    <border>
      <left/>
      <right/>
      <top style="thick">
        <color theme="9"/>
      </top>
      <bottom/>
      <diagonal/>
    </border>
    <border>
      <left/>
      <right style="thick">
        <color theme="9"/>
      </right>
      <top style="thick">
        <color theme="9"/>
      </top>
      <bottom/>
      <diagonal/>
    </border>
    <border>
      <left style="thick">
        <color theme="9"/>
      </left>
      <right/>
      <top/>
      <bottom/>
      <diagonal/>
    </border>
    <border>
      <left/>
      <right style="thick">
        <color theme="9"/>
      </right>
      <top/>
      <bottom/>
      <diagonal/>
    </border>
    <border>
      <left style="thick">
        <color theme="9"/>
      </left>
      <right/>
      <top/>
      <bottom style="thick">
        <color theme="9"/>
      </bottom>
      <diagonal/>
    </border>
    <border>
      <left/>
      <right/>
      <top/>
      <bottom style="thick">
        <color theme="9"/>
      </bottom>
      <diagonal/>
    </border>
    <border>
      <left/>
      <right style="thick">
        <color theme="9"/>
      </right>
      <top/>
      <bottom style="thick">
        <color theme="9"/>
      </bottom>
      <diagonal/>
    </border>
    <border>
      <left style="thick">
        <color theme="9"/>
      </left>
      <right/>
      <top style="thick">
        <color theme="9"/>
      </top>
      <bottom/>
      <diagonal/>
    </border>
    <border>
      <left style="thick">
        <color theme="7"/>
      </left>
      <right/>
      <top style="thick">
        <color theme="7"/>
      </top>
      <bottom/>
      <diagonal/>
    </border>
    <border>
      <left/>
      <right/>
      <top style="thick">
        <color theme="7"/>
      </top>
      <bottom/>
      <diagonal/>
    </border>
    <border>
      <left/>
      <right style="thick">
        <color theme="7"/>
      </right>
      <top style="thick">
        <color theme="7"/>
      </top>
      <bottom/>
      <diagonal/>
    </border>
    <border>
      <left style="thick">
        <color theme="7"/>
      </left>
      <right/>
      <top/>
      <bottom/>
      <diagonal/>
    </border>
    <border>
      <left/>
      <right style="thick">
        <color theme="7"/>
      </right>
      <top/>
      <bottom/>
      <diagonal/>
    </border>
    <border>
      <left style="thick">
        <color theme="7"/>
      </left>
      <right/>
      <top/>
      <bottom style="thick">
        <color theme="7"/>
      </bottom>
      <diagonal/>
    </border>
    <border>
      <left/>
      <right/>
      <top/>
      <bottom style="thick">
        <color theme="7"/>
      </bottom>
      <diagonal/>
    </border>
    <border>
      <left/>
      <right style="thick">
        <color theme="7"/>
      </right>
      <top/>
      <bottom style="thick">
        <color theme="7"/>
      </bottom>
      <diagonal/>
    </border>
    <border>
      <left/>
      <right/>
      <top/>
      <bottom style="double">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s>
  <cellStyleXfs count="1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164" fontId="2" fillId="0" borderId="0" applyFont="0" applyFill="0" applyBorder="0" applyAlignment="0" applyProtection="0"/>
    <xf numFmtId="43" fontId="1" fillId="0" borderId="0" applyFont="0" applyFill="0" applyBorder="0" applyAlignment="0" applyProtection="0"/>
    <xf numFmtId="0" fontId="2"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0" fontId="2" fillId="0" borderId="0"/>
    <xf numFmtId="164" fontId="2" fillId="0" borderId="0" applyFont="0" applyFill="0" applyBorder="0" applyAlignment="0" applyProtection="0"/>
    <xf numFmtId="164" fontId="2" fillId="0" borderId="0" applyFont="0" applyFill="0" applyBorder="0" applyAlignment="0" applyProtection="0"/>
    <xf numFmtId="0" fontId="26" fillId="0" borderId="0" applyNumberFormat="0" applyFill="0" applyBorder="0" applyAlignment="0" applyProtection="0"/>
    <xf numFmtId="0" fontId="2" fillId="0" borderId="0"/>
    <xf numFmtId="164" fontId="1" fillId="0" borderId="0" applyFont="0" applyFill="0" applyBorder="0" applyAlignment="0" applyProtection="0"/>
  </cellStyleXfs>
  <cellXfs count="1077">
    <xf numFmtId="0" fontId="0" fillId="0" borderId="0" xfId="0"/>
    <xf numFmtId="0" fontId="3" fillId="0" borderId="0" xfId="3" applyFont="1" applyAlignment="1">
      <alignment horizontal="center"/>
    </xf>
    <xf numFmtId="0" fontId="4" fillId="0" borderId="0" xfId="3" applyFont="1" applyAlignment="1">
      <alignment horizontal="center"/>
    </xf>
    <xf numFmtId="0" fontId="4" fillId="0" borderId="4" xfId="3" applyFont="1" applyBorder="1" applyAlignment="1">
      <alignment horizontal="center" vertical="center" wrapText="1"/>
    </xf>
    <xf numFmtId="0" fontId="4" fillId="0" borderId="5" xfId="3" applyFont="1" applyBorder="1" applyAlignment="1">
      <alignment horizontal="center" vertical="center" wrapText="1"/>
    </xf>
    <xf numFmtId="0" fontId="3" fillId="0" borderId="12" xfId="3" applyFont="1" applyBorder="1" applyAlignment="1">
      <alignment horizontal="center"/>
    </xf>
    <xf numFmtId="165" fontId="3" fillId="0" borderId="12" xfId="3" applyNumberFormat="1" applyFont="1" applyBorder="1"/>
    <xf numFmtId="165" fontId="3" fillId="0" borderId="13" xfId="3" applyNumberFormat="1" applyFont="1" applyBorder="1"/>
    <xf numFmtId="167" fontId="3" fillId="0" borderId="12" xfId="4" applyNumberFormat="1" applyFont="1" applyFill="1" applyBorder="1" applyAlignment="1">
      <alignment horizontal="right"/>
    </xf>
    <xf numFmtId="167" fontId="3" fillId="0" borderId="13" xfId="4" applyNumberFormat="1" applyFont="1" applyFill="1" applyBorder="1" applyAlignment="1">
      <alignment horizontal="right"/>
    </xf>
    <xf numFmtId="0" fontId="3" fillId="0" borderId="21" xfId="3" applyFont="1" applyBorder="1" applyAlignment="1">
      <alignment horizontal="center"/>
    </xf>
    <xf numFmtId="0" fontId="3" fillId="0" borderId="0" xfId="3" applyFont="1"/>
    <xf numFmtId="167" fontId="4" fillId="0" borderId="0" xfId="4" applyNumberFormat="1" applyFont="1" applyFill="1" applyBorder="1" applyAlignment="1">
      <alignment horizontal="right"/>
    </xf>
    <xf numFmtId="0" fontId="3" fillId="0" borderId="0" xfId="3" applyFont="1" applyAlignment="1">
      <alignment horizontal="left"/>
    </xf>
    <xf numFmtId="164" fontId="3" fillId="0" borderId="0" xfId="3" applyNumberFormat="1" applyFont="1" applyAlignment="1">
      <alignment horizontal="center"/>
    </xf>
    <xf numFmtId="0" fontId="3" fillId="0" borderId="0" xfId="3" applyFont="1" applyAlignment="1">
      <alignment horizontal="left" vertical="top"/>
    </xf>
    <xf numFmtId="0" fontId="3" fillId="0" borderId="0" xfId="3" applyFont="1" applyAlignment="1">
      <alignment vertical="top" wrapText="1"/>
    </xf>
    <xf numFmtId="49" fontId="3" fillId="0" borderId="0" xfId="3" applyNumberFormat="1" applyFont="1" applyAlignment="1">
      <alignment horizontal="center"/>
    </xf>
    <xf numFmtId="164" fontId="3" fillId="0" borderId="0" xfId="3" applyNumberFormat="1" applyFont="1"/>
    <xf numFmtId="0" fontId="3" fillId="0" borderId="0" xfId="3" applyFont="1" applyAlignment="1">
      <alignment horizontal="left" vertical="top" wrapText="1"/>
    </xf>
    <xf numFmtId="43" fontId="3" fillId="0" borderId="0" xfId="3" applyNumberFormat="1" applyFont="1"/>
    <xf numFmtId="0" fontId="4" fillId="0" borderId="0" xfId="3" applyFont="1" applyAlignment="1">
      <alignment horizontal="left"/>
    </xf>
    <xf numFmtId="0" fontId="4" fillId="0" borderId="0" xfId="3" applyFont="1"/>
    <xf numFmtId="0" fontId="4" fillId="0" borderId="0" xfId="3" applyFont="1" applyAlignment="1">
      <alignment horizontal="center" vertical="center"/>
    </xf>
    <xf numFmtId="0" fontId="3" fillId="0" borderId="0" xfId="3" quotePrefix="1" applyFont="1" applyAlignment="1">
      <alignment horizontal="left"/>
    </xf>
    <xf numFmtId="43" fontId="3" fillId="0" borderId="12" xfId="1" applyFont="1" applyFill="1" applyBorder="1" applyAlignment="1">
      <alignment horizontal="right"/>
    </xf>
    <xf numFmtId="43" fontId="4" fillId="0" borderId="18" xfId="1" applyFont="1" applyFill="1" applyBorder="1" applyAlignment="1">
      <alignment horizontal="right"/>
    </xf>
    <xf numFmtId="43" fontId="4" fillId="0" borderId="19" xfId="1" applyFont="1" applyFill="1" applyBorder="1" applyAlignment="1">
      <alignment horizontal="right"/>
    </xf>
    <xf numFmtId="43" fontId="3" fillId="0" borderId="13" xfId="1" applyFont="1" applyFill="1" applyBorder="1" applyAlignment="1">
      <alignment horizontal="right"/>
    </xf>
    <xf numFmtId="43" fontId="4" fillId="0" borderId="23" xfId="1" applyFont="1" applyFill="1" applyBorder="1" applyAlignment="1">
      <alignment horizontal="right"/>
    </xf>
    <xf numFmtId="43" fontId="4" fillId="0" borderId="24" xfId="1" applyFont="1" applyFill="1" applyBorder="1" applyAlignment="1">
      <alignment horizontal="right"/>
    </xf>
    <xf numFmtId="0" fontId="7" fillId="0" borderId="0" xfId="3" applyFont="1" applyAlignment="1">
      <alignment horizontal="center"/>
    </xf>
    <xf numFmtId="0" fontId="8" fillId="0" borderId="0" xfId="3" quotePrefix="1" applyFont="1" applyAlignment="1">
      <alignment horizontal="center"/>
    </xf>
    <xf numFmtId="0" fontId="11" fillId="0" borderId="0" xfId="3" applyFont="1" applyAlignment="1">
      <alignment horizontal="center"/>
    </xf>
    <xf numFmtId="168" fontId="10" fillId="0" borderId="25" xfId="3" applyNumberFormat="1" applyFont="1" applyBorder="1"/>
    <xf numFmtId="0" fontId="10" fillId="0" borderId="25" xfId="3" applyFont="1" applyBorder="1" applyAlignment="1">
      <alignment horizontal="center"/>
    </xf>
    <xf numFmtId="168" fontId="10" fillId="0" borderId="28" xfId="3" applyNumberFormat="1" applyFont="1" applyBorder="1"/>
    <xf numFmtId="0" fontId="10" fillId="0" borderId="27" xfId="3" applyFont="1" applyBorder="1" applyAlignment="1">
      <alignment horizontal="center"/>
    </xf>
    <xf numFmtId="168" fontId="5" fillId="0" borderId="28" xfId="3" applyNumberFormat="1" applyFont="1" applyBorder="1" applyAlignment="1">
      <alignment horizontal="center"/>
    </xf>
    <xf numFmtId="168" fontId="10" fillId="0" borderId="27" xfId="3" applyNumberFormat="1" applyFont="1" applyBorder="1"/>
    <xf numFmtId="168" fontId="10" fillId="0" borderId="28" xfId="3" applyNumberFormat="1" applyFont="1" applyBorder="1" applyAlignment="1">
      <alignment horizontal="left" vertical="center" wrapText="1"/>
    </xf>
    <xf numFmtId="168" fontId="5" fillId="0" borderId="28" xfId="3" applyNumberFormat="1" applyFont="1" applyBorder="1" applyAlignment="1">
      <alignment horizontal="left" vertical="center" wrapText="1"/>
    </xf>
    <xf numFmtId="168" fontId="5" fillId="0" borderId="28" xfId="3" applyNumberFormat="1" applyFont="1" applyBorder="1"/>
    <xf numFmtId="168" fontId="10" fillId="0" borderId="28" xfId="3" quotePrefix="1" applyNumberFormat="1" applyFont="1" applyBorder="1" applyAlignment="1">
      <alignment horizontal="left"/>
    </xf>
    <xf numFmtId="0" fontId="5" fillId="0" borderId="27" xfId="3" applyFont="1" applyBorder="1" applyAlignment="1">
      <alignment horizontal="center"/>
    </xf>
    <xf numFmtId="0" fontId="10" fillId="0" borderId="28" xfId="3" applyFont="1" applyBorder="1"/>
    <xf numFmtId="0" fontId="10" fillId="0" borderId="6" xfId="3" applyFont="1" applyBorder="1"/>
    <xf numFmtId="0" fontId="10" fillId="0" borderId="26" xfId="3" applyFont="1" applyBorder="1" applyAlignment="1">
      <alignment horizontal="center"/>
    </xf>
    <xf numFmtId="0" fontId="10" fillId="0" borderId="0" xfId="3" applyFont="1" applyAlignment="1">
      <alignment horizontal="left"/>
    </xf>
    <xf numFmtId="0" fontId="10" fillId="0" borderId="0" xfId="3" applyFont="1"/>
    <xf numFmtId="43" fontId="10" fillId="0" borderId="25" xfId="1" applyFont="1" applyFill="1" applyBorder="1" applyAlignment="1">
      <alignment horizontal="right"/>
    </xf>
    <xf numFmtId="43" fontId="10" fillId="0" borderId="27" xfId="1" applyFont="1" applyFill="1" applyBorder="1" applyAlignment="1">
      <alignment horizontal="right"/>
    </xf>
    <xf numFmtId="43" fontId="5" fillId="0" borderId="29" xfId="1" applyFont="1" applyFill="1" applyBorder="1" applyAlignment="1">
      <alignment horizontal="right"/>
    </xf>
    <xf numFmtId="43" fontId="5" fillId="0" borderId="27" xfId="1" applyFont="1" applyFill="1" applyBorder="1" applyAlignment="1">
      <alignment horizontal="right"/>
    </xf>
    <xf numFmtId="43" fontId="5" fillId="0" borderId="30" xfId="1" applyFont="1" applyFill="1" applyBorder="1" applyAlignment="1">
      <alignment horizontal="right"/>
    </xf>
    <xf numFmtId="43" fontId="10" fillId="0" borderId="0" xfId="1" applyFont="1" applyAlignment="1">
      <alignment horizontal="center"/>
    </xf>
    <xf numFmtId="43" fontId="10" fillId="0" borderId="0" xfId="1" applyFont="1" applyAlignment="1">
      <alignment horizontal="left" wrapText="1"/>
    </xf>
    <xf numFmtId="43" fontId="10" fillId="0" borderId="0" xfId="1" applyFont="1"/>
    <xf numFmtId="43" fontId="0" fillId="0" borderId="0" xfId="1" applyFont="1"/>
    <xf numFmtId="43" fontId="5" fillId="0" borderId="25" xfId="1" applyFont="1" applyBorder="1" applyAlignment="1">
      <alignment horizontal="center"/>
    </xf>
    <xf numFmtId="9" fontId="10" fillId="0" borderId="28" xfId="2" applyFont="1" applyBorder="1" applyAlignment="1">
      <alignment horizontal="left" vertical="center"/>
    </xf>
    <xf numFmtId="0" fontId="3" fillId="0" borderId="0" xfId="3" applyFont="1" applyAlignment="1">
      <alignment horizontal="center" vertical="top" wrapText="1"/>
    </xf>
    <xf numFmtId="0" fontId="0" fillId="0" borderId="0" xfId="0" applyAlignment="1">
      <alignment horizontal="center"/>
    </xf>
    <xf numFmtId="0" fontId="10" fillId="0" borderId="0" xfId="3" applyFont="1" applyAlignment="1">
      <alignment horizontal="left" wrapText="1"/>
    </xf>
    <xf numFmtId="0" fontId="3" fillId="0" borderId="28" xfId="3" applyFont="1" applyBorder="1" applyAlignment="1">
      <alignment horizontal="center" vertical="center"/>
    </xf>
    <xf numFmtId="168" fontId="3" fillId="0" borderId="0" xfId="3" applyNumberFormat="1" applyFont="1" applyAlignment="1">
      <alignment horizontal="left" vertical="center"/>
    </xf>
    <xf numFmtId="0" fontId="4" fillId="0" borderId="28" xfId="3" applyFont="1" applyBorder="1" applyAlignment="1">
      <alignment horizontal="center" vertical="center"/>
    </xf>
    <xf numFmtId="0" fontId="3" fillId="0" borderId="38" xfId="3" applyFont="1" applyBorder="1" applyAlignment="1">
      <alignment horizontal="center" vertical="center"/>
    </xf>
    <xf numFmtId="168" fontId="3" fillId="0" borderId="39" xfId="3" applyNumberFormat="1" applyFont="1" applyBorder="1" applyAlignment="1">
      <alignment horizontal="left" vertical="center"/>
    </xf>
    <xf numFmtId="0" fontId="3" fillId="0" borderId="6" xfId="3" applyFont="1" applyBorder="1" applyAlignment="1">
      <alignment horizontal="center" vertical="center"/>
    </xf>
    <xf numFmtId="168" fontId="3" fillId="0" borderId="1" xfId="3" applyNumberFormat="1" applyFont="1" applyBorder="1" applyAlignment="1">
      <alignment horizontal="left" vertical="center"/>
    </xf>
    <xf numFmtId="0" fontId="13" fillId="0" borderId="0" xfId="3" applyFont="1" applyAlignment="1">
      <alignment vertical="center"/>
    </xf>
    <xf numFmtId="0" fontId="3" fillId="0" borderId="28" xfId="3" applyFont="1" applyBorder="1" applyAlignment="1">
      <alignment horizontal="center" vertical="center" wrapText="1"/>
    </xf>
    <xf numFmtId="0" fontId="4" fillId="0" borderId="28" xfId="3" applyFont="1" applyBorder="1" applyAlignment="1">
      <alignment horizontal="left" vertical="center" wrapText="1"/>
    </xf>
    <xf numFmtId="0" fontId="4" fillId="0" borderId="28" xfId="3" applyFont="1" applyBorder="1" applyAlignment="1">
      <alignment horizontal="center" vertical="center" wrapText="1"/>
    </xf>
    <xf numFmtId="43" fontId="3" fillId="0" borderId="12" xfId="1" applyFont="1" applyFill="1" applyBorder="1" applyAlignment="1">
      <alignment horizontal="right" vertical="center" wrapText="1"/>
    </xf>
    <xf numFmtId="43" fontId="3" fillId="0" borderId="13" xfId="1" applyFont="1" applyFill="1" applyBorder="1" applyAlignment="1">
      <alignment horizontal="right" vertical="center" wrapText="1"/>
    </xf>
    <xf numFmtId="43" fontId="4" fillId="0" borderId="17" xfId="1" applyFont="1" applyFill="1" applyBorder="1" applyAlignment="1">
      <alignment horizontal="right" vertical="center" wrapText="1"/>
    </xf>
    <xf numFmtId="43" fontId="4" fillId="0" borderId="37" xfId="1" applyFont="1" applyFill="1" applyBorder="1" applyAlignment="1">
      <alignment horizontal="right" vertical="center" wrapText="1"/>
    </xf>
    <xf numFmtId="43" fontId="3" fillId="0" borderId="12" xfId="1" applyFont="1" applyFill="1" applyBorder="1" applyAlignment="1">
      <alignment horizontal="right" vertical="center"/>
    </xf>
    <xf numFmtId="43" fontId="3" fillId="0" borderId="13" xfId="1" applyFont="1" applyFill="1" applyBorder="1" applyAlignment="1">
      <alignment horizontal="right" vertical="center"/>
    </xf>
    <xf numFmtId="43" fontId="4" fillId="0" borderId="12" xfId="1" applyFont="1" applyFill="1" applyBorder="1" applyAlignment="1">
      <alignment horizontal="right" vertical="center"/>
    </xf>
    <xf numFmtId="43" fontId="4" fillId="0" borderId="13" xfId="1" applyFont="1" applyFill="1" applyBorder="1" applyAlignment="1">
      <alignment horizontal="right" vertical="center"/>
    </xf>
    <xf numFmtId="43" fontId="4" fillId="0" borderId="17" xfId="1" applyFont="1" applyFill="1" applyBorder="1" applyAlignment="1">
      <alignment horizontal="right" vertical="center"/>
    </xf>
    <xf numFmtId="43" fontId="4" fillId="0" borderId="37" xfId="1" applyFont="1" applyFill="1" applyBorder="1" applyAlignment="1">
      <alignment horizontal="right" vertical="center"/>
    </xf>
    <xf numFmtId="43" fontId="4" fillId="0" borderId="15" xfId="1" applyFont="1" applyFill="1" applyBorder="1" applyAlignment="1">
      <alignment horizontal="right" vertical="center"/>
    </xf>
    <xf numFmtId="43" fontId="4" fillId="0" borderId="40" xfId="1" applyFont="1" applyFill="1" applyBorder="1" applyAlignment="1">
      <alignment horizontal="right" vertical="center"/>
    </xf>
    <xf numFmtId="43" fontId="3" fillId="0" borderId="9" xfId="1" applyFont="1" applyFill="1" applyBorder="1" applyAlignment="1">
      <alignment horizontal="right" vertical="center"/>
    </xf>
    <xf numFmtId="43" fontId="3" fillId="0" borderId="41" xfId="1" applyFont="1" applyFill="1" applyBorder="1" applyAlignment="1">
      <alignment horizontal="right" vertical="center"/>
    </xf>
    <xf numFmtId="0" fontId="3" fillId="0" borderId="0" xfId="3" applyFont="1" applyAlignment="1">
      <alignment horizontal="center" vertical="center"/>
    </xf>
    <xf numFmtId="43" fontId="3" fillId="0" borderId="0" xfId="1" applyFont="1" applyFill="1" applyBorder="1" applyAlignment="1">
      <alignment horizontal="right" vertical="center"/>
    </xf>
    <xf numFmtId="0" fontId="3" fillId="0" borderId="0" xfId="3" applyFont="1" applyAlignment="1">
      <alignment horizontal="center" vertical="center" wrapText="1"/>
    </xf>
    <xf numFmtId="167" fontId="5" fillId="0" borderId="0" xfId="4" applyNumberFormat="1" applyFont="1" applyFill="1" applyBorder="1" applyAlignment="1">
      <alignment horizontal="right"/>
    </xf>
    <xf numFmtId="164" fontId="5" fillId="0" borderId="56" xfId="4" applyFont="1" applyFill="1" applyBorder="1" applyAlignment="1">
      <alignment horizontal="center"/>
    </xf>
    <xf numFmtId="164" fontId="10" fillId="0" borderId="28" xfId="4" applyFont="1" applyFill="1" applyBorder="1"/>
    <xf numFmtId="164" fontId="10" fillId="0" borderId="0" xfId="4" applyFont="1" applyFill="1" applyBorder="1" applyAlignment="1">
      <alignment horizontal="left"/>
    </xf>
    <xf numFmtId="164" fontId="5" fillId="0" borderId="0" xfId="4" applyFont="1" applyFill="1" applyBorder="1"/>
    <xf numFmtId="164" fontId="5" fillId="0" borderId="28" xfId="4" applyFont="1" applyFill="1" applyBorder="1"/>
    <xf numFmtId="164" fontId="10" fillId="0" borderId="0" xfId="4" applyFont="1" applyFill="1" applyBorder="1"/>
    <xf numFmtId="0" fontId="5" fillId="0" borderId="0" xfId="3" applyFont="1"/>
    <xf numFmtId="0" fontId="5" fillId="0" borderId="46" xfId="3" applyFont="1" applyBorder="1"/>
    <xf numFmtId="0" fontId="10" fillId="0" borderId="47" xfId="3" applyFont="1" applyBorder="1"/>
    <xf numFmtId="0" fontId="5" fillId="0" borderId="47" xfId="3" applyFont="1" applyBorder="1"/>
    <xf numFmtId="0" fontId="10" fillId="0" borderId="0" xfId="3" quotePrefix="1" applyFont="1" applyAlignment="1">
      <alignment horizontal="left"/>
    </xf>
    <xf numFmtId="0" fontId="5" fillId="0" borderId="0" xfId="3" applyFont="1" applyAlignment="1">
      <alignment horizontal="center"/>
    </xf>
    <xf numFmtId="0" fontId="5" fillId="0" borderId="51" xfId="3" applyFont="1" applyBorder="1" applyAlignment="1">
      <alignment horizontal="center"/>
    </xf>
    <xf numFmtId="0" fontId="5" fillId="0" borderId="56" xfId="3" applyFont="1" applyBorder="1" applyAlignment="1">
      <alignment horizontal="center"/>
    </xf>
    <xf numFmtId="0" fontId="5" fillId="0" borderId="57" xfId="3" applyFont="1" applyBorder="1"/>
    <xf numFmtId="0" fontId="10" fillId="0" borderId="58" xfId="3" applyFont="1" applyBorder="1"/>
    <xf numFmtId="0" fontId="5" fillId="0" borderId="58" xfId="3" applyFont="1" applyBorder="1"/>
    <xf numFmtId="0" fontId="7" fillId="0" borderId="0" xfId="3" applyFont="1"/>
    <xf numFmtId="0" fontId="8" fillId="0" borderId="0" xfId="3" quotePrefix="1" applyFont="1"/>
    <xf numFmtId="43" fontId="10" fillId="0" borderId="12" xfId="1" applyFont="1" applyFill="1" applyBorder="1" applyAlignment="1">
      <alignment horizontal="right"/>
    </xf>
    <xf numFmtId="43" fontId="10" fillId="0" borderId="13" xfId="1" applyFont="1" applyFill="1" applyBorder="1" applyAlignment="1">
      <alignment horizontal="right"/>
    </xf>
    <xf numFmtId="43" fontId="5" fillId="0" borderId="23" xfId="1" applyFont="1" applyFill="1" applyBorder="1" applyAlignment="1">
      <alignment horizontal="right"/>
    </xf>
    <xf numFmtId="0" fontId="5" fillId="0" borderId="49" xfId="3" quotePrefix="1" applyFont="1" applyBorder="1" applyAlignment="1">
      <alignment horizontal="center"/>
    </xf>
    <xf numFmtId="0" fontId="4" fillId="0" borderId="28" xfId="3" applyFont="1" applyBorder="1" applyAlignment="1">
      <alignment horizontal="left" vertical="center"/>
    </xf>
    <xf numFmtId="43" fontId="10" fillId="0" borderId="53" xfId="1" applyFont="1" applyFill="1" applyBorder="1" applyAlignment="1">
      <alignment horizontal="right"/>
    </xf>
    <xf numFmtId="43" fontId="5" fillId="0" borderId="0" xfId="1" applyFont="1" applyFill="1" applyBorder="1" applyAlignment="1">
      <alignment horizontal="right"/>
    </xf>
    <xf numFmtId="43" fontId="5" fillId="0" borderId="24" xfId="1" applyFont="1" applyFill="1" applyBorder="1" applyAlignment="1">
      <alignment horizontal="right"/>
    </xf>
    <xf numFmtId="164" fontId="5" fillId="0" borderId="2" xfId="4" applyFont="1" applyFill="1" applyBorder="1"/>
    <xf numFmtId="164" fontId="10" fillId="0" borderId="31" xfId="4" applyFont="1" applyFill="1" applyBorder="1"/>
    <xf numFmtId="164" fontId="10" fillId="0" borderId="1" xfId="4" applyFont="1" applyFill="1" applyBorder="1"/>
    <xf numFmtId="164" fontId="10" fillId="0" borderId="27" xfId="4" applyFont="1" applyFill="1" applyBorder="1" applyAlignment="1">
      <alignment vertical="top"/>
    </xf>
    <xf numFmtId="164" fontId="10" fillId="0" borderId="27" xfId="4" applyFont="1" applyFill="1" applyBorder="1"/>
    <xf numFmtId="164" fontId="5" fillId="0" borderId="27" xfId="4" applyFont="1" applyFill="1" applyBorder="1"/>
    <xf numFmtId="164" fontId="10" fillId="0" borderId="27" xfId="4" applyFont="1" applyFill="1" applyBorder="1" applyAlignment="1">
      <alignment horizontal="right"/>
    </xf>
    <xf numFmtId="164" fontId="5" fillId="0" borderId="60" xfId="4" applyFont="1" applyFill="1" applyBorder="1" applyAlignment="1">
      <alignment horizontal="center"/>
    </xf>
    <xf numFmtId="164" fontId="5" fillId="0" borderId="0" xfId="4" applyFont="1" applyFill="1" applyBorder="1" applyAlignment="1">
      <alignment horizontal="center"/>
    </xf>
    <xf numFmtId="164" fontId="10" fillId="0" borderId="16" xfId="4" applyFont="1" applyFill="1" applyBorder="1" applyAlignment="1">
      <alignment vertical="top"/>
    </xf>
    <xf numFmtId="164" fontId="10" fillId="0" borderId="37" xfId="4" applyFont="1" applyFill="1" applyBorder="1" applyAlignment="1">
      <alignment vertical="top"/>
    </xf>
    <xf numFmtId="164" fontId="10" fillId="0" borderId="16" xfId="4" applyFont="1" applyFill="1" applyBorder="1" applyAlignment="1">
      <alignment horizontal="right"/>
    </xf>
    <xf numFmtId="164" fontId="10" fillId="0" borderId="0" xfId="4" applyFont="1" applyFill="1" applyBorder="1" applyAlignment="1">
      <alignment vertical="top"/>
    </xf>
    <xf numFmtId="164" fontId="5" fillId="0" borderId="0" xfId="4" applyFont="1" applyFill="1" applyBorder="1" applyAlignment="1">
      <alignment vertical="top"/>
    </xf>
    <xf numFmtId="164" fontId="5" fillId="0" borderId="28" xfId="4" applyFont="1" applyFill="1" applyBorder="1" applyAlignment="1">
      <alignment horizontal="center" vertical="top"/>
    </xf>
    <xf numFmtId="164" fontId="10" fillId="0" borderId="31" xfId="4" applyFont="1" applyFill="1" applyBorder="1" applyAlignment="1">
      <alignment horizontal="center"/>
    </xf>
    <xf numFmtId="0" fontId="0" fillId="0" borderId="0" xfId="0" applyAlignment="1">
      <alignment vertical="center"/>
    </xf>
    <xf numFmtId="164" fontId="5" fillId="0" borderId="16" xfId="4" applyFont="1" applyFill="1" applyBorder="1" applyAlignment="1">
      <alignment horizontal="center" vertical="center" wrapText="1"/>
    </xf>
    <xf numFmtId="164" fontId="5" fillId="0" borderId="37" xfId="4" applyFont="1" applyFill="1" applyBorder="1" applyAlignment="1">
      <alignment horizontal="center" vertical="center" wrapText="1"/>
    </xf>
    <xf numFmtId="164" fontId="5" fillId="0" borderId="34" xfId="4" applyFont="1" applyFill="1" applyBorder="1" applyAlignment="1">
      <alignment vertical="top" wrapText="1"/>
    </xf>
    <xf numFmtId="164" fontId="5" fillId="0" borderId="33" xfId="4" applyFont="1" applyFill="1" applyBorder="1" applyAlignment="1">
      <alignment vertical="top"/>
    </xf>
    <xf numFmtId="164" fontId="11" fillId="0" borderId="0" xfId="4" applyFont="1" applyFill="1" applyBorder="1"/>
    <xf numFmtId="168" fontId="5" fillId="0" borderId="42" xfId="4" applyNumberFormat="1" applyFont="1" applyFill="1" applyBorder="1" applyAlignment="1"/>
    <xf numFmtId="168" fontId="5" fillId="0" borderId="28" xfId="4" applyNumberFormat="1" applyFont="1" applyFill="1" applyBorder="1" applyAlignment="1"/>
    <xf numFmtId="168" fontId="5" fillId="0" borderId="48" xfId="4" applyNumberFormat="1" applyFont="1" applyFill="1" applyBorder="1" applyAlignment="1">
      <alignment horizontal="center"/>
    </xf>
    <xf numFmtId="168" fontId="5" fillId="0" borderId="48" xfId="4" quotePrefix="1" applyNumberFormat="1" applyFont="1" applyFill="1" applyBorder="1" applyAlignment="1">
      <alignment horizontal="center"/>
    </xf>
    <xf numFmtId="167" fontId="10" fillId="0" borderId="28" xfId="4" applyNumberFormat="1" applyFont="1" applyFill="1" applyBorder="1"/>
    <xf numFmtId="167" fontId="10" fillId="0" borderId="58" xfId="4" applyNumberFormat="1" applyFont="1" applyFill="1" applyBorder="1"/>
    <xf numFmtId="167" fontId="5" fillId="0" borderId="51" xfId="4" applyNumberFormat="1" applyFont="1" applyFill="1" applyBorder="1" applyAlignment="1">
      <alignment horizontal="center"/>
    </xf>
    <xf numFmtId="167" fontId="5" fillId="0" borderId="33" xfId="4" applyNumberFormat="1" applyFont="1" applyFill="1" applyBorder="1" applyAlignment="1">
      <alignment horizontal="center"/>
    </xf>
    <xf numFmtId="167" fontId="5" fillId="0" borderId="2" xfId="4" applyNumberFormat="1" applyFont="1" applyFill="1" applyBorder="1" applyAlignment="1"/>
    <xf numFmtId="167" fontId="5" fillId="0" borderId="0" xfId="4" applyNumberFormat="1" applyFont="1" applyFill="1" applyBorder="1" applyAlignment="1">
      <alignment horizontal="center"/>
    </xf>
    <xf numFmtId="167" fontId="5" fillId="0" borderId="0" xfId="4" applyNumberFormat="1" applyFont="1" applyFill="1" applyBorder="1" applyAlignment="1"/>
    <xf numFmtId="167" fontId="5" fillId="0" borderId="0" xfId="4" applyNumberFormat="1" applyFont="1" applyFill="1" applyBorder="1"/>
    <xf numFmtId="167" fontId="5" fillId="0" borderId="46" xfId="4" applyNumberFormat="1" applyFont="1" applyFill="1" applyBorder="1"/>
    <xf numFmtId="167" fontId="10" fillId="0" borderId="47" xfId="4" applyNumberFormat="1" applyFont="1" applyFill="1" applyBorder="1"/>
    <xf numFmtId="167" fontId="5" fillId="0" borderId="47" xfId="4" applyNumberFormat="1" applyFont="1" applyFill="1" applyBorder="1"/>
    <xf numFmtId="167" fontId="5" fillId="0" borderId="57" xfId="4" applyNumberFormat="1" applyFont="1" applyFill="1" applyBorder="1"/>
    <xf numFmtId="167" fontId="10" fillId="0" borderId="0" xfId="4" applyNumberFormat="1" applyFont="1" applyFill="1" applyBorder="1"/>
    <xf numFmtId="167" fontId="5" fillId="0" borderId="58" xfId="4" applyNumberFormat="1" applyFont="1" applyFill="1" applyBorder="1"/>
    <xf numFmtId="167" fontId="5" fillId="0" borderId="56" xfId="4" applyNumberFormat="1" applyFont="1" applyFill="1" applyBorder="1" applyAlignment="1">
      <alignment horizontal="center"/>
    </xf>
    <xf numFmtId="167" fontId="10" fillId="0" borderId="0" xfId="4" applyNumberFormat="1" applyFont="1" applyFill="1"/>
    <xf numFmtId="167" fontId="5" fillId="0" borderId="0" xfId="4" applyNumberFormat="1" applyFont="1" applyFill="1"/>
    <xf numFmtId="167" fontId="5" fillId="0" borderId="31" xfId="4" applyNumberFormat="1" applyFont="1" applyFill="1" applyBorder="1"/>
    <xf numFmtId="167" fontId="5" fillId="0" borderId="28" xfId="4" applyNumberFormat="1" applyFont="1" applyFill="1" applyBorder="1"/>
    <xf numFmtId="167" fontId="5" fillId="0" borderId="45" xfId="4" applyNumberFormat="1" applyFont="1" applyFill="1" applyBorder="1"/>
    <xf numFmtId="167" fontId="5" fillId="0" borderId="39" xfId="4" applyNumberFormat="1" applyFont="1" applyFill="1" applyBorder="1"/>
    <xf numFmtId="167" fontId="5" fillId="0" borderId="1" xfId="4" applyNumberFormat="1" applyFont="1" applyFill="1" applyBorder="1" applyAlignment="1">
      <alignment horizontal="center"/>
    </xf>
    <xf numFmtId="167" fontId="10" fillId="0" borderId="0" xfId="4" applyNumberFormat="1" applyFont="1" applyFill="1" applyAlignment="1">
      <alignment horizontal="left"/>
    </xf>
    <xf numFmtId="167" fontId="10" fillId="0" borderId="47" xfId="4" applyNumberFormat="1" applyFont="1" applyFill="1" applyBorder="1" applyAlignment="1">
      <alignment horizontal="left"/>
    </xf>
    <xf numFmtId="167" fontId="10" fillId="0" borderId="0" xfId="4" applyNumberFormat="1" applyFont="1" applyFill="1" applyBorder="1" applyAlignment="1">
      <alignment horizontal="left"/>
    </xf>
    <xf numFmtId="167" fontId="10" fillId="0" borderId="39" xfId="4" applyNumberFormat="1" applyFont="1" applyFill="1" applyBorder="1"/>
    <xf numFmtId="43" fontId="5" fillId="0" borderId="0" xfId="1" applyFont="1" applyFill="1" applyBorder="1"/>
    <xf numFmtId="0" fontId="1" fillId="0" borderId="0" xfId="0" applyFont="1"/>
    <xf numFmtId="164" fontId="1" fillId="0" borderId="17" xfId="7" applyFont="1" applyFill="1" applyBorder="1" applyAlignment="1">
      <alignment vertical="top"/>
    </xf>
    <xf numFmtId="164" fontId="1" fillId="0" borderId="37" xfId="7" applyFont="1" applyFill="1" applyBorder="1" applyAlignment="1">
      <alignment vertical="top"/>
    </xf>
    <xf numFmtId="164" fontId="0" fillId="0" borderId="0" xfId="7" applyFont="1" applyFill="1" applyBorder="1"/>
    <xf numFmtId="0" fontId="12" fillId="0" borderId="66" xfId="0" applyFont="1" applyBorder="1" applyAlignment="1">
      <alignment vertical="top"/>
    </xf>
    <xf numFmtId="0" fontId="12" fillId="0" borderId="48" xfId="0" applyFont="1" applyBorder="1" applyAlignment="1">
      <alignment vertical="top"/>
    </xf>
    <xf numFmtId="164" fontId="12" fillId="0" borderId="23" xfId="7" applyFont="1" applyFill="1" applyBorder="1" applyAlignment="1">
      <alignment vertical="top"/>
    </xf>
    <xf numFmtId="164" fontId="12" fillId="0" borderId="24" xfId="7" applyFont="1" applyFill="1" applyBorder="1" applyAlignment="1">
      <alignment vertical="top"/>
    </xf>
    <xf numFmtId="0" fontId="12" fillId="0" borderId="48" xfId="0" applyFont="1" applyBorder="1" applyAlignment="1">
      <alignment horizontal="center" vertical="top"/>
    </xf>
    <xf numFmtId="0" fontId="12" fillId="0" borderId="49" xfId="0" applyFont="1" applyBorder="1" applyAlignment="1">
      <alignment horizontal="center" vertical="top"/>
    </xf>
    <xf numFmtId="0" fontId="0" fillId="0" borderId="16" xfId="0" applyBorder="1" applyAlignment="1">
      <alignment vertical="top"/>
    </xf>
    <xf numFmtId="0" fontId="0" fillId="0" borderId="22" xfId="0" applyBorder="1" applyAlignment="1">
      <alignment vertical="top"/>
    </xf>
    <xf numFmtId="164" fontId="5" fillId="0" borderId="3" xfId="4" applyFont="1" applyFill="1" applyBorder="1" applyAlignment="1">
      <alignment vertical="top"/>
    </xf>
    <xf numFmtId="164" fontId="5" fillId="0" borderId="4" xfId="4" applyFont="1" applyFill="1" applyBorder="1" applyAlignment="1">
      <alignment horizontal="center"/>
    </xf>
    <xf numFmtId="164" fontId="5" fillId="0" borderId="5" xfId="4" applyFont="1" applyFill="1" applyBorder="1" applyAlignment="1">
      <alignment horizontal="center"/>
    </xf>
    <xf numFmtId="164" fontId="5" fillId="0" borderId="39" xfId="4" applyFont="1" applyFill="1" applyBorder="1" applyAlignment="1">
      <alignment vertical="top"/>
    </xf>
    <xf numFmtId="164" fontId="5" fillId="0" borderId="0" xfId="4" applyFont="1" applyFill="1" applyBorder="1" applyAlignment="1">
      <alignment horizontal="right"/>
    </xf>
    <xf numFmtId="164" fontId="10" fillId="0" borderId="53" xfId="4" applyFont="1" applyFill="1" applyBorder="1"/>
    <xf numFmtId="164" fontId="10" fillId="0" borderId="3" xfId="4" applyFont="1" applyFill="1" applyBorder="1"/>
    <xf numFmtId="164" fontId="10" fillId="0" borderId="65" xfId="4" applyFont="1" applyFill="1" applyBorder="1"/>
    <xf numFmtId="164" fontId="10" fillId="0" borderId="58" xfId="4" applyFont="1" applyFill="1" applyBorder="1"/>
    <xf numFmtId="164" fontId="10" fillId="0" borderId="0" xfId="4" applyFont="1" applyFill="1"/>
    <xf numFmtId="164" fontId="10" fillId="0" borderId="39" xfId="4" applyFont="1" applyFill="1" applyBorder="1" applyAlignment="1">
      <alignment horizontal="center"/>
    </xf>
    <xf numFmtId="164" fontId="10" fillId="0" borderId="0" xfId="4" applyFont="1" applyFill="1" applyBorder="1" applyAlignment="1">
      <alignment horizontal="right"/>
    </xf>
    <xf numFmtId="164" fontId="10" fillId="0" borderId="39" xfId="4" applyFont="1" applyFill="1" applyBorder="1"/>
    <xf numFmtId="164" fontId="5" fillId="0" borderId="65" xfId="4" applyFont="1" applyFill="1" applyBorder="1" applyAlignment="1">
      <alignment horizontal="center"/>
    </xf>
    <xf numFmtId="164" fontId="10" fillId="0" borderId="58" xfId="4" applyFont="1" applyFill="1" applyBorder="1" applyAlignment="1"/>
    <xf numFmtId="164" fontId="10" fillId="0" borderId="58" xfId="4" applyFont="1" applyFill="1" applyBorder="1" applyAlignment="1">
      <alignment horizontal="left" indent="1"/>
    </xf>
    <xf numFmtId="164" fontId="10" fillId="0" borderId="72" xfId="4" applyFont="1" applyFill="1" applyBorder="1"/>
    <xf numFmtId="0" fontId="11" fillId="0" borderId="0" xfId="3" applyFont="1"/>
    <xf numFmtId="9" fontId="9" fillId="0" borderId="0" xfId="2" applyFont="1" applyFill="1" applyBorder="1" applyAlignment="1"/>
    <xf numFmtId="164" fontId="5" fillId="0" borderId="31" xfId="4" applyFont="1" applyFill="1" applyBorder="1" applyAlignment="1"/>
    <xf numFmtId="164" fontId="5" fillId="0" borderId="3" xfId="4" applyFont="1" applyFill="1" applyBorder="1"/>
    <xf numFmtId="164" fontId="5" fillId="0" borderId="65" xfId="4" applyFont="1" applyFill="1" applyBorder="1"/>
    <xf numFmtId="164" fontId="10" fillId="0" borderId="0" xfId="4" applyFont="1" applyFill="1" applyBorder="1" applyAlignment="1">
      <alignment horizontal="left" indent="1"/>
    </xf>
    <xf numFmtId="0" fontId="0" fillId="0" borderId="28" xfId="0" applyBorder="1"/>
    <xf numFmtId="164" fontId="15" fillId="3" borderId="63" xfId="4" applyFont="1" applyFill="1" applyBorder="1" applyAlignment="1">
      <alignment horizontal="center" vertical="center"/>
    </xf>
    <xf numFmtId="164" fontId="16" fillId="3" borderId="53" xfId="4" applyFont="1" applyFill="1" applyBorder="1" applyAlignment="1">
      <alignment horizontal="center" vertical="center"/>
    </xf>
    <xf numFmtId="164" fontId="15" fillId="3" borderId="53" xfId="4" applyFont="1" applyFill="1" applyBorder="1" applyAlignment="1">
      <alignment horizontal="center" vertical="center"/>
    </xf>
    <xf numFmtId="0" fontId="0" fillId="0" borderId="0" xfId="0" applyAlignment="1">
      <alignment wrapText="1"/>
    </xf>
    <xf numFmtId="164" fontId="16" fillId="3" borderId="33" xfId="4" quotePrefix="1" applyFont="1" applyFill="1" applyBorder="1" applyAlignment="1">
      <alignment vertical="top" wrapText="1"/>
    </xf>
    <xf numFmtId="164" fontId="16" fillId="3" borderId="34" xfId="4" quotePrefix="1" applyFont="1" applyFill="1" applyBorder="1" applyAlignment="1">
      <alignment vertical="top" wrapText="1"/>
    </xf>
    <xf numFmtId="164" fontId="16" fillId="3" borderId="63" xfId="4" quotePrefix="1" applyFont="1" applyFill="1" applyBorder="1" applyAlignment="1">
      <alignment vertical="top" wrapText="1"/>
    </xf>
    <xf numFmtId="164" fontId="16" fillId="3" borderId="32" xfId="4" applyFont="1" applyFill="1" applyBorder="1" applyAlignment="1">
      <alignment horizontal="center" vertical="top"/>
    </xf>
    <xf numFmtId="164" fontId="15" fillId="3" borderId="53" xfId="4" applyFont="1" applyFill="1" applyBorder="1" applyAlignment="1">
      <alignment horizontal="center" vertical="top"/>
    </xf>
    <xf numFmtId="164" fontId="16" fillId="3" borderId="25" xfId="4" applyFont="1" applyFill="1" applyBorder="1" applyAlignment="1">
      <alignment horizontal="center" vertical="top"/>
    </xf>
    <xf numFmtId="164" fontId="15" fillId="3" borderId="27" xfId="4" applyFont="1" applyFill="1" applyBorder="1" applyAlignment="1">
      <alignment horizontal="center" vertical="top"/>
    </xf>
    <xf numFmtId="164" fontId="15" fillId="3" borderId="42" xfId="4" applyFont="1" applyFill="1" applyBorder="1" applyAlignment="1">
      <alignment horizontal="center" vertical="top"/>
    </xf>
    <xf numFmtId="164" fontId="16" fillId="3" borderId="25" xfId="4" quotePrefix="1" applyFont="1" applyFill="1" applyBorder="1" applyAlignment="1">
      <alignment horizontal="center" vertical="top"/>
    </xf>
    <xf numFmtId="0" fontId="0" fillId="3" borderId="27" xfId="0" applyFill="1" applyBorder="1" applyAlignment="1">
      <alignment horizontal="center"/>
    </xf>
    <xf numFmtId="164" fontId="16" fillId="3" borderId="26" xfId="4" quotePrefix="1" applyFont="1" applyFill="1" applyBorder="1" applyAlignment="1">
      <alignment horizontal="center" vertical="top"/>
    </xf>
    <xf numFmtId="0" fontId="5" fillId="0" borderId="28" xfId="3" applyFont="1" applyBorder="1"/>
    <xf numFmtId="0" fontId="10" fillId="0" borderId="0" xfId="3" applyFont="1" applyAlignment="1">
      <alignment wrapText="1"/>
    </xf>
    <xf numFmtId="0" fontId="5" fillId="0" borderId="0" xfId="3" applyFont="1" applyAlignment="1">
      <alignment horizontal="left"/>
    </xf>
    <xf numFmtId="0" fontId="12" fillId="0" borderId="0" xfId="0" applyFont="1"/>
    <xf numFmtId="0" fontId="19" fillId="0" borderId="0" xfId="0" applyFont="1" applyAlignment="1">
      <alignment horizontal="right"/>
    </xf>
    <xf numFmtId="0" fontId="14" fillId="0" borderId="0" xfId="3" applyFont="1" applyAlignment="1">
      <alignment horizontal="left"/>
    </xf>
    <xf numFmtId="0" fontId="19" fillId="0" borderId="0" xfId="3" applyFont="1" applyAlignment="1">
      <alignment horizontal="left"/>
    </xf>
    <xf numFmtId="0" fontId="12" fillId="4" borderId="0" xfId="0" applyFont="1" applyFill="1"/>
    <xf numFmtId="0" fontId="10" fillId="5" borderId="17" xfId="0" applyFont="1" applyFill="1" applyBorder="1"/>
    <xf numFmtId="0" fontId="10" fillId="5" borderId="16" xfId="0" applyFont="1" applyFill="1" applyBorder="1" applyAlignment="1">
      <alignment horizontal="left" vertical="center" wrapText="1" indent="1"/>
    </xf>
    <xf numFmtId="0" fontId="10" fillId="5" borderId="37" xfId="0" applyFont="1" applyFill="1" applyBorder="1"/>
    <xf numFmtId="0" fontId="10" fillId="5" borderId="22" xfId="0" applyFont="1" applyFill="1" applyBorder="1" applyAlignment="1">
      <alignment horizontal="left" vertical="center" wrapText="1" indent="1"/>
    </xf>
    <xf numFmtId="0" fontId="10" fillId="5" borderId="23" xfId="0" applyFont="1" applyFill="1" applyBorder="1"/>
    <xf numFmtId="0" fontId="10" fillId="5" borderId="24" xfId="0" applyFont="1" applyFill="1" applyBorder="1"/>
    <xf numFmtId="0" fontId="10" fillId="5" borderId="0" xfId="0" applyFont="1" applyFill="1" applyAlignment="1">
      <alignment horizontal="left" vertical="center" wrapText="1" indent="1"/>
    </xf>
    <xf numFmtId="0" fontId="5" fillId="5" borderId="6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37" xfId="0" applyFont="1" applyFill="1" applyBorder="1" applyAlignment="1">
      <alignment horizontal="left" vertical="center" wrapText="1" indent="1"/>
    </xf>
    <xf numFmtId="0" fontId="10" fillId="0" borderId="0" xfId="9" applyFont="1" applyAlignment="1">
      <alignment wrapText="1"/>
    </xf>
    <xf numFmtId="0" fontId="20" fillId="0" borderId="0" xfId="0" applyFont="1" applyAlignment="1">
      <alignment horizontal="justify" vertical="center" wrapText="1"/>
    </xf>
    <xf numFmtId="0" fontId="4" fillId="0" borderId="32" xfId="3" applyFont="1" applyBorder="1" applyAlignment="1">
      <alignment horizontal="center" vertical="center" wrapText="1"/>
    </xf>
    <xf numFmtId="164" fontId="10" fillId="0" borderId="53" xfId="4" applyFont="1" applyFill="1" applyBorder="1" applyAlignment="1">
      <alignment vertical="top"/>
    </xf>
    <xf numFmtId="164" fontId="5" fillId="0" borderId="53" xfId="4" applyFont="1" applyFill="1" applyBorder="1"/>
    <xf numFmtId="164" fontId="10" fillId="0" borderId="53" xfId="4" applyFont="1" applyFill="1" applyBorder="1" applyAlignment="1">
      <alignment horizontal="right"/>
    </xf>
    <xf numFmtId="164" fontId="5" fillId="0" borderId="55" xfId="4" applyFont="1" applyFill="1" applyBorder="1" applyAlignment="1">
      <alignment horizontal="center"/>
    </xf>
    <xf numFmtId="0" fontId="4" fillId="0" borderId="25" xfId="3" applyFont="1" applyBorder="1" applyAlignment="1">
      <alignment horizontal="center" vertical="center" wrapText="1"/>
    </xf>
    <xf numFmtId="0" fontId="0" fillId="2" borderId="0" xfId="0" applyFill="1"/>
    <xf numFmtId="0" fontId="5" fillId="0" borderId="28" xfId="3" applyFont="1" applyBorder="1" applyAlignment="1">
      <alignment horizontal="center" vertical="center"/>
    </xf>
    <xf numFmtId="0" fontId="0" fillId="2" borderId="0" xfId="0" applyFill="1" applyAlignment="1">
      <alignment wrapText="1"/>
    </xf>
    <xf numFmtId="0" fontId="21" fillId="4" borderId="0" xfId="0" applyFont="1" applyFill="1" applyAlignment="1">
      <alignment horizontal="justify" vertical="center" wrapText="1"/>
    </xf>
    <xf numFmtId="0" fontId="12" fillId="4" borderId="0" xfId="0" applyFont="1" applyFill="1" applyAlignment="1">
      <alignment horizontal="justify" vertical="center" wrapText="1"/>
    </xf>
    <xf numFmtId="167" fontId="10" fillId="0" borderId="0" xfId="4" applyNumberFormat="1" applyFont="1" applyFill="1" applyBorder="1" applyAlignment="1">
      <alignment horizontal="left" wrapText="1"/>
    </xf>
    <xf numFmtId="167" fontId="10" fillId="0" borderId="0" xfId="4" applyNumberFormat="1" applyFont="1" applyFill="1" applyBorder="1" applyAlignment="1">
      <alignment horizontal="left" vertical="top" wrapText="1"/>
    </xf>
    <xf numFmtId="0" fontId="5" fillId="4" borderId="0" xfId="0" applyFont="1" applyFill="1"/>
    <xf numFmtId="0" fontId="11" fillId="0" borderId="53" xfId="3" applyFont="1" applyBorder="1"/>
    <xf numFmtId="164" fontId="5" fillId="0" borderId="7" xfId="4" applyFont="1" applyFill="1" applyBorder="1" applyAlignment="1">
      <alignment horizontal="right"/>
    </xf>
    <xf numFmtId="0" fontId="23" fillId="0" borderId="0" xfId="0" applyFont="1"/>
    <xf numFmtId="0" fontId="24" fillId="0" borderId="0" xfId="0" applyFont="1"/>
    <xf numFmtId="168" fontId="4" fillId="0" borderId="12" xfId="3" applyNumberFormat="1" applyFont="1" applyBorder="1" applyAlignment="1">
      <alignment horizontal="left" vertical="center" wrapText="1"/>
    </xf>
    <xf numFmtId="43" fontId="5" fillId="0" borderId="2" xfId="1" applyFont="1" applyBorder="1" applyAlignment="1">
      <alignment horizontal="center"/>
    </xf>
    <xf numFmtId="0" fontId="12" fillId="0" borderId="60" xfId="0" applyFont="1" applyBorder="1" applyAlignment="1">
      <alignment horizontal="center"/>
    </xf>
    <xf numFmtId="164" fontId="5" fillId="0" borderId="51" xfId="4" applyFont="1" applyFill="1" applyBorder="1" applyAlignment="1">
      <alignment horizontal="center"/>
    </xf>
    <xf numFmtId="0" fontId="11" fillId="0" borderId="0" xfId="3" applyFont="1" applyAlignment="1">
      <alignment wrapText="1"/>
    </xf>
    <xf numFmtId="168" fontId="5" fillId="0" borderId="42" xfId="11" applyNumberFormat="1" applyFont="1" applyFill="1" applyBorder="1" applyAlignment="1"/>
    <xf numFmtId="168" fontId="5" fillId="0" borderId="28" xfId="11" applyNumberFormat="1" applyFont="1" applyFill="1" applyBorder="1" applyAlignment="1"/>
    <xf numFmtId="168" fontId="5" fillId="0" borderId="47" xfId="11" applyNumberFormat="1" applyFont="1" applyFill="1" applyBorder="1" applyAlignment="1"/>
    <xf numFmtId="168" fontId="5" fillId="0" borderId="48" xfId="11" applyNumberFormat="1" applyFont="1" applyFill="1" applyBorder="1" applyAlignment="1">
      <alignment horizontal="center"/>
    </xf>
    <xf numFmtId="168" fontId="5" fillId="0" borderId="48" xfId="11" quotePrefix="1" applyNumberFormat="1" applyFont="1" applyFill="1" applyBorder="1" applyAlignment="1">
      <alignment horizontal="center"/>
    </xf>
    <xf numFmtId="168" fontId="5" fillId="0" borderId="49" xfId="11" applyNumberFormat="1" applyFont="1" applyFill="1" applyBorder="1" applyAlignment="1">
      <alignment horizontal="center"/>
    </xf>
    <xf numFmtId="167" fontId="10" fillId="0" borderId="58" xfId="11" applyNumberFormat="1" applyFont="1" applyFill="1" applyBorder="1" applyAlignment="1">
      <alignment horizontal="left" indent="1"/>
    </xf>
    <xf numFmtId="167" fontId="10" fillId="0" borderId="25" xfId="11" applyNumberFormat="1" applyFont="1" applyFill="1" applyBorder="1"/>
    <xf numFmtId="167" fontId="10" fillId="0" borderId="27" xfId="11" applyNumberFormat="1" applyFont="1" applyFill="1" applyBorder="1"/>
    <xf numFmtId="167" fontId="5" fillId="0" borderId="23" xfId="11" applyNumberFormat="1" applyFont="1" applyFill="1" applyBorder="1" applyAlignment="1"/>
    <xf numFmtId="167" fontId="5" fillId="0" borderId="23" xfId="11" applyNumberFormat="1" applyFont="1" applyFill="1" applyBorder="1" applyAlignment="1">
      <alignment horizontal="center"/>
    </xf>
    <xf numFmtId="167" fontId="5" fillId="0" borderId="60" xfId="11" applyNumberFormat="1" applyFont="1" applyFill="1" applyBorder="1"/>
    <xf numFmtId="167" fontId="5" fillId="0" borderId="33" xfId="11" applyNumberFormat="1" applyFont="1" applyFill="1" applyBorder="1" applyAlignment="1">
      <alignment horizontal="center"/>
    </xf>
    <xf numFmtId="167" fontId="5" fillId="0" borderId="2" xfId="11" applyNumberFormat="1" applyFont="1" applyFill="1" applyBorder="1" applyAlignment="1"/>
    <xf numFmtId="167" fontId="5" fillId="0" borderId="47" xfId="11" applyNumberFormat="1" applyFont="1" applyFill="1" applyBorder="1" applyAlignment="1"/>
    <xf numFmtId="168" fontId="5" fillId="0" borderId="47" xfId="4" applyNumberFormat="1" applyFont="1" applyFill="1" applyBorder="1" applyAlignment="1"/>
    <xf numFmtId="168" fontId="5" fillId="0" borderId="49" xfId="4" applyNumberFormat="1" applyFont="1" applyFill="1" applyBorder="1" applyAlignment="1">
      <alignment horizontal="center"/>
    </xf>
    <xf numFmtId="167" fontId="5" fillId="0" borderId="47" xfId="4" applyNumberFormat="1" applyFont="1" applyFill="1" applyBorder="1" applyAlignment="1"/>
    <xf numFmtId="167" fontId="5" fillId="0" borderId="48" xfId="4" applyNumberFormat="1" applyFont="1" applyFill="1" applyBorder="1" applyAlignment="1">
      <alignment horizontal="center"/>
    </xf>
    <xf numFmtId="167" fontId="5" fillId="0" borderId="48" xfId="4" quotePrefix="1" applyNumberFormat="1" applyFont="1" applyFill="1" applyBorder="1" applyAlignment="1">
      <alignment horizontal="center"/>
    </xf>
    <xf numFmtId="167" fontId="5" fillId="0" borderId="49" xfId="4" applyNumberFormat="1" applyFont="1" applyFill="1" applyBorder="1" applyAlignment="1">
      <alignment horizontal="center"/>
    </xf>
    <xf numFmtId="0" fontId="5" fillId="0" borderId="1" xfId="3" applyFont="1" applyBorder="1" applyAlignment="1">
      <alignment horizontal="center"/>
    </xf>
    <xf numFmtId="0" fontId="5" fillId="0" borderId="39" xfId="3" applyFont="1" applyBorder="1"/>
    <xf numFmtId="0" fontId="5" fillId="0" borderId="31" xfId="3" applyFont="1" applyBorder="1"/>
    <xf numFmtId="0" fontId="5" fillId="0" borderId="45" xfId="3" applyFont="1" applyBorder="1"/>
    <xf numFmtId="164" fontId="5" fillId="0" borderId="31" xfId="4" applyFont="1" applyFill="1" applyBorder="1" applyAlignment="1">
      <alignment horizontal="left" vertical="center"/>
    </xf>
    <xf numFmtId="164" fontId="5" fillId="0" borderId="1" xfId="4" applyFont="1" applyFill="1" applyBorder="1" applyAlignment="1">
      <alignment horizontal="left" vertical="center"/>
    </xf>
    <xf numFmtId="0" fontId="10" fillId="0" borderId="28" xfId="3" applyFont="1" applyBorder="1" applyAlignment="1">
      <alignment horizontal="right"/>
    </xf>
    <xf numFmtId="167" fontId="10" fillId="0" borderId="28" xfId="11" applyNumberFormat="1" applyFont="1" applyFill="1" applyBorder="1" applyAlignment="1">
      <alignment horizontal="right"/>
    </xf>
    <xf numFmtId="0" fontId="20" fillId="0" borderId="0" xfId="0" applyFont="1" applyAlignment="1">
      <alignment horizontal="justify" vertical="center"/>
    </xf>
    <xf numFmtId="0" fontId="20" fillId="0" borderId="0" xfId="0" applyFont="1" applyAlignment="1">
      <alignment horizontal="left" vertical="center" indent="1"/>
    </xf>
    <xf numFmtId="0" fontId="21" fillId="4" borderId="0" xfId="0" applyFont="1" applyFill="1" applyAlignment="1">
      <alignment horizontal="left" vertical="center" indent="1"/>
    </xf>
    <xf numFmtId="0" fontId="0" fillId="0" borderId="0" xfId="0" applyAlignment="1">
      <alignment horizontal="left" indent="1"/>
    </xf>
    <xf numFmtId="0" fontId="20" fillId="0" borderId="0" xfId="0" applyFont="1" applyAlignment="1">
      <alignment horizontal="left" vertical="center" indent="2"/>
    </xf>
    <xf numFmtId="0" fontId="5" fillId="0" borderId="1" xfId="3" applyFont="1" applyBorder="1"/>
    <xf numFmtId="0" fontId="12" fillId="4" borderId="0" xfId="0" applyFont="1" applyFill="1" applyAlignment="1">
      <alignment horizontal="left" indent="1"/>
    </xf>
    <xf numFmtId="0" fontId="0" fillId="2" borderId="0" xfId="0" applyFill="1" applyAlignment="1">
      <alignment horizontal="left" indent="1"/>
    </xf>
    <xf numFmtId="0" fontId="10" fillId="0" borderId="0" xfId="3" quotePrefix="1" applyFont="1" applyAlignment="1">
      <alignment horizontal="left" wrapText="1" indent="1"/>
    </xf>
    <xf numFmtId="164" fontId="10" fillId="0" borderId="28" xfId="4" applyFont="1" applyFill="1" applyBorder="1" applyAlignment="1">
      <alignment horizontal="right"/>
    </xf>
    <xf numFmtId="43" fontId="10" fillId="0" borderId="0" xfId="1" applyFont="1" applyFill="1" applyBorder="1"/>
    <xf numFmtId="167" fontId="10" fillId="0" borderId="0" xfId="4" applyNumberFormat="1" applyFont="1" applyFill="1" applyBorder="1" applyAlignment="1">
      <alignment horizontal="left" vertical="top"/>
    </xf>
    <xf numFmtId="167" fontId="10" fillId="0" borderId="28" xfId="4" applyNumberFormat="1" applyFont="1" applyFill="1" applyBorder="1" applyAlignment="1">
      <alignment horizontal="right"/>
    </xf>
    <xf numFmtId="164" fontId="5" fillId="0" borderId="0" xfId="4" applyFont="1" applyFill="1" applyBorder="1" applyAlignment="1">
      <alignment wrapText="1"/>
    </xf>
    <xf numFmtId="164" fontId="10" fillId="0" borderId="0" xfId="4" applyFont="1" applyFill="1" applyBorder="1" applyAlignment="1"/>
    <xf numFmtId="0" fontId="0" fillId="0" borderId="2" xfId="0" applyBorder="1"/>
    <xf numFmtId="0" fontId="0" fillId="0" borderId="6" xfId="0" applyBorder="1"/>
    <xf numFmtId="164" fontId="10" fillId="0" borderId="45" xfId="4" applyFont="1" applyFill="1" applyBorder="1"/>
    <xf numFmtId="164" fontId="17" fillId="0" borderId="0" xfId="4" applyFont="1" applyFill="1" applyBorder="1" applyAlignment="1"/>
    <xf numFmtId="164" fontId="10" fillId="0" borderId="0" xfId="4" applyFont="1" applyFill="1" applyBorder="1" applyAlignment="1">
      <alignment wrapText="1"/>
    </xf>
    <xf numFmtId="0" fontId="10" fillId="0" borderId="1" xfId="3" applyFont="1" applyBorder="1" applyAlignment="1">
      <alignment wrapText="1"/>
    </xf>
    <xf numFmtId="0" fontId="10" fillId="0" borderId="45" xfId="3" applyFont="1" applyBorder="1"/>
    <xf numFmtId="0" fontId="10" fillId="0" borderId="72" xfId="3" applyFont="1" applyBorder="1"/>
    <xf numFmtId="164" fontId="5" fillId="0" borderId="1" xfId="4" applyFont="1" applyFill="1" applyBorder="1" applyAlignment="1">
      <alignment horizontal="center"/>
    </xf>
    <xf numFmtId="164" fontId="10" fillId="0" borderId="32" xfId="4" applyFont="1" applyFill="1" applyBorder="1"/>
    <xf numFmtId="164" fontId="10" fillId="0" borderId="6" xfId="4" applyFont="1" applyFill="1" applyBorder="1"/>
    <xf numFmtId="164" fontId="5" fillId="0" borderId="1" xfId="4" applyFont="1" applyFill="1" applyBorder="1"/>
    <xf numFmtId="164" fontId="5" fillId="0" borderId="10" xfId="4" applyFont="1" applyFill="1" applyBorder="1"/>
    <xf numFmtId="0" fontId="0" fillId="0" borderId="1" xfId="0" applyBorder="1"/>
    <xf numFmtId="0" fontId="0" fillId="0" borderId="63" xfId="0" applyBorder="1"/>
    <xf numFmtId="0" fontId="0" fillId="0" borderId="34" xfId="0" applyBorder="1"/>
    <xf numFmtId="0" fontId="10" fillId="0" borderId="0" xfId="9" applyFont="1"/>
    <xf numFmtId="0" fontId="10" fillId="0" borderId="28" xfId="3" applyFont="1" applyBorder="1" applyAlignment="1">
      <alignment horizontal="right" vertical="top"/>
    </xf>
    <xf numFmtId="0" fontId="25" fillId="0" borderId="0" xfId="0" applyFont="1"/>
    <xf numFmtId="164" fontId="14" fillId="0" borderId="0" xfId="4" applyFont="1" applyFill="1" applyBorder="1" applyAlignment="1"/>
    <xf numFmtId="9" fontId="12" fillId="0" borderId="0" xfId="2" applyFont="1"/>
    <xf numFmtId="0" fontId="12" fillId="0" borderId="42" xfId="0" applyFont="1" applyBorder="1" applyAlignment="1">
      <alignment horizontal="center"/>
    </xf>
    <xf numFmtId="0" fontId="23" fillId="6" borderId="29" xfId="0" applyFont="1" applyFill="1" applyBorder="1" applyAlignment="1">
      <alignment horizontal="left"/>
    </xf>
    <xf numFmtId="15" fontId="23" fillId="6" borderId="29" xfId="0" applyNumberFormat="1" applyFont="1" applyFill="1" applyBorder="1" applyAlignment="1">
      <alignment horizontal="left"/>
    </xf>
    <xf numFmtId="1" fontId="23" fillId="6" borderId="29" xfId="0" quotePrefix="1" applyNumberFormat="1" applyFont="1" applyFill="1" applyBorder="1" applyAlignment="1">
      <alignment horizontal="left"/>
    </xf>
    <xf numFmtId="0" fontId="5" fillId="0" borderId="28" xfId="3" applyFont="1" applyBorder="1" applyAlignment="1">
      <alignment horizontal="center"/>
    </xf>
    <xf numFmtId="9" fontId="12" fillId="0" borderId="0" xfId="0" applyNumberFormat="1" applyFont="1"/>
    <xf numFmtId="0" fontId="0" fillId="0" borderId="25" xfId="0" applyBorder="1"/>
    <xf numFmtId="0" fontId="0" fillId="0" borderId="27" xfId="0" applyBorder="1"/>
    <xf numFmtId="0" fontId="0" fillId="0" borderId="26" xfId="0" applyBorder="1"/>
    <xf numFmtId="0" fontId="12" fillId="0" borderId="42" xfId="0" applyFont="1" applyBorder="1"/>
    <xf numFmtId="0" fontId="0" fillId="0" borderId="32" xfId="0" applyBorder="1"/>
    <xf numFmtId="0" fontId="0" fillId="0" borderId="53" xfId="0" applyBorder="1"/>
    <xf numFmtId="0" fontId="0" fillId="0" borderId="10" xfId="0" applyBorder="1"/>
    <xf numFmtId="0" fontId="12" fillId="7" borderId="34" xfId="0" applyFont="1" applyFill="1" applyBorder="1"/>
    <xf numFmtId="15" fontId="8" fillId="7" borderId="42" xfId="3" applyNumberFormat="1" applyFont="1" applyFill="1" applyBorder="1" applyAlignment="1">
      <alignment horizontal="center"/>
    </xf>
    <xf numFmtId="15" fontId="23" fillId="0" borderId="27" xfId="1" applyNumberFormat="1" applyFont="1" applyBorder="1"/>
    <xf numFmtId="15" fontId="23" fillId="0" borderId="26" xfId="1" applyNumberFormat="1" applyFont="1" applyBorder="1"/>
    <xf numFmtId="0" fontId="23" fillId="6" borderId="80" xfId="0" applyFont="1" applyFill="1" applyBorder="1" applyAlignment="1">
      <alignment horizontal="left"/>
    </xf>
    <xf numFmtId="0" fontId="12" fillId="0" borderId="25" xfId="0" applyFont="1" applyBorder="1"/>
    <xf numFmtId="164" fontId="5" fillId="0" borderId="0" xfId="4" quotePrefix="1" applyFont="1" applyFill="1" applyBorder="1" applyAlignment="1">
      <alignment horizontal="center"/>
    </xf>
    <xf numFmtId="0" fontId="27" fillId="0" borderId="0" xfId="0" applyFont="1" applyAlignment="1">
      <alignment horizontal="left" vertical="center" indent="1"/>
    </xf>
    <xf numFmtId="0" fontId="20" fillId="0" borderId="0" xfId="0" applyFont="1" applyAlignment="1">
      <alignment horizontal="left" vertical="center"/>
    </xf>
    <xf numFmtId="0" fontId="10" fillId="0" borderId="0" xfId="0" applyFont="1" applyAlignment="1">
      <alignment horizontal="left" vertical="center"/>
    </xf>
    <xf numFmtId="0" fontId="28" fillId="0" borderId="0" xfId="12" applyFont="1" applyAlignment="1">
      <alignment horizontal="left" vertical="center"/>
    </xf>
    <xf numFmtId="0" fontId="5" fillId="0" borderId="0" xfId="0" applyFont="1" applyAlignment="1">
      <alignment horizontal="left" vertical="center"/>
    </xf>
    <xf numFmtId="0" fontId="10" fillId="0" borderId="0" xfId="0" applyFont="1" applyAlignment="1">
      <alignment horizontal="left" vertical="center" indent="1"/>
    </xf>
    <xf numFmtId="0" fontId="28" fillId="0" borderId="0" xfId="12" applyFont="1" applyAlignment="1">
      <alignment horizontal="left" vertical="center" indent="1"/>
    </xf>
    <xf numFmtId="0" fontId="28" fillId="0" borderId="0" xfId="0" applyFont="1" applyAlignment="1">
      <alignment horizontal="left" vertical="center" indent="1"/>
    </xf>
    <xf numFmtId="0" fontId="12" fillId="0" borderId="33" xfId="0" applyFont="1" applyBorder="1"/>
    <xf numFmtId="0" fontId="12" fillId="0" borderId="34" xfId="0" applyFont="1" applyBorder="1"/>
    <xf numFmtId="0" fontId="12" fillId="0" borderId="2" xfId="0" applyFont="1" applyBorder="1"/>
    <xf numFmtId="0" fontId="0" fillId="0" borderId="31" xfId="0" applyBorder="1"/>
    <xf numFmtId="0" fontId="12" fillId="0" borderId="28" xfId="0" applyFont="1" applyBorder="1" applyAlignment="1">
      <alignment horizontal="right"/>
    </xf>
    <xf numFmtId="0" fontId="0" fillId="0" borderId="0" xfId="0" applyAlignment="1">
      <alignment horizontal="left"/>
    </xf>
    <xf numFmtId="0" fontId="12" fillId="0" borderId="0" xfId="0" applyFont="1" applyAlignment="1">
      <alignment horizontal="left"/>
    </xf>
    <xf numFmtId="0" fontId="12" fillId="0" borderId="28" xfId="0" applyFont="1" applyBorder="1"/>
    <xf numFmtId="0" fontId="12" fillId="0" borderId="6" xfId="0" applyFont="1" applyBorder="1"/>
    <xf numFmtId="0" fontId="5" fillId="0" borderId="12" xfId="3" applyFont="1" applyBorder="1" applyAlignment="1">
      <alignment vertical="center" wrapText="1"/>
    </xf>
    <xf numFmtId="0" fontId="5" fillId="0" borderId="12" xfId="3" applyFont="1" applyBorder="1" applyAlignment="1">
      <alignment vertical="top" wrapText="1"/>
    </xf>
    <xf numFmtId="169" fontId="5" fillId="0" borderId="12" xfId="10" applyNumberFormat="1" applyFont="1" applyFill="1" applyBorder="1" applyAlignment="1">
      <alignment vertical="top" wrapText="1"/>
    </xf>
    <xf numFmtId="164" fontId="10" fillId="0" borderId="12" xfId="10" applyFont="1" applyFill="1" applyBorder="1" applyAlignment="1">
      <alignment vertical="top" wrapText="1"/>
    </xf>
    <xf numFmtId="0" fontId="10" fillId="0" borderId="12" xfId="3" applyFont="1" applyBorder="1" applyAlignment="1">
      <alignment vertical="top" wrapText="1"/>
    </xf>
    <xf numFmtId="167" fontId="10" fillId="0" borderId="12" xfId="10" applyNumberFormat="1" applyFont="1" applyFill="1" applyBorder="1" applyAlignment="1">
      <alignment vertical="top" wrapText="1"/>
    </xf>
    <xf numFmtId="167" fontId="10" fillId="0" borderId="12" xfId="3" applyNumberFormat="1" applyFont="1" applyBorder="1" applyAlignment="1">
      <alignment vertical="top" wrapText="1"/>
    </xf>
    <xf numFmtId="169" fontId="10" fillId="0" borderId="12" xfId="10" applyNumberFormat="1" applyFont="1" applyFill="1" applyBorder="1" applyAlignment="1">
      <alignment vertical="top" wrapText="1"/>
    </xf>
    <xf numFmtId="0" fontId="10" fillId="0" borderId="12" xfId="3" applyFont="1" applyBorder="1" applyAlignment="1">
      <alignment vertical="center" wrapText="1"/>
    </xf>
    <xf numFmtId="167" fontId="5" fillId="0" borderId="12" xfId="10" applyNumberFormat="1" applyFont="1" applyFill="1" applyBorder="1" applyAlignment="1">
      <alignment vertical="top" wrapText="1"/>
    </xf>
    <xf numFmtId="167" fontId="5" fillId="0" borderId="12" xfId="3" applyNumberFormat="1" applyFont="1" applyBorder="1" applyAlignment="1">
      <alignment vertical="top" wrapText="1"/>
    </xf>
    <xf numFmtId="0" fontId="5" fillId="0" borderId="12" xfId="3" applyFont="1" applyBorder="1" applyAlignment="1">
      <alignment horizontal="center" vertical="center" wrapText="1"/>
    </xf>
    <xf numFmtId="0" fontId="10" fillId="0" borderId="9" xfId="3" applyFont="1" applyBorder="1" applyAlignment="1">
      <alignment vertical="top" wrapText="1"/>
    </xf>
    <xf numFmtId="0" fontId="5" fillId="0" borderId="9" xfId="3" applyFont="1" applyBorder="1" applyAlignment="1">
      <alignment vertical="top" wrapText="1"/>
    </xf>
    <xf numFmtId="164" fontId="10" fillId="0" borderId="9" xfId="10" applyFont="1" applyFill="1" applyBorder="1" applyAlignment="1">
      <alignment vertical="top" wrapText="1"/>
    </xf>
    <xf numFmtId="169" fontId="10" fillId="0" borderId="58" xfId="10" applyNumberFormat="1" applyFont="1" applyFill="1" applyBorder="1" applyAlignment="1">
      <alignment vertical="top"/>
    </xf>
    <xf numFmtId="167" fontId="10" fillId="0" borderId="58" xfId="10" applyNumberFormat="1" applyFont="1" applyFill="1" applyBorder="1" applyAlignment="1">
      <alignment vertical="top"/>
    </xf>
    <xf numFmtId="0" fontId="5" fillId="0" borderId="11" xfId="3" applyFont="1" applyBorder="1" applyAlignment="1">
      <alignment horizontal="center" vertical="center" wrapText="1"/>
    </xf>
    <xf numFmtId="164" fontId="10" fillId="0" borderId="58" xfId="10" applyFont="1" applyFill="1" applyBorder="1" applyAlignment="1"/>
    <xf numFmtId="167" fontId="5" fillId="0" borderId="58" xfId="10" applyNumberFormat="1" applyFont="1" applyFill="1" applyBorder="1" applyAlignment="1">
      <alignment vertical="top"/>
    </xf>
    <xf numFmtId="0" fontId="10" fillId="0" borderId="7" xfId="3" applyFont="1" applyBorder="1"/>
    <xf numFmtId="0" fontId="10" fillId="0" borderId="12" xfId="3" applyFont="1" applyBorder="1" applyAlignment="1">
      <alignment wrapText="1"/>
    </xf>
    <xf numFmtId="164" fontId="10" fillId="0" borderId="12" xfId="10" applyFont="1" applyFill="1" applyBorder="1" applyAlignment="1">
      <alignment wrapText="1"/>
    </xf>
    <xf numFmtId="0" fontId="5" fillId="0" borderId="62" xfId="3" applyFont="1" applyBorder="1" applyAlignment="1">
      <alignment horizontal="center" wrapText="1"/>
    </xf>
    <xf numFmtId="167" fontId="5" fillId="0" borderId="21" xfId="10" applyNumberFormat="1" applyFont="1" applyFill="1" applyBorder="1" applyAlignment="1">
      <alignment vertical="top" wrapText="1"/>
    </xf>
    <xf numFmtId="167" fontId="5" fillId="0" borderId="21" xfId="10" applyNumberFormat="1" applyFont="1" applyFill="1" applyBorder="1" applyAlignment="1">
      <alignment vertical="top"/>
    </xf>
    <xf numFmtId="167" fontId="10" fillId="0" borderId="12" xfId="10" applyNumberFormat="1" applyFont="1" applyFill="1" applyBorder="1" applyAlignment="1">
      <alignment vertical="top"/>
    </xf>
    <xf numFmtId="169" fontId="10" fillId="0" borderId="12" xfId="10" applyNumberFormat="1" applyFont="1" applyFill="1" applyBorder="1" applyAlignment="1">
      <alignment vertical="top"/>
    </xf>
    <xf numFmtId="0" fontId="10" fillId="0" borderId="0" xfId="3" applyFont="1" applyAlignment="1">
      <alignment horizontal="center"/>
    </xf>
    <xf numFmtId="43" fontId="3" fillId="6" borderId="12" xfId="1" applyFont="1" applyFill="1" applyBorder="1" applyAlignment="1">
      <alignment horizontal="right" vertical="center" wrapText="1"/>
    </xf>
    <xf numFmtId="43" fontId="3" fillId="6" borderId="13" xfId="1" applyFont="1" applyFill="1" applyBorder="1" applyAlignment="1">
      <alignment horizontal="right" vertical="center" wrapText="1"/>
    </xf>
    <xf numFmtId="43" fontId="3" fillId="6" borderId="12" xfId="1" applyFont="1" applyFill="1" applyBorder="1" applyAlignment="1">
      <alignment horizontal="right" vertical="center"/>
    </xf>
    <xf numFmtId="0" fontId="4" fillId="0" borderId="0" xfId="3" applyFont="1" applyAlignment="1">
      <alignment horizontal="left" vertical="center" wrapText="1"/>
    </xf>
    <xf numFmtId="168" fontId="3" fillId="0" borderId="0" xfId="3" applyNumberFormat="1" applyFont="1" applyAlignment="1">
      <alignment horizontal="left" vertical="center" wrapText="1"/>
    </xf>
    <xf numFmtId="168" fontId="4" fillId="0" borderId="0" xfId="3" applyNumberFormat="1" applyFont="1" applyAlignment="1">
      <alignment horizontal="left" vertical="center" wrapText="1"/>
    </xf>
    <xf numFmtId="168" fontId="4" fillId="0" borderId="0" xfId="3" applyNumberFormat="1" applyFont="1" applyAlignment="1">
      <alignment horizontal="left" vertical="center"/>
    </xf>
    <xf numFmtId="43" fontId="3" fillId="6" borderId="13" xfId="1" applyFont="1" applyFill="1" applyBorder="1" applyAlignment="1">
      <alignment horizontal="right" vertical="center"/>
    </xf>
    <xf numFmtId="0" fontId="0" fillId="0" borderId="0" xfId="0" applyAlignment="1">
      <alignment vertical="top"/>
    </xf>
    <xf numFmtId="0" fontId="0" fillId="0" borderId="14" xfId="0" applyBorder="1" applyAlignment="1">
      <alignment horizontal="center" vertical="top" wrapText="1"/>
    </xf>
    <xf numFmtId="0" fontId="0" fillId="0" borderId="15" xfId="0" applyBorder="1" applyAlignment="1">
      <alignment horizontal="left" vertical="top" wrapText="1"/>
    </xf>
    <xf numFmtId="0" fontId="0" fillId="0" borderId="15" xfId="0" applyBorder="1" applyAlignment="1">
      <alignment horizontal="center" vertical="top" wrapText="1"/>
    </xf>
    <xf numFmtId="0" fontId="0" fillId="0" borderId="40" xfId="0" applyBorder="1" applyAlignment="1">
      <alignment horizontal="center" vertical="top" wrapText="1"/>
    </xf>
    <xf numFmtId="0" fontId="0" fillId="0" borderId="16" xfId="0" applyBorder="1" applyAlignment="1">
      <alignment horizontal="center"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0" borderId="37" xfId="0" applyBorder="1" applyAlignment="1">
      <alignment horizontal="center" vertical="top" wrapText="1"/>
    </xf>
    <xf numFmtId="0" fontId="0" fillId="0" borderId="22" xfId="0" applyBorder="1" applyAlignment="1">
      <alignment horizontal="center" vertical="top" wrapText="1"/>
    </xf>
    <xf numFmtId="0" fontId="0" fillId="0" borderId="23" xfId="0" applyBorder="1" applyAlignment="1">
      <alignment horizontal="left" vertical="top" wrapText="1"/>
    </xf>
    <xf numFmtId="0" fontId="0" fillId="0" borderId="23" xfId="0" applyBorder="1" applyAlignment="1">
      <alignment horizontal="center" vertical="top" wrapText="1"/>
    </xf>
    <xf numFmtId="0" fontId="0" fillId="0" borderId="24" xfId="0" applyBorder="1" applyAlignment="1">
      <alignment horizontal="center" vertical="top" wrapText="1"/>
    </xf>
    <xf numFmtId="0" fontId="12" fillId="0" borderId="79" xfId="0" applyFont="1" applyBorder="1" applyAlignment="1">
      <alignment horizontal="left" vertical="top" wrapText="1"/>
    </xf>
    <xf numFmtId="0" fontId="12" fillId="0" borderId="35" xfId="0" applyFont="1" applyBorder="1" applyAlignment="1">
      <alignment horizontal="left" vertical="top" wrapText="1"/>
    </xf>
    <xf numFmtId="0" fontId="12" fillId="0" borderId="36" xfId="0" applyFont="1" applyBorder="1" applyAlignment="1">
      <alignment horizontal="left" vertical="top" wrapText="1"/>
    </xf>
    <xf numFmtId="0" fontId="29" fillId="4" borderId="0" xfId="0" applyFont="1" applyFill="1"/>
    <xf numFmtId="164" fontId="10" fillId="0" borderId="27" xfId="1" applyNumberFormat="1" applyFont="1" applyFill="1" applyBorder="1" applyAlignment="1">
      <alignment horizontal="right"/>
    </xf>
    <xf numFmtId="2" fontId="0" fillId="0" borderId="0" xfId="0" applyNumberFormat="1"/>
    <xf numFmtId="14" fontId="0" fillId="0" borderId="0" xfId="0" applyNumberFormat="1"/>
    <xf numFmtId="164" fontId="0" fillId="0" borderId="0" xfId="14" applyFont="1"/>
    <xf numFmtId="43" fontId="0" fillId="0" borderId="0" xfId="5" applyFont="1"/>
    <xf numFmtId="43" fontId="0" fillId="0" borderId="17" xfId="5" applyFont="1" applyFill="1" applyBorder="1"/>
    <xf numFmtId="43" fontId="0" fillId="6" borderId="17" xfId="5" applyFont="1" applyFill="1" applyBorder="1"/>
    <xf numFmtId="14" fontId="0" fillId="6" borderId="17" xfId="5" applyNumberFormat="1" applyFont="1" applyFill="1" applyBorder="1"/>
    <xf numFmtId="164" fontId="0" fillId="0" borderId="0" xfId="14" applyFont="1" applyFill="1" applyBorder="1"/>
    <xf numFmtId="43" fontId="0" fillId="0" borderId="0" xfId="5" applyFont="1" applyFill="1" applyBorder="1"/>
    <xf numFmtId="14" fontId="0" fillId="0" borderId="0" xfId="5" applyNumberFormat="1" applyFont="1" applyFill="1" applyBorder="1"/>
    <xf numFmtId="0" fontId="0" fillId="0" borderId="0" xfId="0" pivotButton="1"/>
    <xf numFmtId="2" fontId="0" fillId="4" borderId="33" xfId="0" applyNumberFormat="1" applyFill="1" applyBorder="1"/>
    <xf numFmtId="14" fontId="0" fillId="4" borderId="63" xfId="0" applyNumberFormat="1" applyFill="1" applyBorder="1"/>
    <xf numFmtId="0" fontId="0" fillId="6" borderId="15" xfId="0" applyFill="1" applyBorder="1"/>
    <xf numFmtId="0" fontId="0" fillId="6" borderId="40" xfId="0" applyFill="1" applyBorder="1"/>
    <xf numFmtId="0" fontId="0" fillId="6" borderId="17" xfId="0" applyFill="1" applyBorder="1"/>
    <xf numFmtId="0" fontId="0" fillId="6" borderId="37" xfId="0" applyFill="1" applyBorder="1"/>
    <xf numFmtId="0" fontId="0" fillId="6" borderId="23" xfId="0" applyFill="1" applyBorder="1"/>
    <xf numFmtId="0" fontId="0" fillId="6" borderId="24" xfId="0" applyFill="1" applyBorder="1"/>
    <xf numFmtId="43" fontId="5" fillId="0" borderId="27" xfId="1" applyFont="1" applyFill="1" applyBorder="1"/>
    <xf numFmtId="43" fontId="5" fillId="0" borderId="53" xfId="1" applyFont="1" applyFill="1" applyBorder="1"/>
    <xf numFmtId="164" fontId="10" fillId="0" borderId="59" xfId="4" applyFont="1" applyFill="1" applyBorder="1"/>
    <xf numFmtId="164" fontId="10" fillId="0" borderId="73" xfId="4" applyFont="1" applyFill="1" applyBorder="1"/>
    <xf numFmtId="0" fontId="0" fillId="6" borderId="41" xfId="0" applyFill="1" applyBorder="1"/>
    <xf numFmtId="0" fontId="0" fillId="0" borderId="60" xfId="0" applyBorder="1"/>
    <xf numFmtId="0" fontId="0" fillId="0" borderId="60" xfId="0" applyBorder="1" applyAlignment="1">
      <alignment wrapText="1"/>
    </xf>
    <xf numFmtId="0" fontId="12" fillId="8" borderId="0" xfId="0" applyFont="1" applyFill="1"/>
    <xf numFmtId="0" fontId="0" fillId="8" borderId="0" xfId="0" applyFill="1"/>
    <xf numFmtId="0" fontId="12" fillId="8" borderId="82" xfId="0" applyFont="1" applyFill="1" applyBorder="1"/>
    <xf numFmtId="0" fontId="12" fillId="8" borderId="52" xfId="0" applyFont="1" applyFill="1" applyBorder="1"/>
    <xf numFmtId="0" fontId="0" fillId="8" borderId="52" xfId="0" applyFill="1" applyBorder="1"/>
    <xf numFmtId="0" fontId="0" fillId="8" borderId="29" xfId="0" applyFill="1" applyBorder="1"/>
    <xf numFmtId="0" fontId="0" fillId="8" borderId="60" xfId="0" applyFill="1" applyBorder="1"/>
    <xf numFmtId="0" fontId="0" fillId="8" borderId="55" xfId="0" applyFill="1" applyBorder="1" applyAlignment="1">
      <alignment wrapText="1"/>
    </xf>
    <xf numFmtId="0" fontId="0" fillId="8" borderId="55" xfId="0" applyFill="1" applyBorder="1"/>
    <xf numFmtId="0" fontId="12" fillId="8" borderId="61" xfId="0" applyFont="1" applyFill="1" applyBorder="1"/>
    <xf numFmtId="0" fontId="12" fillId="8" borderId="69" xfId="0" applyFont="1" applyFill="1" applyBorder="1"/>
    <xf numFmtId="0" fontId="0" fillId="8" borderId="69" xfId="0" applyFill="1" applyBorder="1"/>
    <xf numFmtId="0" fontId="12" fillId="8" borderId="29" xfId="0" applyFont="1" applyFill="1" applyBorder="1"/>
    <xf numFmtId="0" fontId="12" fillId="8" borderId="33" xfId="0" applyFont="1" applyFill="1" applyBorder="1"/>
    <xf numFmtId="0" fontId="12" fillId="8" borderId="63" xfId="0" applyFont="1" applyFill="1" applyBorder="1"/>
    <xf numFmtId="0" fontId="0" fillId="8" borderId="28" xfId="0" applyFill="1" applyBorder="1"/>
    <xf numFmtId="0" fontId="0" fillId="8" borderId="6" xfId="0" applyFill="1" applyBorder="1"/>
    <xf numFmtId="0" fontId="12" fillId="8" borderId="79" xfId="0" applyFont="1" applyFill="1" applyBorder="1"/>
    <xf numFmtId="0" fontId="12" fillId="8" borderId="36" xfId="0" applyFont="1" applyFill="1" applyBorder="1" applyAlignment="1">
      <alignment wrapText="1"/>
    </xf>
    <xf numFmtId="15" fontId="23" fillId="8" borderId="14" xfId="0" applyNumberFormat="1" applyFont="1" applyFill="1" applyBorder="1" applyAlignment="1">
      <alignment horizontal="left"/>
    </xf>
    <xf numFmtId="15" fontId="23" fillId="8" borderId="22" xfId="0" applyNumberFormat="1" applyFont="1" applyFill="1" applyBorder="1" applyAlignment="1">
      <alignment horizontal="left"/>
    </xf>
    <xf numFmtId="0" fontId="12" fillId="8" borderId="42" xfId="0" applyFont="1" applyFill="1" applyBorder="1"/>
    <xf numFmtId="0" fontId="0" fillId="8" borderId="29" xfId="0" applyFill="1" applyBorder="1" applyAlignment="1">
      <alignment horizontal="right"/>
    </xf>
    <xf numFmtId="0" fontId="0" fillId="8" borderId="60" xfId="0" applyFill="1" applyBorder="1" applyAlignment="1">
      <alignment horizontal="right"/>
    </xf>
    <xf numFmtId="15" fontId="12" fillId="8" borderId="23" xfId="0" applyNumberFormat="1" applyFont="1" applyFill="1" applyBorder="1"/>
    <xf numFmtId="15" fontId="12" fillId="8" borderId="24" xfId="0" applyNumberFormat="1" applyFont="1" applyFill="1" applyBorder="1"/>
    <xf numFmtId="0" fontId="0" fillId="8" borderId="14" xfId="0" applyFill="1" applyBorder="1" applyAlignment="1">
      <alignment horizontal="center"/>
    </xf>
    <xf numFmtId="0" fontId="0" fillId="8" borderId="16" xfId="0" applyFill="1" applyBorder="1" applyAlignment="1">
      <alignment horizontal="center"/>
    </xf>
    <xf numFmtId="0" fontId="0" fillId="8" borderId="22" xfId="0" applyFill="1" applyBorder="1" applyAlignment="1">
      <alignment horizontal="center"/>
    </xf>
    <xf numFmtId="0" fontId="0" fillId="6" borderId="78" xfId="0" applyFill="1" applyBorder="1" applyAlignment="1">
      <alignment wrapText="1"/>
    </xf>
    <xf numFmtId="0" fontId="0" fillId="6" borderId="78" xfId="0" applyFill="1" applyBorder="1"/>
    <xf numFmtId="0" fontId="0" fillId="6" borderId="69" xfId="0" applyFill="1" applyBorder="1"/>
    <xf numFmtId="0" fontId="0" fillId="6" borderId="55" xfId="0" applyFill="1" applyBorder="1" applyAlignment="1">
      <alignment wrapText="1"/>
    </xf>
    <xf numFmtId="0" fontId="0" fillId="6" borderId="55" xfId="0" applyFill="1" applyBorder="1"/>
    <xf numFmtId="0" fontId="0" fillId="6" borderId="52" xfId="0" applyFill="1" applyBorder="1"/>
    <xf numFmtId="0" fontId="0" fillId="8" borderId="38" xfId="0" applyFill="1" applyBorder="1" applyAlignment="1">
      <alignment wrapText="1"/>
    </xf>
    <xf numFmtId="0" fontId="0" fillId="8" borderId="64" xfId="0" applyFill="1" applyBorder="1" applyAlignment="1">
      <alignment wrapText="1"/>
    </xf>
    <xf numFmtId="0" fontId="0" fillId="8" borderId="50" xfId="0" applyFill="1" applyBorder="1" applyAlignment="1">
      <alignment wrapText="1"/>
    </xf>
    <xf numFmtId="0" fontId="12" fillId="0" borderId="31" xfId="0" applyFont="1" applyBorder="1"/>
    <xf numFmtId="0" fontId="12" fillId="0" borderId="32" xfId="0" applyFont="1" applyBorder="1"/>
    <xf numFmtId="0" fontId="10" fillId="0" borderId="28" xfId="3" applyFont="1" applyBorder="1" applyAlignment="1">
      <alignment horizontal="left"/>
    </xf>
    <xf numFmtId="0" fontId="25" fillId="0" borderId="53" xfId="0" applyFont="1" applyBorder="1"/>
    <xf numFmtId="0" fontId="10" fillId="0" borderId="0" xfId="4" applyNumberFormat="1" applyFont="1" applyFill="1" applyBorder="1" applyAlignment="1">
      <alignment horizontal="left"/>
    </xf>
    <xf numFmtId="15" fontId="23" fillId="8" borderId="20" xfId="0" applyNumberFormat="1" applyFont="1" applyFill="1" applyBorder="1" applyAlignment="1">
      <alignment horizontal="left"/>
    </xf>
    <xf numFmtId="0" fontId="0" fillId="6" borderId="68" xfId="0" applyFill="1" applyBorder="1"/>
    <xf numFmtId="15" fontId="12" fillId="8" borderId="79" xfId="0" applyNumberFormat="1" applyFont="1" applyFill="1" applyBorder="1" applyAlignment="1">
      <alignment horizontal="left"/>
    </xf>
    <xf numFmtId="167" fontId="5" fillId="0" borderId="82" xfId="11" applyNumberFormat="1" applyFont="1" applyFill="1" applyBorder="1" applyAlignment="1">
      <alignment horizontal="left" indent="1"/>
    </xf>
    <xf numFmtId="167" fontId="5" fillId="0" borderId="29" xfId="11" applyNumberFormat="1" applyFont="1" applyFill="1" applyBorder="1" applyAlignment="1">
      <alignment horizontal="left" indent="1"/>
    </xf>
    <xf numFmtId="167" fontId="5" fillId="0" borderId="60" xfId="11" applyNumberFormat="1" applyFont="1" applyFill="1" applyBorder="1" applyAlignment="1">
      <alignment horizontal="left" indent="1"/>
    </xf>
    <xf numFmtId="164" fontId="10" fillId="0" borderId="12" xfId="1" applyNumberFormat="1" applyFont="1" applyFill="1" applyBorder="1" applyAlignment="1">
      <alignment horizontal="right"/>
    </xf>
    <xf numFmtId="164" fontId="10" fillId="0" borderId="13" xfId="1" applyNumberFormat="1" applyFont="1" applyFill="1" applyBorder="1" applyAlignment="1">
      <alignment horizontal="right"/>
    </xf>
    <xf numFmtId="164" fontId="5" fillId="0" borderId="23" xfId="1" applyNumberFormat="1" applyFont="1" applyFill="1" applyBorder="1" applyAlignment="1">
      <alignment horizontal="right"/>
    </xf>
    <xf numFmtId="164" fontId="5" fillId="0" borderId="24" xfId="1" applyNumberFormat="1" applyFont="1" applyFill="1" applyBorder="1" applyAlignment="1">
      <alignment horizontal="right"/>
    </xf>
    <xf numFmtId="164" fontId="5" fillId="0" borderId="49" xfId="3" quotePrefix="1" applyNumberFormat="1" applyFont="1" applyBorder="1" applyAlignment="1">
      <alignment horizontal="center"/>
    </xf>
    <xf numFmtId="164" fontId="5" fillId="0" borderId="21" xfId="3" quotePrefix="1" applyNumberFormat="1" applyFont="1" applyBorder="1" applyAlignment="1">
      <alignment horizontal="center"/>
    </xf>
    <xf numFmtId="164" fontId="5" fillId="0" borderId="53" xfId="3" quotePrefix="1" applyNumberFormat="1" applyFont="1" applyBorder="1" applyAlignment="1">
      <alignment horizontal="center"/>
    </xf>
    <xf numFmtId="164" fontId="10" fillId="0" borderId="12" xfId="3" applyNumberFormat="1" applyFont="1" applyBorder="1"/>
    <xf numFmtId="164" fontId="10" fillId="0" borderId="53" xfId="3" applyNumberFormat="1" applyFont="1" applyBorder="1"/>
    <xf numFmtId="164" fontId="5" fillId="0" borderId="43" xfId="1" applyNumberFormat="1" applyFont="1" applyFill="1" applyBorder="1" applyAlignment="1">
      <alignment horizontal="right"/>
    </xf>
    <xf numFmtId="164" fontId="5" fillId="0" borderId="13" xfId="1" applyNumberFormat="1" applyFont="1" applyFill="1" applyBorder="1" applyAlignment="1">
      <alignment horizontal="right"/>
    </xf>
    <xf numFmtId="164" fontId="5" fillId="0" borderId="0" xfId="1" applyNumberFormat="1" applyFont="1" applyFill="1" applyBorder="1" applyAlignment="1">
      <alignment horizontal="right"/>
    </xf>
    <xf numFmtId="164" fontId="5" fillId="0" borderId="55" xfId="1" applyNumberFormat="1" applyFont="1" applyFill="1" applyBorder="1" applyAlignment="1">
      <alignment horizontal="right"/>
    </xf>
    <xf numFmtId="164" fontId="5" fillId="0" borderId="12" xfId="4" applyFont="1" applyFill="1" applyBorder="1" applyAlignment="1">
      <alignment horizontal="right"/>
    </xf>
    <xf numFmtId="164" fontId="5" fillId="0" borderId="53" xfId="4" applyFont="1" applyFill="1" applyBorder="1" applyAlignment="1">
      <alignment horizontal="right"/>
    </xf>
    <xf numFmtId="164" fontId="10" fillId="0" borderId="12" xfId="1" applyNumberFormat="1" applyFont="1" applyFill="1" applyBorder="1" applyAlignment="1">
      <alignment horizontal="right" vertical="center"/>
    </xf>
    <xf numFmtId="164" fontId="10" fillId="0" borderId="53" xfId="1" applyNumberFormat="1" applyFont="1" applyFill="1" applyBorder="1" applyAlignment="1">
      <alignment horizontal="right"/>
    </xf>
    <xf numFmtId="164" fontId="5" fillId="0" borderId="12" xfId="3" quotePrefix="1" applyNumberFormat="1" applyFont="1" applyBorder="1" applyAlignment="1">
      <alignment horizontal="center"/>
    </xf>
    <xf numFmtId="164" fontId="0" fillId="0" borderId="0" xfId="0" applyNumberFormat="1"/>
    <xf numFmtId="164" fontId="5" fillId="0" borderId="0" xfId="3" applyNumberFormat="1" applyFont="1"/>
    <xf numFmtId="164" fontId="5" fillId="0" borderId="56" xfId="1" applyNumberFormat="1" applyFont="1" applyFill="1" applyBorder="1" applyAlignment="1">
      <alignment horizontal="right"/>
    </xf>
    <xf numFmtId="164" fontId="10" fillId="0" borderId="25" xfId="4" applyFont="1" applyFill="1" applyBorder="1"/>
    <xf numFmtId="164" fontId="5" fillId="0" borderId="23" xfId="4" applyFont="1" applyFill="1" applyBorder="1" applyAlignment="1"/>
    <xf numFmtId="164" fontId="5" fillId="0" borderId="23" xfId="4" applyFont="1" applyFill="1" applyBorder="1" applyAlignment="1">
      <alignment horizontal="center"/>
    </xf>
    <xf numFmtId="164" fontId="5" fillId="0" borderId="54" xfId="4" applyFont="1" applyFill="1" applyBorder="1"/>
    <xf numFmtId="164" fontId="5" fillId="0" borderId="60" xfId="4" applyFont="1" applyFill="1" applyBorder="1"/>
    <xf numFmtId="164" fontId="5" fillId="0" borderId="54" xfId="1" applyNumberFormat="1" applyFont="1" applyFill="1" applyBorder="1"/>
    <xf numFmtId="164" fontId="5" fillId="0" borderId="24" xfId="1" applyNumberFormat="1" applyFont="1" applyFill="1" applyBorder="1"/>
    <xf numFmtId="164" fontId="5" fillId="0" borderId="12" xfId="4" quotePrefix="1" applyFont="1" applyFill="1" applyBorder="1" applyAlignment="1">
      <alignment horizontal="right"/>
    </xf>
    <xf numFmtId="164" fontId="5" fillId="0" borderId="13" xfId="4" quotePrefix="1" applyFont="1" applyFill="1" applyBorder="1" applyAlignment="1">
      <alignment horizontal="right"/>
    </xf>
    <xf numFmtId="164" fontId="5" fillId="0" borderId="23" xfId="1" applyNumberFormat="1" applyFont="1" applyFill="1" applyBorder="1"/>
    <xf numFmtId="164" fontId="5" fillId="0" borderId="34" xfId="1" applyNumberFormat="1" applyFont="1" applyFill="1" applyBorder="1" applyAlignment="1">
      <alignment horizontal="right"/>
    </xf>
    <xf numFmtId="164" fontId="5" fillId="0" borderId="36" xfId="1" applyNumberFormat="1" applyFont="1" applyFill="1" applyBorder="1" applyAlignment="1">
      <alignment horizontal="right"/>
    </xf>
    <xf numFmtId="164" fontId="5" fillId="0" borderId="13" xfId="4" applyFont="1" applyFill="1" applyBorder="1" applyAlignment="1">
      <alignment horizontal="right"/>
    </xf>
    <xf numFmtId="164" fontId="5" fillId="0" borderId="44" xfId="1" applyNumberFormat="1" applyFont="1" applyFill="1" applyBorder="1" applyAlignment="1">
      <alignment horizontal="right"/>
    </xf>
    <xf numFmtId="164" fontId="5" fillId="0" borderId="37" xfId="1" applyNumberFormat="1" applyFont="1" applyFill="1" applyBorder="1" applyAlignment="1">
      <alignment horizontal="right"/>
    </xf>
    <xf numFmtId="164" fontId="5" fillId="0" borderId="70" xfId="1" applyNumberFormat="1" applyFont="1" applyFill="1" applyBorder="1" applyAlignment="1">
      <alignment horizontal="right"/>
    </xf>
    <xf numFmtId="164" fontId="5" fillId="0" borderId="19" xfId="1" applyNumberFormat="1" applyFont="1" applyFill="1" applyBorder="1" applyAlignment="1">
      <alignment horizontal="right"/>
    </xf>
    <xf numFmtId="164" fontId="5" fillId="0" borderId="43" xfId="4" applyFont="1" applyFill="1" applyBorder="1" applyAlignment="1">
      <alignment horizontal="right"/>
    </xf>
    <xf numFmtId="164" fontId="5" fillId="0" borderId="71" xfId="1" applyNumberFormat="1" applyFont="1" applyFill="1" applyBorder="1" applyAlignment="1">
      <alignment horizontal="right"/>
    </xf>
    <xf numFmtId="164" fontId="5" fillId="0" borderId="68" xfId="1" applyNumberFormat="1" applyFont="1" applyFill="1" applyBorder="1" applyAlignment="1">
      <alignment horizontal="right"/>
    </xf>
    <xf numFmtId="164" fontId="5" fillId="0" borderId="71" xfId="4" applyFont="1" applyFill="1" applyBorder="1" applyAlignment="1">
      <alignment horizontal="right"/>
    </xf>
    <xf numFmtId="164" fontId="5" fillId="0" borderId="68" xfId="4" applyFont="1" applyFill="1" applyBorder="1" applyAlignment="1">
      <alignment horizontal="right"/>
    </xf>
    <xf numFmtId="164" fontId="5" fillId="0" borderId="67" xfId="1" applyNumberFormat="1" applyFont="1" applyFill="1" applyBorder="1" applyAlignment="1">
      <alignment horizontal="right"/>
    </xf>
    <xf numFmtId="164" fontId="10" fillId="0" borderId="43" xfId="4" applyFont="1" applyFill="1" applyBorder="1" applyAlignment="1">
      <alignment horizontal="right"/>
    </xf>
    <xf numFmtId="164" fontId="10" fillId="0" borderId="13" xfId="4" applyFont="1" applyFill="1" applyBorder="1" applyAlignment="1">
      <alignment horizontal="right"/>
    </xf>
    <xf numFmtId="164" fontId="10" fillId="0" borderId="43" xfId="1" applyNumberFormat="1" applyFont="1" applyFill="1" applyBorder="1" applyAlignment="1">
      <alignment horizontal="right"/>
    </xf>
    <xf numFmtId="164" fontId="5" fillId="0" borderId="81" xfId="1" applyNumberFormat="1" applyFont="1" applyFill="1" applyBorder="1" applyAlignment="1">
      <alignment horizontal="right"/>
    </xf>
    <xf numFmtId="164" fontId="5" fillId="0" borderId="77" xfId="1" applyNumberFormat="1" applyFont="1" applyFill="1" applyBorder="1" applyAlignment="1">
      <alignment horizontal="right"/>
    </xf>
    <xf numFmtId="164" fontId="5" fillId="0" borderId="63" xfId="1" applyNumberFormat="1" applyFont="1" applyFill="1" applyBorder="1" applyAlignment="1">
      <alignment horizontal="right"/>
    </xf>
    <xf numFmtId="164" fontId="10" fillId="0" borderId="0" xfId="4" applyFont="1" applyFill="1" applyAlignment="1">
      <alignment horizontal="right"/>
    </xf>
    <xf numFmtId="164" fontId="10" fillId="0" borderId="45" xfId="4" applyFont="1" applyFill="1" applyBorder="1" applyAlignment="1">
      <alignment horizontal="right"/>
    </xf>
    <xf numFmtId="164" fontId="10" fillId="0" borderId="68" xfId="4" applyFont="1" applyFill="1" applyBorder="1" applyAlignment="1">
      <alignment horizontal="right"/>
    </xf>
    <xf numFmtId="164" fontId="5" fillId="0" borderId="35" xfId="1" applyNumberFormat="1" applyFont="1" applyFill="1" applyBorder="1" applyAlignment="1">
      <alignment horizontal="right"/>
    </xf>
    <xf numFmtId="164" fontId="5" fillId="0" borderId="4" xfId="1" applyNumberFormat="1" applyFont="1" applyFill="1" applyBorder="1" applyAlignment="1">
      <alignment horizontal="center"/>
    </xf>
    <xf numFmtId="164" fontId="5" fillId="0" borderId="5" xfId="1" applyNumberFormat="1" applyFont="1" applyFill="1" applyBorder="1" applyAlignment="1">
      <alignment horizontal="center"/>
    </xf>
    <xf numFmtId="164" fontId="10" fillId="0" borderId="15" xfId="1" applyNumberFormat="1" applyFont="1" applyFill="1" applyBorder="1" applyAlignment="1">
      <alignment horizontal="right"/>
    </xf>
    <xf numFmtId="164" fontId="10" fillId="0" borderId="69" xfId="1" applyNumberFormat="1" applyFont="1" applyFill="1" applyBorder="1" applyAlignment="1">
      <alignment horizontal="right"/>
    </xf>
    <xf numFmtId="164" fontId="10" fillId="0" borderId="58" xfId="11" applyFont="1" applyFill="1" applyBorder="1"/>
    <xf numFmtId="167" fontId="10" fillId="0" borderId="58" xfId="4" applyNumberFormat="1" applyFont="1" applyFill="1" applyBorder="1" applyAlignment="1"/>
    <xf numFmtId="167" fontId="10" fillId="0" borderId="2" xfId="4" applyNumberFormat="1" applyFont="1" applyFill="1" applyBorder="1"/>
    <xf numFmtId="167" fontId="10" fillId="0" borderId="28" xfId="4" applyNumberFormat="1" applyFont="1" applyFill="1" applyBorder="1" applyAlignment="1"/>
    <xf numFmtId="167" fontId="10" fillId="0" borderId="6" xfId="4" applyNumberFormat="1" applyFont="1" applyFill="1" applyBorder="1"/>
    <xf numFmtId="168" fontId="5" fillId="0" borderId="82" xfId="4" applyNumberFormat="1" applyFont="1" applyFill="1" applyBorder="1" applyAlignment="1">
      <alignment horizontal="center"/>
    </xf>
    <xf numFmtId="168" fontId="5" fillId="0" borderId="29" xfId="4" applyNumberFormat="1" applyFont="1" applyFill="1" applyBorder="1" applyAlignment="1">
      <alignment horizontal="center"/>
    </xf>
    <xf numFmtId="168" fontId="5" fillId="0" borderId="29" xfId="4" quotePrefix="1" applyNumberFormat="1" applyFont="1" applyFill="1" applyBorder="1" applyAlignment="1">
      <alignment horizontal="center"/>
    </xf>
    <xf numFmtId="168" fontId="5" fillId="0" borderId="60" xfId="4" applyNumberFormat="1" applyFont="1" applyFill="1" applyBorder="1" applyAlignment="1">
      <alignment horizontal="center"/>
    </xf>
    <xf numFmtId="0" fontId="12" fillId="8" borderId="48" xfId="0" applyFont="1" applyFill="1" applyBorder="1"/>
    <xf numFmtId="43" fontId="0" fillId="6" borderId="23" xfId="0" applyNumberFormat="1" applyFill="1" applyBorder="1"/>
    <xf numFmtId="0" fontId="0" fillId="8" borderId="49" xfId="0" applyFill="1" applyBorder="1"/>
    <xf numFmtId="0" fontId="0" fillId="8" borderId="37" xfId="0" applyFill="1" applyBorder="1"/>
    <xf numFmtId="0" fontId="0" fillId="8" borderId="24" xfId="0" applyFill="1" applyBorder="1"/>
    <xf numFmtId="164" fontId="5" fillId="0" borderId="12" xfId="10" applyFont="1" applyFill="1" applyBorder="1" applyAlignment="1">
      <alignment horizontal="right" vertical="top" wrapText="1"/>
    </xf>
    <xf numFmtId="164" fontId="5" fillId="0" borderId="13" xfId="10" applyFont="1" applyFill="1" applyBorder="1" applyAlignment="1">
      <alignment horizontal="right" vertical="top" wrapText="1"/>
    </xf>
    <xf numFmtId="169" fontId="5" fillId="0" borderId="12" xfId="10" applyNumberFormat="1" applyFont="1" applyFill="1" applyBorder="1" applyAlignment="1">
      <alignment horizontal="right" vertical="top" wrapText="1"/>
    </xf>
    <xf numFmtId="169" fontId="10" fillId="0" borderId="12" xfId="10" applyNumberFormat="1" applyFont="1" applyFill="1" applyBorder="1" applyAlignment="1">
      <alignment horizontal="right" vertical="top" wrapText="1"/>
    </xf>
    <xf numFmtId="10" fontId="5" fillId="0" borderId="12" xfId="2" applyNumberFormat="1" applyFont="1" applyFill="1" applyBorder="1" applyAlignment="1">
      <alignment horizontal="right" vertical="top" wrapText="1"/>
    </xf>
    <xf numFmtId="0" fontId="10" fillId="0" borderId="9" xfId="3" applyFont="1" applyBorder="1" applyAlignment="1">
      <alignment horizontal="right" wrapText="1"/>
    </xf>
    <xf numFmtId="0" fontId="0" fillId="0" borderId="0" xfId="0" applyAlignment="1">
      <alignment horizontal="right" wrapText="1"/>
    </xf>
    <xf numFmtId="0" fontId="0" fillId="6" borderId="0" xfId="0" applyFill="1"/>
    <xf numFmtId="0" fontId="12" fillId="9" borderId="7" xfId="0" applyFont="1" applyFill="1" applyBorder="1"/>
    <xf numFmtId="15" fontId="12" fillId="9" borderId="9" xfId="0" applyNumberFormat="1" applyFont="1" applyFill="1" applyBorder="1" applyAlignment="1">
      <alignment horizontal="left"/>
    </xf>
    <xf numFmtId="0" fontId="12" fillId="9" borderId="9" xfId="0" applyFont="1" applyFill="1" applyBorder="1"/>
    <xf numFmtId="0" fontId="12" fillId="9" borderId="8" xfId="0" applyFont="1" applyFill="1" applyBorder="1"/>
    <xf numFmtId="9" fontId="12" fillId="9" borderId="7" xfId="2" applyFont="1" applyFill="1" applyBorder="1"/>
    <xf numFmtId="9" fontId="12" fillId="9" borderId="9" xfId="2" applyFont="1" applyFill="1" applyBorder="1" applyAlignment="1">
      <alignment horizontal="left"/>
    </xf>
    <xf numFmtId="9" fontId="12" fillId="9" borderId="9" xfId="2" applyFont="1" applyFill="1" applyBorder="1"/>
    <xf numFmtId="9" fontId="12" fillId="9" borderId="8" xfId="2" applyFont="1" applyFill="1" applyBorder="1"/>
    <xf numFmtId="164" fontId="5" fillId="0" borderId="51" xfId="4" applyFont="1" applyFill="1" applyBorder="1"/>
    <xf numFmtId="164" fontId="10" fillId="0" borderId="51" xfId="4" applyFont="1" applyFill="1" applyBorder="1"/>
    <xf numFmtId="164" fontId="10" fillId="0" borderId="23" xfId="1" applyNumberFormat="1" applyFont="1" applyFill="1" applyBorder="1" applyAlignment="1">
      <alignment horizontal="right"/>
    </xf>
    <xf numFmtId="164" fontId="10" fillId="0" borderId="24" xfId="1" applyNumberFormat="1" applyFont="1" applyFill="1" applyBorder="1" applyAlignment="1">
      <alignment horizontal="right"/>
    </xf>
    <xf numFmtId="0" fontId="24" fillId="8" borderId="0" xfId="0" applyFont="1" applyFill="1"/>
    <xf numFmtId="15" fontId="0" fillId="8" borderId="29" xfId="0" applyNumberFormat="1" applyFill="1" applyBorder="1"/>
    <xf numFmtId="0" fontId="0" fillId="8" borderId="80" xfId="0" applyFill="1" applyBorder="1"/>
    <xf numFmtId="0" fontId="0" fillId="8" borderId="42" xfId="0" applyFill="1" applyBorder="1"/>
    <xf numFmtId="0" fontId="12" fillId="8" borderId="36" xfId="0" applyFont="1" applyFill="1" applyBorder="1"/>
    <xf numFmtId="43" fontId="10" fillId="0" borderId="2" xfId="1" applyFont="1" applyFill="1" applyBorder="1" applyAlignment="1">
      <alignment horizontal="right"/>
    </xf>
    <xf numFmtId="43" fontId="10" fillId="0" borderId="28" xfId="1" applyFont="1" applyFill="1" applyBorder="1" applyAlignment="1">
      <alignment horizontal="right"/>
    </xf>
    <xf numFmtId="43" fontId="5" fillId="0" borderId="64" xfId="1" applyFont="1" applyFill="1" applyBorder="1" applyAlignment="1">
      <alignment horizontal="right"/>
    </xf>
    <xf numFmtId="43" fontId="5" fillId="0" borderId="28" xfId="1" applyFont="1" applyFill="1" applyBorder="1" applyAlignment="1">
      <alignment horizontal="right"/>
    </xf>
    <xf numFmtId="164" fontId="10" fillId="0" borderId="28" xfId="1" applyNumberFormat="1" applyFont="1" applyFill="1" applyBorder="1" applyAlignment="1">
      <alignment horizontal="right"/>
    </xf>
    <xf numFmtId="43" fontId="5" fillId="0" borderId="83" xfId="1" applyFont="1" applyFill="1" applyBorder="1" applyAlignment="1">
      <alignment horizontal="right"/>
    </xf>
    <xf numFmtId="0" fontId="18" fillId="8" borderId="42" xfId="0" applyFont="1" applyFill="1" applyBorder="1"/>
    <xf numFmtId="0" fontId="18" fillId="8" borderId="42" xfId="0" applyFont="1" applyFill="1" applyBorder="1" applyAlignment="1">
      <alignment horizontal="center"/>
    </xf>
    <xf numFmtId="0" fontId="32" fillId="0" borderId="0" xfId="3" applyFont="1" applyAlignment="1">
      <alignment horizontal="center"/>
    </xf>
    <xf numFmtId="0" fontId="4" fillId="0" borderId="0" xfId="3" quotePrefix="1" applyFont="1" applyAlignment="1">
      <alignment horizontal="center"/>
    </xf>
    <xf numFmtId="0" fontId="6" fillId="0" borderId="0" xfId="3" applyFont="1" applyAlignment="1">
      <alignment horizontal="center"/>
    </xf>
    <xf numFmtId="15" fontId="4" fillId="0" borderId="9" xfId="3" quotePrefix="1" applyNumberFormat="1" applyFont="1" applyBorder="1" applyAlignment="1">
      <alignment horizontal="center"/>
    </xf>
    <xf numFmtId="15" fontId="4" fillId="0" borderId="10" xfId="3" quotePrefix="1" applyNumberFormat="1" applyFont="1" applyBorder="1" applyAlignment="1">
      <alignment horizontal="center"/>
    </xf>
    <xf numFmtId="43" fontId="3" fillId="0" borderId="0" xfId="1" applyFont="1" applyFill="1" applyBorder="1" applyAlignment="1">
      <alignment horizontal="right"/>
    </xf>
    <xf numFmtId="15" fontId="4" fillId="0" borderId="0" xfId="3" applyNumberFormat="1" applyFont="1" applyAlignment="1">
      <alignment horizontal="left"/>
    </xf>
    <xf numFmtId="14" fontId="4" fillId="0" borderId="0" xfId="3" quotePrefix="1" applyNumberFormat="1" applyFont="1" applyAlignment="1">
      <alignment horizontal="left"/>
    </xf>
    <xf numFmtId="15" fontId="4" fillId="0" borderId="8" xfId="3" quotePrefix="1" applyNumberFormat="1" applyFont="1" applyBorder="1" applyAlignment="1">
      <alignment horizontal="center"/>
    </xf>
    <xf numFmtId="15" fontId="4" fillId="0" borderId="26" xfId="3" quotePrefix="1" applyNumberFormat="1" applyFont="1" applyBorder="1" applyAlignment="1">
      <alignment horizontal="center"/>
    </xf>
    <xf numFmtId="0" fontId="10" fillId="0" borderId="0" xfId="0" applyFont="1"/>
    <xf numFmtId="164" fontId="33" fillId="0" borderId="0" xfId="4" applyFont="1" applyFill="1" applyBorder="1" applyAlignment="1">
      <alignment horizontal="center" vertical="top"/>
    </xf>
    <xf numFmtId="0" fontId="5" fillId="0" borderId="0" xfId="0" applyFont="1"/>
    <xf numFmtId="15" fontId="4" fillId="0" borderId="26" xfId="3" applyNumberFormat="1" applyFont="1" applyBorder="1" applyAlignment="1">
      <alignment horizontal="center"/>
    </xf>
    <xf numFmtId="15" fontId="4" fillId="0" borderId="10" xfId="3" applyNumberFormat="1" applyFont="1" applyBorder="1" applyAlignment="1">
      <alignment horizontal="center"/>
    </xf>
    <xf numFmtId="164" fontId="5" fillId="0" borderId="0" xfId="4" applyFont="1" applyFill="1" applyBorder="1" applyAlignment="1">
      <alignment horizontal="left"/>
    </xf>
    <xf numFmtId="164" fontId="10" fillId="0" borderId="0" xfId="4" applyFont="1" applyFill="1" applyBorder="1" applyAlignment="1">
      <alignment horizontal="centerContinuous" vertical="top" wrapText="1"/>
    </xf>
    <xf numFmtId="164" fontId="10" fillId="0" borderId="0" xfId="4" applyFont="1" applyFill="1" applyBorder="1" applyAlignment="1">
      <alignment horizontal="center" vertical="top" wrapText="1"/>
    </xf>
    <xf numFmtId="164" fontId="10" fillId="0" borderId="0" xfId="4" applyFont="1" applyFill="1" applyBorder="1" applyAlignment="1">
      <alignment vertical="top" wrapText="1"/>
    </xf>
    <xf numFmtId="164" fontId="5" fillId="0" borderId="0" xfId="4" applyFont="1" applyFill="1" applyBorder="1" applyAlignment="1">
      <alignment horizontal="centerContinuous" vertical="top" wrapText="1"/>
    </xf>
    <xf numFmtId="164" fontId="5" fillId="0" borderId="0" xfId="4" applyFont="1" applyFill="1" applyBorder="1" applyAlignment="1">
      <alignment horizontal="left" vertical="top" wrapText="1"/>
    </xf>
    <xf numFmtId="164" fontId="10" fillId="0" borderId="0" xfId="4" applyFont="1" applyFill="1" applyBorder="1" applyAlignment="1">
      <alignment horizontal="center" vertical="top"/>
    </xf>
    <xf numFmtId="164" fontId="5" fillId="0" borderId="33" xfId="4" applyFont="1" applyFill="1" applyBorder="1" applyAlignment="1">
      <alignment horizontal="left" vertical="top"/>
    </xf>
    <xf numFmtId="164" fontId="5" fillId="0" borderId="34" xfId="4" applyFont="1" applyFill="1" applyBorder="1" applyAlignment="1">
      <alignment horizontal="left" vertical="top"/>
    </xf>
    <xf numFmtId="0" fontId="10" fillId="0" borderId="63" xfId="0" applyFont="1" applyBorder="1"/>
    <xf numFmtId="164" fontId="5" fillId="0" borderId="76" xfId="4" applyFont="1" applyFill="1" applyBorder="1"/>
    <xf numFmtId="0" fontId="10" fillId="0" borderId="77" xfId="0" applyFont="1" applyBorder="1"/>
    <xf numFmtId="164" fontId="5" fillId="0" borderId="64" xfId="4" applyFont="1" applyFill="1" applyBorder="1"/>
    <xf numFmtId="0" fontId="10" fillId="0" borderId="78" xfId="0" applyFont="1" applyBorder="1"/>
    <xf numFmtId="164" fontId="5" fillId="0" borderId="16" xfId="4" applyFont="1" applyFill="1" applyBorder="1" applyAlignment="1">
      <alignment horizontal="center"/>
    </xf>
    <xf numFmtId="164" fontId="5" fillId="0" borderId="6" xfId="4" applyFont="1" applyFill="1" applyBorder="1" applyAlignment="1">
      <alignment horizontal="center" vertical="top"/>
    </xf>
    <xf numFmtId="0" fontId="10" fillId="0" borderId="1" xfId="0" applyFont="1" applyBorder="1"/>
    <xf numFmtId="164" fontId="5" fillId="0" borderId="62" xfId="4" applyFont="1" applyFill="1" applyBorder="1" applyAlignment="1">
      <alignment horizontal="center" vertical="top"/>
    </xf>
    <xf numFmtId="164" fontId="5" fillId="0" borderId="41" xfId="4" applyFont="1" applyFill="1" applyBorder="1" applyAlignment="1">
      <alignment horizontal="center" vertical="top"/>
    </xf>
    <xf numFmtId="164" fontId="5" fillId="0" borderId="0" xfId="4" applyFont="1" applyFill="1" applyBorder="1" applyAlignment="1">
      <alignment horizontal="center" vertical="top"/>
    </xf>
    <xf numFmtId="164" fontId="5" fillId="0" borderId="33" xfId="4" applyFont="1" applyFill="1" applyBorder="1" applyAlignment="1">
      <alignment horizontal="center" vertical="center" wrapText="1"/>
    </xf>
    <xf numFmtId="164" fontId="5" fillId="0" borderId="34" xfId="4" applyFont="1" applyFill="1" applyBorder="1" applyAlignment="1">
      <alignment horizontal="center" vertical="center" wrapText="1"/>
    </xf>
    <xf numFmtId="164" fontId="5" fillId="0" borderId="42" xfId="4" applyFont="1" applyFill="1" applyBorder="1" applyAlignment="1">
      <alignment horizontal="center" vertical="center" wrapText="1"/>
    </xf>
    <xf numFmtId="164" fontId="5" fillId="0" borderId="2" xfId="4" applyFont="1" applyFill="1" applyBorder="1" applyAlignment="1">
      <alignment vertical="top" wrapText="1"/>
    </xf>
    <xf numFmtId="164" fontId="5" fillId="0" borderId="31" xfId="4" applyFont="1" applyFill="1" applyBorder="1" applyAlignment="1">
      <alignment vertical="top" wrapText="1"/>
    </xf>
    <xf numFmtId="164" fontId="10" fillId="0" borderId="25" xfId="4" applyFont="1" applyFill="1" applyBorder="1" applyAlignment="1">
      <alignment vertical="top" wrapText="1"/>
    </xf>
    <xf numFmtId="164" fontId="5" fillId="0" borderId="28" xfId="4" applyFont="1" applyFill="1" applyBorder="1" applyAlignment="1">
      <alignment horizontal="center" vertical="top" wrapText="1"/>
    </xf>
    <xf numFmtId="164" fontId="10" fillId="0" borderId="27" xfId="4" applyFont="1" applyFill="1" applyBorder="1" applyAlignment="1">
      <alignment vertical="top" wrapText="1"/>
    </xf>
    <xf numFmtId="15" fontId="34" fillId="0" borderId="28" xfId="3" applyNumberFormat="1" applyFont="1" applyBorder="1" applyAlignment="1">
      <alignment horizontal="left"/>
    </xf>
    <xf numFmtId="164" fontId="10" fillId="0" borderId="28" xfId="4" quotePrefix="1" applyFont="1" applyFill="1" applyBorder="1" applyAlignment="1">
      <alignment horizontal="left" vertical="top" wrapText="1" indent="1"/>
    </xf>
    <xf numFmtId="164" fontId="10" fillId="0" borderId="53" xfId="4" quotePrefix="1" applyFont="1" applyFill="1" applyBorder="1" applyAlignment="1">
      <alignment horizontal="left" vertical="top" wrapText="1" indent="1"/>
    </xf>
    <xf numFmtId="164" fontId="10" fillId="0" borderId="28" xfId="4" applyFont="1" applyFill="1" applyBorder="1" applyAlignment="1">
      <alignment vertical="top" wrapText="1"/>
    </xf>
    <xf numFmtId="164" fontId="10" fillId="0" borderId="0" xfId="4" quotePrefix="1" applyFont="1" applyFill="1" applyBorder="1" applyAlignment="1">
      <alignment horizontal="left" vertical="top" wrapText="1" indent="1"/>
    </xf>
    <xf numFmtId="164" fontId="17" fillId="0" borderId="28" xfId="4" applyFont="1" applyFill="1" applyBorder="1" applyAlignment="1">
      <alignment vertical="top" wrapText="1"/>
    </xf>
    <xf numFmtId="164" fontId="5" fillId="0" borderId="0" xfId="4" applyFont="1" applyFill="1" applyBorder="1" applyAlignment="1">
      <alignment vertical="top" wrapText="1"/>
    </xf>
    <xf numFmtId="164" fontId="10" fillId="0" borderId="28" xfId="4" applyFont="1" applyFill="1" applyBorder="1" applyAlignment="1">
      <alignment horizontal="center" vertical="top"/>
    </xf>
    <xf numFmtId="164" fontId="10" fillId="0" borderId="28" xfId="4" applyFont="1" applyFill="1" applyBorder="1" applyAlignment="1">
      <alignment horizontal="center" vertical="center"/>
    </xf>
    <xf numFmtId="164" fontId="10" fillId="0" borderId="6" xfId="4" quotePrefix="1" applyFont="1" applyFill="1" applyBorder="1" applyAlignment="1">
      <alignment horizontal="left" vertical="top" wrapText="1" indent="1"/>
    </xf>
    <xf numFmtId="164" fontId="10" fillId="0" borderId="1" xfId="4" quotePrefix="1" applyFont="1" applyFill="1" applyBorder="1" applyAlignment="1">
      <alignment horizontal="left" vertical="top" wrapText="1" indent="1"/>
    </xf>
    <xf numFmtId="164" fontId="10" fillId="0" borderId="26" xfId="4" applyFont="1" applyFill="1" applyBorder="1" applyAlignment="1">
      <alignment horizontal="center" vertical="top"/>
    </xf>
    <xf numFmtId="164" fontId="10" fillId="0" borderId="6" xfId="4" applyFont="1" applyFill="1" applyBorder="1" applyAlignment="1">
      <alignment vertical="top" wrapText="1"/>
    </xf>
    <xf numFmtId="164" fontId="10" fillId="0" borderId="26" xfId="4" applyFont="1" applyFill="1" applyBorder="1" applyAlignment="1">
      <alignment vertical="top"/>
    </xf>
    <xf numFmtId="0" fontId="10" fillId="0" borderId="34" xfId="0" applyFont="1" applyBorder="1"/>
    <xf numFmtId="0" fontId="10" fillId="0" borderId="28" xfId="0" applyFont="1" applyBorder="1"/>
    <xf numFmtId="0" fontId="10" fillId="0" borderId="6" xfId="0" applyFont="1" applyBorder="1"/>
    <xf numFmtId="0" fontId="5" fillId="0" borderId="0" xfId="3" applyFont="1" applyAlignment="1">
      <alignment wrapText="1"/>
    </xf>
    <xf numFmtId="167" fontId="10" fillId="0" borderId="34" xfId="0" applyNumberFormat="1" applyFont="1" applyBorder="1"/>
    <xf numFmtId="167" fontId="10" fillId="0" borderId="63" xfId="0" applyNumberFormat="1" applyFont="1" applyBorder="1"/>
    <xf numFmtId="167" fontId="5" fillId="0" borderId="42" xfId="0" applyNumberFormat="1" applyFont="1" applyBorder="1" applyAlignment="1">
      <alignment horizontal="center"/>
    </xf>
    <xf numFmtId="0" fontId="10" fillId="0" borderId="0" xfId="0" applyFont="1" applyAlignment="1">
      <alignment wrapText="1"/>
    </xf>
    <xf numFmtId="164" fontId="10" fillId="0" borderId="0" xfId="0" applyNumberFormat="1" applyFont="1"/>
    <xf numFmtId="0" fontId="5" fillId="0" borderId="0" xfId="2" applyNumberFormat="1" applyFont="1" applyFill="1" applyBorder="1" applyAlignment="1">
      <alignment horizontal="right"/>
    </xf>
    <xf numFmtId="0" fontId="10" fillId="0" borderId="28" xfId="0" applyFont="1" applyBorder="1" applyAlignment="1">
      <alignment horizontal="right"/>
    </xf>
    <xf numFmtId="0" fontId="10" fillId="0" borderId="28" xfId="0" applyFont="1" applyBorder="1" applyAlignment="1">
      <alignment horizontal="right" vertical="top"/>
    </xf>
    <xf numFmtId="0" fontId="10" fillId="0" borderId="33" xfId="0" applyFont="1" applyBorder="1"/>
    <xf numFmtId="0" fontId="10" fillId="0" borderId="76" xfId="0" applyFont="1" applyBorder="1" applyAlignment="1">
      <alignment horizontal="right" vertical="top"/>
    </xf>
    <xf numFmtId="0" fontId="10" fillId="0" borderId="6" xfId="0" applyFont="1" applyBorder="1" applyAlignment="1">
      <alignment horizontal="right"/>
    </xf>
    <xf numFmtId="0" fontId="10" fillId="0" borderId="76" xfId="0" applyFont="1" applyBorder="1"/>
    <xf numFmtId="0" fontId="10" fillId="0" borderId="76" xfId="0" applyFont="1" applyBorder="1" applyAlignment="1">
      <alignment horizontal="right"/>
    </xf>
    <xf numFmtId="0" fontId="10" fillId="0" borderId="50" xfId="0" applyFont="1" applyBorder="1"/>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37" xfId="0" applyFont="1" applyBorder="1" applyAlignment="1">
      <alignment horizontal="center" vertical="center" wrapText="1"/>
    </xf>
    <xf numFmtId="43" fontId="10" fillId="0" borderId="16" xfId="1" applyFont="1" applyFill="1" applyBorder="1"/>
    <xf numFmtId="43" fontId="10" fillId="0" borderId="17" xfId="1" applyFont="1" applyFill="1" applyBorder="1"/>
    <xf numFmtId="43" fontId="10" fillId="0" borderId="37" xfId="1" applyFont="1" applyFill="1" applyBorder="1"/>
    <xf numFmtId="43" fontId="10" fillId="0" borderId="22" xfId="1" applyFont="1" applyFill="1" applyBorder="1"/>
    <xf numFmtId="43" fontId="10" fillId="0" borderId="23" xfId="1" applyFont="1" applyFill="1" applyBorder="1"/>
    <xf numFmtId="43" fontId="10" fillId="0" borderId="24" xfId="1" applyFont="1" applyFill="1" applyBorder="1"/>
    <xf numFmtId="0" fontId="5" fillId="0" borderId="0" xfId="0" applyFont="1" applyAlignment="1">
      <alignment horizontal="center"/>
    </xf>
    <xf numFmtId="43" fontId="10" fillId="0" borderId="0" xfId="1" applyFont="1" applyBorder="1"/>
    <xf numFmtId="0" fontId="10" fillId="0" borderId="16" xfId="0" applyFont="1" applyBorder="1" applyAlignment="1">
      <alignment horizontal="right" vertical="top"/>
    </xf>
    <xf numFmtId="0" fontId="10" fillId="0" borderId="14" xfId="0" applyFont="1" applyBorder="1"/>
    <xf numFmtId="0" fontId="10" fillId="0" borderId="15" xfId="0" applyFont="1" applyBorder="1" applyAlignment="1">
      <alignment wrapText="1"/>
    </xf>
    <xf numFmtId="0" fontId="10" fillId="0" borderId="22" xfId="0" applyFont="1" applyBorder="1"/>
    <xf numFmtId="0" fontId="10" fillId="0" borderId="23" xfId="0" applyFont="1" applyBorder="1" applyAlignment="1">
      <alignment wrapText="1"/>
    </xf>
    <xf numFmtId="0" fontId="0" fillId="8" borderId="82" xfId="0" applyFill="1" applyBorder="1"/>
    <xf numFmtId="0" fontId="12" fillId="0" borderId="69" xfId="0" applyFont="1" applyBorder="1" applyAlignment="1">
      <alignment horizontal="center"/>
    </xf>
    <xf numFmtId="0" fontId="12" fillId="0" borderId="78" xfId="0" applyFont="1" applyBorder="1" applyAlignment="1">
      <alignment horizontal="center"/>
    </xf>
    <xf numFmtId="0" fontId="12" fillId="0" borderId="77" xfId="0" applyFont="1" applyBorder="1" applyAlignment="1">
      <alignment horizontal="center"/>
    </xf>
    <xf numFmtId="0" fontId="12" fillId="0" borderId="55" xfId="0" applyFont="1" applyBorder="1" applyAlignment="1">
      <alignment horizontal="center"/>
    </xf>
    <xf numFmtId="0" fontId="23" fillId="6" borderId="82" xfId="0" applyFont="1" applyFill="1" applyBorder="1" applyAlignment="1">
      <alignment horizontal="left"/>
    </xf>
    <xf numFmtId="0" fontId="0" fillId="6" borderId="60" xfId="0" applyFill="1" applyBorder="1" applyAlignment="1">
      <alignment horizontal="left"/>
    </xf>
    <xf numFmtId="0" fontId="0" fillId="6" borderId="42" xfId="0" applyFill="1" applyBorder="1" applyAlignment="1">
      <alignment horizontal="left"/>
    </xf>
    <xf numFmtId="0" fontId="37" fillId="0" borderId="0" xfId="0" applyFont="1" applyAlignment="1">
      <alignment horizontal="center"/>
    </xf>
    <xf numFmtId="0" fontId="0" fillId="0" borderId="1" xfId="0" applyBorder="1" applyAlignment="1">
      <alignment horizontal="right"/>
    </xf>
    <xf numFmtId="0" fontId="0" fillId="0" borderId="10" xfId="0" applyBorder="1" applyAlignment="1">
      <alignment horizontal="right"/>
    </xf>
    <xf numFmtId="43" fontId="0" fillId="0" borderId="0" xfId="0" applyNumberFormat="1"/>
    <xf numFmtId="0" fontId="12" fillId="0" borderId="0" xfId="0" applyFont="1" applyAlignment="1">
      <alignment vertical="center" wrapText="1"/>
    </xf>
    <xf numFmtId="2" fontId="12" fillId="0" borderId="21" xfId="0" applyNumberFormat="1" applyFont="1" applyBorder="1" applyAlignment="1">
      <alignment vertical="center" wrapText="1"/>
    </xf>
    <xf numFmtId="2" fontId="12" fillId="0" borderId="12" xfId="0" applyNumberFormat="1" applyFont="1" applyBorder="1" applyAlignment="1">
      <alignment vertical="center" wrapText="1"/>
    </xf>
    <xf numFmtId="14" fontId="12" fillId="0" borderId="12" xfId="0" applyNumberFormat="1" applyFont="1" applyBorder="1" applyAlignment="1">
      <alignment vertical="center" wrapText="1"/>
    </xf>
    <xf numFmtId="164" fontId="12" fillId="0" borderId="21" xfId="14" applyFont="1" applyFill="1" applyBorder="1" applyAlignment="1">
      <alignment vertical="center" wrapText="1"/>
    </xf>
    <xf numFmtId="14" fontId="0" fillId="0" borderId="12" xfId="0" applyNumberFormat="1" applyBorder="1" applyAlignment="1">
      <alignment vertical="center" wrapText="1"/>
    </xf>
    <xf numFmtId="43" fontId="12" fillId="0" borderId="21" xfId="5" applyFont="1" applyFill="1" applyBorder="1" applyAlignment="1">
      <alignment vertical="center" wrapText="1"/>
    </xf>
    <xf numFmtId="164" fontId="12" fillId="0" borderId="12" xfId="14" applyFont="1" applyFill="1" applyBorder="1" applyAlignment="1">
      <alignment vertical="center" wrapText="1"/>
    </xf>
    <xf numFmtId="0" fontId="4" fillId="0" borderId="58" xfId="3" applyFont="1" applyBorder="1"/>
    <xf numFmtId="0" fontId="3" fillId="0" borderId="58" xfId="3" applyFont="1" applyBorder="1"/>
    <xf numFmtId="0" fontId="3" fillId="0" borderId="58" xfId="3" applyFont="1" applyBorder="1" applyAlignment="1">
      <alignment wrapText="1"/>
    </xf>
    <xf numFmtId="0" fontId="4" fillId="0" borderId="58" xfId="3" applyFont="1" applyBorder="1" applyAlignment="1">
      <alignment wrapText="1"/>
    </xf>
    <xf numFmtId="0" fontId="3" fillId="0" borderId="58" xfId="3" quotePrefix="1" applyFont="1" applyBorder="1" applyAlignment="1">
      <alignment horizontal="left" wrapText="1"/>
    </xf>
    <xf numFmtId="0" fontId="3" fillId="0" borderId="58" xfId="3" quotePrefix="1" applyFont="1" applyBorder="1" applyAlignment="1">
      <alignment wrapText="1"/>
    </xf>
    <xf numFmtId="0" fontId="4" fillId="0" borderId="28" xfId="3" applyFont="1" applyBorder="1" applyAlignment="1">
      <alignment horizontal="right"/>
    </xf>
    <xf numFmtId="0" fontId="3" fillId="0" borderId="28" xfId="3" applyFont="1" applyBorder="1" applyAlignment="1">
      <alignment horizontal="right"/>
    </xf>
    <xf numFmtId="166" fontId="4" fillId="0" borderId="28" xfId="3" applyNumberFormat="1" applyFont="1" applyBorder="1" applyAlignment="1">
      <alignment horizontal="right"/>
    </xf>
    <xf numFmtId="0" fontId="3" fillId="0" borderId="38" xfId="3" applyFont="1" applyBorder="1" applyAlignment="1">
      <alignment horizontal="right"/>
    </xf>
    <xf numFmtId="0" fontId="3" fillId="0" borderId="84" xfId="3" applyFont="1" applyBorder="1" applyAlignment="1">
      <alignment horizontal="center"/>
    </xf>
    <xf numFmtId="0" fontId="3" fillId="0" borderId="64" xfId="3" applyFont="1" applyBorder="1" applyAlignment="1">
      <alignment horizontal="right"/>
    </xf>
    <xf numFmtId="0" fontId="4" fillId="0" borderId="84" xfId="3" applyFont="1" applyBorder="1" applyAlignment="1">
      <alignment horizontal="center"/>
    </xf>
    <xf numFmtId="0" fontId="3" fillId="0" borderId="6" xfId="3" applyFont="1" applyBorder="1"/>
    <xf numFmtId="0" fontId="3" fillId="0" borderId="56" xfId="3" applyFont="1" applyBorder="1" applyAlignment="1">
      <alignment horizontal="center"/>
    </xf>
    <xf numFmtId="0" fontId="4" fillId="0" borderId="2" xfId="3" applyFont="1" applyBorder="1" applyAlignment="1">
      <alignment horizontal="right"/>
    </xf>
    <xf numFmtId="0" fontId="4" fillId="0" borderId="3" xfId="3" applyFont="1" applyBorder="1"/>
    <xf numFmtId="0" fontId="3" fillId="0" borderId="4" xfId="3" applyFont="1" applyBorder="1" applyAlignment="1">
      <alignment horizontal="center"/>
    </xf>
    <xf numFmtId="0" fontId="3" fillId="0" borderId="4" xfId="3" applyFont="1" applyBorder="1"/>
    <xf numFmtId="0" fontId="3" fillId="0" borderId="5" xfId="3" applyFont="1" applyBorder="1"/>
    <xf numFmtId="0" fontId="4" fillId="0" borderId="56" xfId="3" applyFont="1" applyBorder="1" applyAlignment="1">
      <alignment horizontal="center"/>
    </xf>
    <xf numFmtId="10" fontId="5" fillId="0" borderId="37" xfId="2" applyNumberFormat="1" applyFont="1" applyFill="1" applyBorder="1" applyAlignment="1">
      <alignment horizontal="center"/>
    </xf>
    <xf numFmtId="0" fontId="30" fillId="8" borderId="16" xfId="12" applyFont="1" applyFill="1" applyBorder="1"/>
    <xf numFmtId="0" fontId="0" fillId="0" borderId="37" xfId="0" applyBorder="1"/>
    <xf numFmtId="14" fontId="0" fillId="6" borderId="0" xfId="0" applyNumberFormat="1" applyFill="1"/>
    <xf numFmtId="164" fontId="10" fillId="0" borderId="7" xfId="4" applyFont="1" applyFill="1" applyBorder="1"/>
    <xf numFmtId="0" fontId="12" fillId="8" borderId="69" xfId="0" applyFont="1" applyFill="1" applyBorder="1" applyAlignment="1">
      <alignment wrapText="1"/>
    </xf>
    <xf numFmtId="0" fontId="12" fillId="8" borderId="52" xfId="0" applyFont="1" applyFill="1" applyBorder="1" applyAlignment="1">
      <alignment wrapText="1"/>
    </xf>
    <xf numFmtId="0" fontId="30" fillId="8" borderId="22" xfId="12" applyFont="1" applyFill="1" applyBorder="1"/>
    <xf numFmtId="0" fontId="0" fillId="6" borderId="0" xfId="0" applyFill="1" applyAlignment="1">
      <alignment horizontal="center"/>
    </xf>
    <xf numFmtId="0" fontId="0" fillId="8" borderId="0" xfId="0" applyFill="1" applyAlignment="1">
      <alignment horizontal="center"/>
    </xf>
    <xf numFmtId="0" fontId="0" fillId="11" borderId="0" xfId="0" applyFill="1" applyAlignment="1">
      <alignment horizontal="center"/>
    </xf>
    <xf numFmtId="0" fontId="39" fillId="12" borderId="0" xfId="0" applyFont="1" applyFill="1" applyAlignment="1">
      <alignment horizontal="center"/>
    </xf>
    <xf numFmtId="0" fontId="12" fillId="13" borderId="2" xfId="0" applyFont="1" applyFill="1" applyBorder="1"/>
    <xf numFmtId="0" fontId="12" fillId="13" borderId="31" xfId="0" applyFont="1" applyFill="1" applyBorder="1"/>
    <xf numFmtId="0" fontId="12" fillId="13" borderId="32" xfId="0" applyFont="1" applyFill="1" applyBorder="1"/>
    <xf numFmtId="0" fontId="37" fillId="4" borderId="0" xfId="0" applyFont="1" applyFill="1"/>
    <xf numFmtId="2" fontId="0" fillId="6" borderId="17" xfId="0" applyNumberFormat="1" applyFill="1" applyBorder="1"/>
    <xf numFmtId="14" fontId="0" fillId="6" borderId="17" xfId="0" applyNumberFormat="1" applyFill="1" applyBorder="1"/>
    <xf numFmtId="2" fontId="0" fillId="8" borderId="17" xfId="0" applyNumberFormat="1" applyFill="1" applyBorder="1"/>
    <xf numFmtId="164" fontId="0" fillId="8" borderId="17" xfId="14" applyFont="1" applyFill="1" applyBorder="1"/>
    <xf numFmtId="164" fontId="0" fillId="6" borderId="17" xfId="14" applyFont="1" applyFill="1" applyBorder="1"/>
    <xf numFmtId="43" fontId="0" fillId="8" borderId="17" xfId="5" applyFont="1" applyFill="1" applyBorder="1"/>
    <xf numFmtId="0" fontId="0" fillId="8" borderId="17" xfId="0" applyFill="1" applyBorder="1"/>
    <xf numFmtId="166" fontId="40" fillId="0" borderId="0" xfId="0" applyNumberFormat="1" applyFont="1" applyAlignment="1">
      <alignment horizontal="center" vertical="top" wrapText="1"/>
    </xf>
    <xf numFmtId="0" fontId="40" fillId="0" borderId="0" xfId="0" applyFont="1" applyAlignment="1">
      <alignment vertical="top" wrapText="1"/>
    </xf>
    <xf numFmtId="0" fontId="4" fillId="0" borderId="0" xfId="3" applyFont="1" applyAlignment="1">
      <alignment horizontal="right" vertical="center" wrapText="1"/>
    </xf>
    <xf numFmtId="169" fontId="4" fillId="0" borderId="4" xfId="7" applyNumberFormat="1" applyFont="1" applyFill="1" applyBorder="1" applyAlignment="1">
      <alignment horizontal="center" vertical="top" wrapText="1"/>
    </xf>
    <xf numFmtId="169" fontId="4" fillId="0" borderId="13" xfId="7" applyNumberFormat="1" applyFont="1" applyFill="1" applyBorder="1" applyAlignment="1">
      <alignment horizontal="center" vertical="top" wrapText="1"/>
    </xf>
    <xf numFmtId="0" fontId="0" fillId="0" borderId="98" xfId="0" applyBorder="1"/>
    <xf numFmtId="0" fontId="0" fillId="8" borderId="78" xfId="0" applyFill="1" applyBorder="1" applyAlignment="1">
      <alignment wrapText="1"/>
    </xf>
    <xf numFmtId="170" fontId="23" fillId="6" borderId="29" xfId="0" applyNumberFormat="1" applyFont="1" applyFill="1" applyBorder="1" applyAlignment="1">
      <alignment horizontal="left"/>
    </xf>
    <xf numFmtId="0" fontId="41" fillId="0" borderId="0" xfId="0" applyFont="1"/>
    <xf numFmtId="0" fontId="12" fillId="0" borderId="0" xfId="0" pivotButton="1" applyFont="1"/>
    <xf numFmtId="0" fontId="12" fillId="15" borderId="0" xfId="0" applyFont="1" applyFill="1"/>
    <xf numFmtId="0" fontId="0" fillId="15" borderId="0" xfId="0" applyFill="1"/>
    <xf numFmtId="49" fontId="0" fillId="15" borderId="0" xfId="0" applyNumberFormat="1" applyFill="1"/>
    <xf numFmtId="0" fontId="0" fillId="15" borderId="103" xfId="0" applyFill="1" applyBorder="1"/>
    <xf numFmtId="164" fontId="5" fillId="0" borderId="0" xfId="4" applyFont="1" applyFill="1" applyBorder="1" applyAlignment="1"/>
    <xf numFmtId="0" fontId="5" fillId="0" borderId="0" xfId="9" applyFont="1"/>
    <xf numFmtId="164" fontId="5" fillId="0" borderId="0" xfId="4" applyFont="1" applyFill="1" applyBorder="1" applyAlignment="1">
      <alignment horizontal="left" indent="1"/>
    </xf>
    <xf numFmtId="0" fontId="5" fillId="0" borderId="0" xfId="13" applyFont="1"/>
    <xf numFmtId="0" fontId="5" fillId="0" borderId="17" xfId="3" applyFont="1" applyBorder="1" applyAlignment="1">
      <alignment horizontal="center"/>
    </xf>
    <xf numFmtId="0" fontId="5" fillId="0" borderId="17" xfId="3" applyFont="1" applyBorder="1"/>
    <xf numFmtId="0" fontId="10" fillId="0" borderId="17" xfId="3" applyFont="1" applyBorder="1" applyAlignment="1">
      <alignment horizontal="center"/>
    </xf>
    <xf numFmtId="0" fontId="10" fillId="0" borderId="17" xfId="3" applyFont="1" applyBorder="1" applyAlignment="1">
      <alignment horizontal="left"/>
    </xf>
    <xf numFmtId="0" fontId="5" fillId="0" borderId="0" xfId="13" applyFont="1" applyAlignment="1">
      <alignment horizontal="right"/>
    </xf>
    <xf numFmtId="164" fontId="10" fillId="0" borderId="12" xfId="14" applyFont="1" applyFill="1" applyBorder="1"/>
    <xf numFmtId="0" fontId="5" fillId="0" borderId="74" xfId="3" applyFont="1" applyBorder="1"/>
    <xf numFmtId="0" fontId="5" fillId="0" borderId="4" xfId="3" applyFont="1" applyBorder="1"/>
    <xf numFmtId="164" fontId="5" fillId="0" borderId="48" xfId="14" applyFont="1" applyBorder="1"/>
    <xf numFmtId="0" fontId="5" fillId="0" borderId="49" xfId="3" applyFont="1" applyBorder="1"/>
    <xf numFmtId="0" fontId="10" fillId="0" borderId="11" xfId="3" applyFont="1" applyBorder="1" applyAlignment="1">
      <alignment horizontal="center"/>
    </xf>
    <xf numFmtId="0" fontId="5" fillId="0" borderId="62" xfId="3" applyFont="1" applyBorder="1" applyAlignment="1">
      <alignment horizontal="center"/>
    </xf>
    <xf numFmtId="0" fontId="5" fillId="0" borderId="9" xfId="3" applyFont="1" applyBorder="1" applyAlignment="1">
      <alignment horizontal="center"/>
    </xf>
    <xf numFmtId="0" fontId="5" fillId="0" borderId="23" xfId="3" applyFont="1" applyBorder="1" applyAlignment="1">
      <alignment horizontal="center"/>
    </xf>
    <xf numFmtId="0" fontId="5" fillId="0" borderId="24" xfId="3" applyFont="1" applyBorder="1" applyAlignment="1">
      <alignment horizontal="center"/>
    </xf>
    <xf numFmtId="164" fontId="5" fillId="0" borderId="35" xfId="10" applyFont="1" applyBorder="1"/>
    <xf numFmtId="164" fontId="5" fillId="0" borderId="35" xfId="14" applyFont="1" applyBorder="1"/>
    <xf numFmtId="164" fontId="5" fillId="0" borderId="36" xfId="14" applyFont="1" applyBorder="1"/>
    <xf numFmtId="0" fontId="10" fillId="6" borderId="15" xfId="3" applyFont="1" applyFill="1" applyBorder="1" applyAlignment="1">
      <alignment horizontal="left"/>
    </xf>
    <xf numFmtId="0" fontId="10" fillId="6" borderId="40" xfId="3" applyFont="1" applyFill="1" applyBorder="1"/>
    <xf numFmtId="0" fontId="10" fillId="6" borderId="17" xfId="3" applyFont="1" applyFill="1" applyBorder="1" applyAlignment="1">
      <alignment horizontal="left" vertical="center"/>
    </xf>
    <xf numFmtId="0" fontId="10" fillId="6" borderId="37" xfId="3" applyFont="1" applyFill="1" applyBorder="1"/>
    <xf numFmtId="0" fontId="10" fillId="6" borderId="23" xfId="3" applyFont="1" applyFill="1" applyBorder="1" applyAlignment="1">
      <alignment horizontal="left" vertical="center"/>
    </xf>
    <xf numFmtId="0" fontId="10" fillId="6" borderId="24" xfId="3" applyFont="1" applyFill="1" applyBorder="1"/>
    <xf numFmtId="0" fontId="5" fillId="8" borderId="79" xfId="3" applyFont="1" applyFill="1" applyBorder="1" applyAlignment="1">
      <alignment horizontal="center"/>
    </xf>
    <xf numFmtId="0" fontId="5" fillId="8" borderId="35" xfId="3" applyFont="1" applyFill="1" applyBorder="1" applyAlignment="1">
      <alignment horizontal="center"/>
    </xf>
    <xf numFmtId="0" fontId="5" fillId="8" borderId="36" xfId="3" applyFont="1" applyFill="1" applyBorder="1"/>
    <xf numFmtId="0" fontId="10" fillId="8" borderId="14" xfId="3" applyFont="1" applyFill="1" applyBorder="1" applyAlignment="1">
      <alignment horizontal="center"/>
    </xf>
    <xf numFmtId="0" fontId="10" fillId="8" borderId="16" xfId="3" applyFont="1" applyFill="1" applyBorder="1" applyAlignment="1">
      <alignment horizontal="center"/>
    </xf>
    <xf numFmtId="0" fontId="10" fillId="8" borderId="22" xfId="3" applyFont="1" applyFill="1" applyBorder="1" applyAlignment="1">
      <alignment horizontal="center"/>
    </xf>
    <xf numFmtId="0" fontId="5" fillId="8" borderId="74" xfId="3" applyFont="1" applyFill="1" applyBorder="1"/>
    <xf numFmtId="0" fontId="5" fillId="8" borderId="4" xfId="3" applyFont="1" applyFill="1" applyBorder="1"/>
    <xf numFmtId="164" fontId="5" fillId="8" borderId="48" xfId="14" applyFont="1" applyFill="1" applyBorder="1"/>
    <xf numFmtId="0" fontId="5" fillId="8" borderId="49" xfId="3" applyFont="1" applyFill="1" applyBorder="1"/>
    <xf numFmtId="0" fontId="5" fillId="8" borderId="62" xfId="3" applyFont="1" applyFill="1" applyBorder="1" applyAlignment="1">
      <alignment horizontal="center"/>
    </xf>
    <xf numFmtId="0" fontId="5" fillId="8" borderId="9" xfId="3" applyFont="1" applyFill="1" applyBorder="1" applyAlignment="1">
      <alignment horizontal="center"/>
    </xf>
    <xf numFmtId="0" fontId="5" fillId="8" borderId="23" xfId="3" applyFont="1" applyFill="1" applyBorder="1" applyAlignment="1">
      <alignment horizontal="center"/>
    </xf>
    <xf numFmtId="0" fontId="5" fillId="8" borderId="24" xfId="3" applyFont="1" applyFill="1" applyBorder="1" applyAlignment="1">
      <alignment horizontal="center"/>
    </xf>
    <xf numFmtId="0" fontId="10" fillId="8" borderId="11" xfId="3" applyFont="1" applyFill="1" applyBorder="1" applyAlignment="1">
      <alignment horizontal="center"/>
    </xf>
    <xf numFmtId="164" fontId="10" fillId="6" borderId="12" xfId="14" applyFont="1" applyFill="1" applyBorder="1"/>
    <xf numFmtId="164" fontId="10" fillId="6" borderId="58" xfId="14" applyFont="1" applyFill="1" applyBorder="1"/>
    <xf numFmtId="164" fontId="10" fillId="6" borderId="13" xfId="14" applyFont="1" applyFill="1" applyBorder="1"/>
    <xf numFmtId="164" fontId="10" fillId="6" borderId="12" xfId="14" applyFont="1" applyFill="1" applyBorder="1" applyAlignment="1"/>
    <xf numFmtId="164" fontId="10" fillId="6" borderId="58" xfId="14" applyFont="1" applyFill="1" applyBorder="1" applyAlignment="1"/>
    <xf numFmtId="164" fontId="0" fillId="6" borderId="12" xfId="14" applyFont="1" applyFill="1" applyBorder="1"/>
    <xf numFmtId="164" fontId="10" fillId="6" borderId="15" xfId="14" applyFont="1" applyFill="1" applyBorder="1" applyAlignment="1"/>
    <xf numFmtId="164" fontId="10" fillId="6" borderId="15" xfId="14" applyFont="1" applyFill="1" applyBorder="1"/>
    <xf numFmtId="164" fontId="10" fillId="6" borderId="40" xfId="14" applyFont="1" applyFill="1" applyBorder="1"/>
    <xf numFmtId="0" fontId="10" fillId="8" borderId="28" xfId="3" applyFont="1" applyFill="1" applyBorder="1" applyAlignment="1">
      <alignment horizontal="center"/>
    </xf>
    <xf numFmtId="164" fontId="0" fillId="6" borderId="58" xfId="14" applyFont="1" applyFill="1" applyBorder="1"/>
    <xf numFmtId="168" fontId="5" fillId="0" borderId="42" xfId="3" applyNumberFormat="1" applyFont="1" applyBorder="1"/>
    <xf numFmtId="43" fontId="10" fillId="0" borderId="26" xfId="1" applyFont="1" applyFill="1" applyBorder="1" applyAlignment="1">
      <alignment horizontal="right"/>
    </xf>
    <xf numFmtId="0" fontId="10" fillId="0" borderId="43" xfId="3" applyFont="1" applyBorder="1" applyAlignment="1">
      <alignment wrapText="1"/>
    </xf>
    <xf numFmtId="164" fontId="10" fillId="0" borderId="43" xfId="10" applyFont="1" applyFill="1" applyBorder="1" applyAlignment="1">
      <alignment vertical="top" wrapText="1"/>
    </xf>
    <xf numFmtId="164" fontId="5" fillId="0" borderId="43" xfId="10" applyFont="1" applyFill="1" applyBorder="1" applyAlignment="1">
      <alignment horizontal="right" vertical="top" wrapText="1"/>
    </xf>
    <xf numFmtId="169" fontId="5" fillId="0" borderId="43" xfId="10" applyNumberFormat="1" applyFont="1" applyFill="1" applyBorder="1" applyAlignment="1">
      <alignment horizontal="right" vertical="top" wrapText="1"/>
    </xf>
    <xf numFmtId="0" fontId="10" fillId="0" borderId="43" xfId="3" applyFont="1" applyBorder="1" applyAlignment="1">
      <alignment horizontal="right" vertical="top" wrapText="1"/>
    </xf>
    <xf numFmtId="10" fontId="5" fillId="0" borderId="43" xfId="2" applyNumberFormat="1" applyFont="1" applyFill="1" applyBorder="1" applyAlignment="1">
      <alignment horizontal="right" vertical="top" wrapText="1"/>
    </xf>
    <xf numFmtId="0" fontId="10" fillId="0" borderId="0" xfId="3" applyFont="1" applyAlignment="1">
      <alignment horizontal="right" vertical="top" wrapText="1"/>
    </xf>
    <xf numFmtId="0" fontId="10" fillId="0" borderId="8" xfId="3" applyFont="1" applyBorder="1" applyAlignment="1">
      <alignment horizontal="right" wrapText="1"/>
    </xf>
    <xf numFmtId="0" fontId="0" fillId="0" borderId="13" xfId="0" applyBorder="1" applyAlignment="1">
      <alignment wrapText="1"/>
    </xf>
    <xf numFmtId="167" fontId="10" fillId="0" borderId="0" xfId="13" applyNumberFormat="1" applyFont="1" applyAlignment="1">
      <alignment wrapText="1"/>
    </xf>
    <xf numFmtId="0" fontId="10" fillId="0" borderId="0" xfId="3" applyFont="1" applyAlignment="1">
      <alignment vertical="top" wrapText="1"/>
    </xf>
    <xf numFmtId="0" fontId="0" fillId="0" borderId="41" xfId="0" applyBorder="1" applyAlignment="1">
      <alignment wrapText="1"/>
    </xf>
    <xf numFmtId="0" fontId="5" fillId="0" borderId="79" xfId="3" applyFont="1" applyBorder="1" applyAlignment="1">
      <alignment horizontal="center"/>
    </xf>
    <xf numFmtId="0" fontId="5" fillId="0" borderId="35" xfId="3" applyFont="1" applyBorder="1" applyAlignment="1">
      <alignment horizontal="center"/>
    </xf>
    <xf numFmtId="15" fontId="5" fillId="0" borderId="35" xfId="3" applyNumberFormat="1" applyFont="1" applyBorder="1" applyAlignment="1">
      <alignment horizontal="center"/>
    </xf>
    <xf numFmtId="15" fontId="5" fillId="0" borderId="67" xfId="3" applyNumberFormat="1" applyFont="1" applyBorder="1" applyAlignment="1">
      <alignment horizontal="center"/>
    </xf>
    <xf numFmtId="0" fontId="12" fillId="0" borderId="36" xfId="0" applyFont="1" applyBorder="1" applyAlignment="1">
      <alignment horizontal="center" wrapText="1"/>
    </xf>
    <xf numFmtId="0" fontId="12" fillId="0" borderId="0" xfId="0" applyFont="1" applyAlignment="1">
      <alignment wrapText="1"/>
    </xf>
    <xf numFmtId="0" fontId="5" fillId="0" borderId="16" xfId="3" applyFont="1" applyBorder="1" applyAlignment="1">
      <alignment vertical="center" wrapText="1"/>
    </xf>
    <xf numFmtId="0" fontId="5" fillId="0" borderId="22" xfId="3" applyFont="1" applyBorder="1" applyAlignment="1">
      <alignment vertical="center" wrapText="1"/>
    </xf>
    <xf numFmtId="0" fontId="5" fillId="0" borderId="14" xfId="3" applyFont="1" applyBorder="1" applyAlignment="1">
      <alignment vertical="center" wrapText="1"/>
    </xf>
    <xf numFmtId="0" fontId="12" fillId="0" borderId="79" xfId="0" applyFont="1" applyBorder="1" applyAlignment="1">
      <alignment wrapText="1"/>
    </xf>
    <xf numFmtId="0" fontId="0" fillId="8" borderId="16" xfId="0" applyFill="1" applyBorder="1"/>
    <xf numFmtId="0" fontId="0" fillId="8" borderId="22" xfId="0" applyFill="1" applyBorder="1"/>
    <xf numFmtId="0" fontId="12" fillId="8" borderId="40" xfId="0" applyFont="1" applyFill="1" applyBorder="1"/>
    <xf numFmtId="0" fontId="0" fillId="8" borderId="66" xfId="0" applyFill="1" applyBorder="1"/>
    <xf numFmtId="0" fontId="12" fillId="8" borderId="49" xfId="0" applyFont="1" applyFill="1" applyBorder="1"/>
    <xf numFmtId="0" fontId="12" fillId="8" borderId="41" xfId="0" applyFont="1" applyFill="1" applyBorder="1"/>
    <xf numFmtId="0" fontId="12" fillId="8" borderId="74" xfId="0" applyFont="1" applyFill="1" applyBorder="1"/>
    <xf numFmtId="0" fontId="12" fillId="8" borderId="5" xfId="0" applyFont="1" applyFill="1" applyBorder="1"/>
    <xf numFmtId="0" fontId="30" fillId="8" borderId="20" xfId="12" applyFont="1" applyFill="1" applyBorder="1"/>
    <xf numFmtId="0" fontId="0" fillId="0" borderId="68" xfId="0" applyBorder="1"/>
    <xf numFmtId="0" fontId="18" fillId="8" borderId="79" xfId="0" applyFont="1" applyFill="1" applyBorder="1"/>
    <xf numFmtId="0" fontId="18" fillId="8" borderId="36" xfId="0" applyFont="1" applyFill="1" applyBorder="1"/>
    <xf numFmtId="0" fontId="42" fillId="16" borderId="0" xfId="0" applyFont="1" applyFill="1"/>
    <xf numFmtId="0" fontId="31" fillId="0" borderId="14" xfId="12" applyFont="1" applyBorder="1" applyAlignment="1">
      <alignment vertical="top"/>
    </xf>
    <xf numFmtId="0" fontId="0" fillId="0" borderId="40" xfId="0" applyBorder="1" applyAlignment="1">
      <alignment vertical="top" wrapText="1"/>
    </xf>
    <xf numFmtId="0" fontId="30" fillId="0" borderId="16" xfId="12" applyFont="1" applyBorder="1" applyAlignment="1">
      <alignment vertical="top"/>
    </xf>
    <xf numFmtId="0" fontId="0" fillId="0" borderId="37" xfId="0" applyBorder="1" applyAlignment="1">
      <alignment vertical="top" wrapText="1"/>
    </xf>
    <xf numFmtId="0" fontId="30" fillId="0" borderId="22" xfId="12" applyFont="1" applyBorder="1" applyAlignment="1">
      <alignment vertical="top"/>
    </xf>
    <xf numFmtId="0" fontId="0" fillId="0" borderId="24" xfId="0" applyBorder="1" applyAlignment="1">
      <alignment vertical="top" wrapText="1"/>
    </xf>
    <xf numFmtId="0" fontId="12" fillId="0" borderId="0" xfId="0" applyFont="1" applyAlignment="1">
      <alignment vertical="top" wrapText="1"/>
    </xf>
    <xf numFmtId="164" fontId="5" fillId="0" borderId="23" xfId="4" applyFont="1" applyFill="1" applyBorder="1" applyAlignment="1">
      <alignment horizontal="center" vertical="top"/>
    </xf>
    <xf numFmtId="164" fontId="5" fillId="0" borderId="23" xfId="4" applyFont="1" applyFill="1" applyBorder="1" applyAlignment="1">
      <alignment horizontal="center" vertical="center"/>
    </xf>
    <xf numFmtId="41" fontId="10" fillId="0" borderId="15" xfId="0" applyNumberFormat="1" applyFont="1" applyBorder="1"/>
    <xf numFmtId="41" fontId="10" fillId="0" borderId="40" xfId="0" applyNumberFormat="1" applyFont="1" applyBorder="1"/>
    <xf numFmtId="41" fontId="10" fillId="0" borderId="17" xfId="0" applyNumberFormat="1" applyFont="1" applyBorder="1"/>
    <xf numFmtId="41" fontId="10" fillId="0" borderId="37" xfId="0" applyNumberFormat="1" applyFont="1" applyBorder="1"/>
    <xf numFmtId="41" fontId="10" fillId="0" borderId="23" xfId="0" applyNumberFormat="1" applyFont="1" applyBorder="1"/>
    <xf numFmtId="41" fontId="10" fillId="0" borderId="24" xfId="0" applyNumberFormat="1" applyFont="1" applyBorder="1"/>
    <xf numFmtId="0" fontId="10" fillId="0" borderId="37" xfId="0" applyFont="1" applyBorder="1" applyAlignment="1">
      <alignment vertical="top"/>
    </xf>
    <xf numFmtId="0" fontId="10" fillId="0" borderId="37" xfId="0" applyFont="1" applyBorder="1" applyAlignment="1">
      <alignment vertical="top" wrapText="1"/>
    </xf>
    <xf numFmtId="0" fontId="10" fillId="0" borderId="68" xfId="0" applyFont="1" applyBorder="1" applyAlignment="1">
      <alignment vertical="top"/>
    </xf>
    <xf numFmtId="0" fontId="5" fillId="0" borderId="0" xfId="4" applyNumberFormat="1" applyFont="1" applyFill="1" applyAlignment="1">
      <alignment horizontal="right"/>
    </xf>
    <xf numFmtId="0" fontId="30" fillId="8" borderId="66" xfId="12" applyFont="1" applyFill="1" applyBorder="1"/>
    <xf numFmtId="0" fontId="0" fillId="0" borderId="49" xfId="0" applyBorder="1"/>
    <xf numFmtId="0" fontId="0" fillId="0" borderId="24" xfId="0" applyBorder="1"/>
    <xf numFmtId="0" fontId="12" fillId="7" borderId="42" xfId="0" applyFont="1" applyFill="1" applyBorder="1"/>
    <xf numFmtId="0" fontId="12" fillId="8" borderId="2" xfId="0" applyFont="1" applyFill="1" applyBorder="1"/>
    <xf numFmtId="0" fontId="0" fillId="8" borderId="31" xfId="0" applyFill="1" applyBorder="1"/>
    <xf numFmtId="0" fontId="0" fillId="8" borderId="31" xfId="0" applyFill="1" applyBorder="1" applyAlignment="1">
      <alignment horizontal="right"/>
    </xf>
    <xf numFmtId="0" fontId="0" fillId="8" borderId="32" xfId="0" applyFill="1" applyBorder="1"/>
    <xf numFmtId="0" fontId="12" fillId="8" borderId="28" xfId="0" applyFont="1" applyFill="1" applyBorder="1"/>
    <xf numFmtId="0" fontId="0" fillId="8" borderId="0" xfId="0" applyFill="1" applyAlignment="1">
      <alignment horizontal="right"/>
    </xf>
    <xf numFmtId="0" fontId="0" fillId="8" borderId="53" xfId="0" applyFill="1" applyBorder="1"/>
    <xf numFmtId="0" fontId="12" fillId="8" borderId="6" xfId="0" applyFont="1" applyFill="1" applyBorder="1"/>
    <xf numFmtId="0" fontId="0" fillId="8" borderId="1" xfId="0" applyFill="1" applyBorder="1"/>
    <xf numFmtId="0" fontId="0" fillId="0" borderId="94" xfId="0" applyBorder="1" applyAlignment="1">
      <alignment horizontal="right" vertical="top"/>
    </xf>
    <xf numFmtId="0" fontId="0" fillId="0" borderId="89" xfId="0" applyBorder="1" applyAlignment="1">
      <alignment horizontal="right" vertical="top"/>
    </xf>
    <xf numFmtId="0" fontId="0" fillId="0" borderId="91" xfId="0" applyBorder="1" applyAlignment="1">
      <alignment horizontal="right" vertical="top"/>
    </xf>
    <xf numFmtId="0" fontId="0" fillId="0" borderId="96" xfId="0" applyBorder="1"/>
    <xf numFmtId="41" fontId="10" fillId="8" borderId="12" xfId="3" applyNumberFormat="1" applyFont="1" applyFill="1" applyBorder="1"/>
    <xf numFmtId="41" fontId="10" fillId="8" borderId="43" xfId="3" applyNumberFormat="1" applyFont="1" applyFill="1" applyBorder="1"/>
    <xf numFmtId="41" fontId="10" fillId="8" borderId="58" xfId="3" applyNumberFormat="1" applyFont="1" applyFill="1" applyBorder="1"/>
    <xf numFmtId="0" fontId="0" fillId="0" borderId="95" xfId="0" applyBorder="1" applyAlignment="1">
      <alignment horizontal="right" vertical="top"/>
    </xf>
    <xf numFmtId="0" fontId="0" fillId="0" borderId="98" xfId="0" applyBorder="1" applyAlignment="1">
      <alignment horizontal="right" vertical="top"/>
    </xf>
    <xf numFmtId="0" fontId="0" fillId="0" borderId="100" xfId="0" applyBorder="1" applyAlignment="1">
      <alignment horizontal="right" vertical="top"/>
    </xf>
    <xf numFmtId="0" fontId="0" fillId="0" borderId="42" xfId="0" applyBorder="1"/>
    <xf numFmtId="167" fontId="0" fillId="0" borderId="0" xfId="0" applyNumberFormat="1"/>
    <xf numFmtId="0" fontId="0" fillId="17" borderId="31" xfId="0" applyFill="1" applyBorder="1"/>
    <xf numFmtId="167" fontId="10" fillId="2" borderId="0" xfId="4" applyNumberFormat="1" applyFont="1" applyFill="1" applyBorder="1"/>
    <xf numFmtId="0" fontId="10" fillId="2" borderId="0" xfId="3" applyFont="1" applyFill="1"/>
    <xf numFmtId="0" fontId="12" fillId="2" borderId="33" xfId="0" applyFont="1" applyFill="1" applyBorder="1"/>
    <xf numFmtId="164" fontId="10" fillId="2" borderId="0" xfId="4" applyFont="1" applyFill="1" applyBorder="1" applyAlignment="1">
      <alignment horizontal="left" indent="1"/>
    </xf>
    <xf numFmtId="164" fontId="10" fillId="2" borderId="0" xfId="4" applyFont="1" applyFill="1" applyBorder="1"/>
    <xf numFmtId="164" fontId="10" fillId="2" borderId="1" xfId="4" applyFont="1" applyFill="1" applyBorder="1"/>
    <xf numFmtId="0" fontId="5" fillId="0" borderId="0" xfId="0" applyFont="1" applyAlignment="1">
      <alignment horizontal="right"/>
    </xf>
    <xf numFmtId="0" fontId="24" fillId="10" borderId="33" xfId="0" applyFont="1" applyFill="1" applyBorder="1" applyAlignment="1">
      <alignment horizontal="center"/>
    </xf>
    <xf numFmtId="0" fontId="24" fillId="10" borderId="63" xfId="0" applyFont="1" applyFill="1" applyBorder="1" applyAlignment="1">
      <alignment horizontal="center"/>
    </xf>
    <xf numFmtId="0" fontId="41" fillId="13" borderId="33" xfId="0" applyFont="1" applyFill="1" applyBorder="1" applyAlignment="1">
      <alignment horizontal="center"/>
    </xf>
    <xf numFmtId="0" fontId="41" fillId="13" borderId="34" xfId="0" applyFont="1" applyFill="1" applyBorder="1" applyAlignment="1">
      <alignment horizontal="center"/>
    </xf>
    <xf numFmtId="0" fontId="41" fillId="13" borderId="63" xfId="0" applyFont="1" applyFill="1" applyBorder="1" applyAlignment="1">
      <alignment horizontal="center"/>
    </xf>
    <xf numFmtId="0" fontId="24" fillId="10" borderId="34" xfId="0" applyFont="1" applyFill="1" applyBorder="1" applyAlignment="1">
      <alignment horizontal="center"/>
    </xf>
    <xf numFmtId="0" fontId="37" fillId="13" borderId="0" xfId="0" applyFont="1" applyFill="1" applyAlignment="1">
      <alignment horizontal="center" vertical="center"/>
    </xf>
    <xf numFmtId="0" fontId="38" fillId="4" borderId="0" xfId="0" applyFont="1" applyFill="1" applyAlignment="1">
      <alignment horizontal="center"/>
    </xf>
    <xf numFmtId="0" fontId="37" fillId="4" borderId="0" xfId="0" applyFont="1" applyFill="1" applyAlignment="1">
      <alignment horizontal="center"/>
    </xf>
    <xf numFmtId="0" fontId="12" fillId="8" borderId="66" xfId="0" applyFont="1" applyFill="1" applyBorder="1" applyAlignment="1">
      <alignment horizontal="center"/>
    </xf>
    <xf numFmtId="0" fontId="12" fillId="8" borderId="22" xfId="0" applyFont="1" applyFill="1" applyBorder="1" applyAlignment="1">
      <alignment horizontal="center"/>
    </xf>
    <xf numFmtId="0" fontId="12" fillId="8" borderId="48" xfId="0" applyFont="1" applyFill="1" applyBorder="1" applyAlignment="1">
      <alignment horizontal="center" wrapText="1"/>
    </xf>
    <xf numFmtId="0" fontId="12" fillId="8" borderId="23" xfId="0" applyFont="1" applyFill="1" applyBorder="1" applyAlignment="1">
      <alignment horizontal="center" wrapText="1"/>
    </xf>
    <xf numFmtId="0" fontId="12" fillId="8" borderId="48" xfId="0" applyFont="1" applyFill="1" applyBorder="1" applyAlignment="1">
      <alignment horizontal="center"/>
    </xf>
    <xf numFmtId="0" fontId="12" fillId="8" borderId="49" xfId="0" applyFont="1" applyFill="1" applyBorder="1" applyAlignment="1">
      <alignment horizontal="center"/>
    </xf>
    <xf numFmtId="0" fontId="12" fillId="0" borderId="17" xfId="0" applyFont="1" applyBorder="1" applyAlignment="1">
      <alignment horizontal="center"/>
    </xf>
    <xf numFmtId="0" fontId="12" fillId="0" borderId="23" xfId="0" applyFont="1" applyBorder="1" applyAlignment="1">
      <alignment horizontal="center"/>
    </xf>
    <xf numFmtId="166" fontId="0" fillId="0" borderId="28" xfId="0" applyNumberFormat="1" applyBorder="1" applyAlignment="1">
      <alignment horizontal="center" vertical="center" wrapText="1"/>
    </xf>
    <xf numFmtId="0" fontId="12" fillId="8" borderId="105" xfId="0" applyFont="1" applyFill="1" applyBorder="1" applyAlignment="1">
      <alignment horizontal="center"/>
    </xf>
    <xf numFmtId="0" fontId="12" fillId="8" borderId="31" xfId="0" applyFont="1" applyFill="1" applyBorder="1" applyAlignment="1">
      <alignment horizontal="center"/>
    </xf>
    <xf numFmtId="0" fontId="12" fillId="8" borderId="3" xfId="0" applyFont="1" applyFill="1" applyBorder="1" applyAlignment="1">
      <alignment horizontal="center"/>
    </xf>
    <xf numFmtId="0" fontId="12" fillId="0" borderId="48" xfId="0" applyFont="1" applyBorder="1" applyAlignment="1">
      <alignment horizontal="center"/>
    </xf>
    <xf numFmtId="0" fontId="0" fillId="0" borderId="0" xfId="0" applyAlignment="1">
      <alignment vertical="top" wrapText="1"/>
    </xf>
    <xf numFmtId="0" fontId="0" fillId="0" borderId="0" xfId="0" applyAlignment="1">
      <alignment vertical="top"/>
    </xf>
    <xf numFmtId="0" fontId="0" fillId="0" borderId="99" xfId="0" applyBorder="1" applyAlignment="1">
      <alignment vertical="top"/>
    </xf>
    <xf numFmtId="0" fontId="0" fillId="0" borderId="101" xfId="0" applyBorder="1" applyAlignment="1">
      <alignment vertical="top"/>
    </xf>
    <xf numFmtId="0" fontId="0" fillId="0" borderId="102" xfId="0" applyBorder="1" applyAlignment="1">
      <alignment vertical="top"/>
    </xf>
    <xf numFmtId="0" fontId="12" fillId="0" borderId="85" xfId="0" applyFont="1" applyBorder="1" applyAlignment="1">
      <alignment horizontal="center"/>
    </xf>
    <xf numFmtId="0" fontId="12" fillId="0" borderId="86" xfId="0" applyFont="1" applyBorder="1" applyAlignment="1">
      <alignment horizontal="center"/>
    </xf>
    <xf numFmtId="0" fontId="37" fillId="11" borderId="95" xfId="0" applyFont="1" applyFill="1" applyBorder="1" applyAlignment="1">
      <alignment horizontal="center"/>
    </xf>
    <xf numFmtId="0" fontId="37" fillId="11" borderId="96" xfId="0" applyFont="1" applyFill="1" applyBorder="1" applyAlignment="1">
      <alignment horizontal="center"/>
    </xf>
    <xf numFmtId="0" fontId="37" fillId="11" borderId="97" xfId="0" applyFont="1" applyFill="1" applyBorder="1" applyAlignment="1">
      <alignment horizontal="center"/>
    </xf>
    <xf numFmtId="0" fontId="37" fillId="11" borderId="100" xfId="0" applyFont="1" applyFill="1" applyBorder="1" applyAlignment="1">
      <alignment horizontal="center"/>
    </xf>
    <xf numFmtId="0" fontId="37" fillId="11" borderId="101" xfId="0" applyFont="1" applyFill="1" applyBorder="1" applyAlignment="1">
      <alignment horizontal="center"/>
    </xf>
    <xf numFmtId="0" fontId="37" fillId="11" borderId="102" xfId="0" applyFont="1" applyFill="1" applyBorder="1" applyAlignment="1">
      <alignment horizontal="center"/>
    </xf>
    <xf numFmtId="0" fontId="0" fillId="0" borderId="96" xfId="0" applyBorder="1" applyAlignment="1">
      <alignment vertical="top"/>
    </xf>
    <xf numFmtId="0" fontId="0" fillId="0" borderId="97" xfId="0" applyBorder="1" applyAlignment="1">
      <alignment vertical="top"/>
    </xf>
    <xf numFmtId="0" fontId="0" fillId="0" borderId="99" xfId="0" applyBorder="1" applyAlignment="1">
      <alignment vertical="top" wrapText="1"/>
    </xf>
    <xf numFmtId="0" fontId="0" fillId="0" borderId="92" xfId="0" applyBorder="1" applyAlignment="1">
      <alignment horizontal="left" vertical="top"/>
    </xf>
    <xf numFmtId="0" fontId="0" fillId="0" borderId="93" xfId="0" applyBorder="1" applyAlignment="1">
      <alignment horizontal="left" vertical="top"/>
    </xf>
    <xf numFmtId="0" fontId="0" fillId="0" borderId="0" xfId="0" applyAlignment="1">
      <alignment horizontal="left" vertical="top" wrapText="1"/>
    </xf>
    <xf numFmtId="0" fontId="0" fillId="0" borderId="90" xfId="0" applyBorder="1" applyAlignment="1">
      <alignment horizontal="left" vertical="top" wrapText="1"/>
    </xf>
    <xf numFmtId="0" fontId="37" fillId="14" borderId="0" xfId="0" applyFont="1" applyFill="1" applyAlignment="1">
      <alignment horizontal="center"/>
    </xf>
    <xf numFmtId="0" fontId="12" fillId="0" borderId="94" xfId="0" applyFont="1" applyBorder="1" applyAlignment="1">
      <alignment horizontal="center"/>
    </xf>
    <xf numFmtId="0" fontId="12" fillId="0" borderId="88" xfId="0" applyFont="1" applyBorder="1" applyAlignment="1">
      <alignment horizontal="center"/>
    </xf>
    <xf numFmtId="0" fontId="0" fillId="0" borderId="87" xfId="0" applyBorder="1" applyAlignment="1">
      <alignment horizontal="left" vertical="top"/>
    </xf>
    <xf numFmtId="0" fontId="0" fillId="0" borderId="88" xfId="0" applyBorder="1" applyAlignment="1">
      <alignment horizontal="left" vertical="top"/>
    </xf>
    <xf numFmtId="0" fontId="0" fillId="0" borderId="0" xfId="0" applyAlignment="1">
      <alignment horizontal="left" vertical="top"/>
    </xf>
    <xf numFmtId="0" fontId="0" fillId="0" borderId="90" xfId="0" applyBorder="1" applyAlignment="1">
      <alignment horizontal="left" vertical="top"/>
    </xf>
    <xf numFmtId="0" fontId="5" fillId="8" borderId="104" xfId="3" applyFont="1" applyFill="1" applyBorder="1" applyAlignment="1">
      <alignment horizontal="center"/>
    </xf>
    <xf numFmtId="0" fontId="5" fillId="8" borderId="57" xfId="3" applyFont="1" applyFill="1" applyBorder="1" applyAlignment="1">
      <alignment horizontal="center"/>
    </xf>
    <xf numFmtId="0" fontId="5" fillId="0" borderId="33" xfId="13" applyFont="1" applyBorder="1" applyAlignment="1">
      <alignment horizontal="center"/>
    </xf>
    <xf numFmtId="0" fontId="5" fillId="0" borderId="75" xfId="13" applyFont="1" applyBorder="1" applyAlignment="1">
      <alignment horizontal="center"/>
    </xf>
    <xf numFmtId="0" fontId="24" fillId="0" borderId="0" xfId="0" applyFont="1" applyAlignment="1">
      <alignment horizontal="center"/>
    </xf>
    <xf numFmtId="0" fontId="12" fillId="0" borderId="0" xfId="0" applyFont="1" applyAlignment="1">
      <alignment horizontal="center"/>
    </xf>
    <xf numFmtId="15" fontId="4" fillId="0" borderId="0" xfId="3" applyNumberFormat="1" applyFont="1" applyAlignment="1">
      <alignment horizontal="left"/>
    </xf>
    <xf numFmtId="0" fontId="4" fillId="0" borderId="0" xfId="3" applyFont="1" applyAlignment="1">
      <alignment horizontal="left"/>
    </xf>
    <xf numFmtId="0" fontId="3" fillId="0" borderId="0" xfId="3" applyFont="1" applyAlignment="1">
      <alignment horizontal="left"/>
    </xf>
    <xf numFmtId="0" fontId="6" fillId="0" borderId="0" xfId="3" applyFont="1" applyAlignment="1">
      <alignment horizontal="left"/>
    </xf>
    <xf numFmtId="0" fontId="32" fillId="0" borderId="0" xfId="3" applyFont="1" applyAlignment="1">
      <alignment horizontal="center"/>
    </xf>
    <xf numFmtId="0" fontId="4" fillId="0" borderId="0" xfId="3" quotePrefix="1" applyFont="1" applyAlignment="1">
      <alignment horizontal="center"/>
    </xf>
    <xf numFmtId="0" fontId="6" fillId="0" borderId="0" xfId="3" applyFont="1" applyAlignment="1">
      <alignment horizontal="center"/>
    </xf>
    <xf numFmtId="164" fontId="5" fillId="0" borderId="1" xfId="4" applyFont="1" applyFill="1" applyBorder="1" applyAlignment="1">
      <alignment horizontal="right"/>
    </xf>
    <xf numFmtId="0" fontId="4" fillId="0" borderId="2" xfId="3" applyFont="1" applyBorder="1" applyAlignment="1">
      <alignment horizontal="center" vertical="center"/>
    </xf>
    <xf numFmtId="0" fontId="4" fillId="0" borderId="3" xfId="3" applyFont="1" applyBorder="1" applyAlignment="1">
      <alignment horizontal="center" vertical="center"/>
    </xf>
    <xf numFmtId="0" fontId="4" fillId="0" borderId="6" xfId="3" applyFont="1" applyBorder="1" applyAlignment="1">
      <alignment horizontal="center" vertical="center"/>
    </xf>
    <xf numFmtId="0" fontId="4" fillId="0" borderId="7" xfId="3" applyFont="1" applyBorder="1" applyAlignment="1">
      <alignment horizontal="center" vertical="center"/>
    </xf>
    <xf numFmtId="0" fontId="4" fillId="0" borderId="4" xfId="3" applyFont="1" applyBorder="1" applyAlignment="1">
      <alignment horizontal="center" vertical="center"/>
    </xf>
    <xf numFmtId="0" fontId="4" fillId="0" borderId="8" xfId="3" applyFont="1" applyBorder="1" applyAlignment="1">
      <alignment horizontal="center" vertical="center"/>
    </xf>
    <xf numFmtId="0" fontId="11" fillId="0" borderId="0" xfId="3" applyFont="1" applyAlignment="1">
      <alignment horizontal="center"/>
    </xf>
    <xf numFmtId="0" fontId="5" fillId="0" borderId="25" xfId="3" applyFont="1" applyBorder="1" applyAlignment="1">
      <alignment horizontal="center" vertical="center"/>
    </xf>
    <xf numFmtId="0" fontId="5" fillId="0" borderId="26" xfId="3" applyFont="1" applyBorder="1" applyAlignment="1">
      <alignment horizontal="center" vertical="center"/>
    </xf>
    <xf numFmtId="0" fontId="10" fillId="0" borderId="0" xfId="3" applyFont="1" applyAlignment="1">
      <alignment horizontal="left" wrapText="1"/>
    </xf>
    <xf numFmtId="0" fontId="3" fillId="0" borderId="0" xfId="3" applyFont="1" applyAlignment="1">
      <alignment horizontal="left" vertical="center" wrapText="1"/>
    </xf>
    <xf numFmtId="0" fontId="4" fillId="0" borderId="2"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0" xfId="0" applyFont="1" applyBorder="1" applyAlignment="1">
      <alignment horizontal="center" vertical="center" wrapText="1"/>
    </xf>
    <xf numFmtId="0" fontId="5" fillId="0" borderId="49" xfId="0" applyFont="1" applyBorder="1" applyAlignment="1">
      <alignment horizontal="center" wrapText="1"/>
    </xf>
    <xf numFmtId="0" fontId="5" fillId="0" borderId="24" xfId="0" applyFont="1" applyBorder="1" applyAlignment="1">
      <alignment horizontal="center"/>
    </xf>
    <xf numFmtId="164" fontId="5" fillId="0" borderId="46" xfId="4" applyFont="1" applyFill="1" applyBorder="1" applyAlignment="1">
      <alignment horizontal="center" vertical="top"/>
    </xf>
    <xf numFmtId="164" fontId="5" fillId="0" borderId="50" xfId="4" applyFont="1" applyFill="1" applyBorder="1" applyAlignment="1">
      <alignment horizontal="center" vertical="top"/>
    </xf>
    <xf numFmtId="0" fontId="5" fillId="0" borderId="48" xfId="0" applyFont="1" applyBorder="1" applyAlignment="1">
      <alignment horizontal="center"/>
    </xf>
    <xf numFmtId="164" fontId="5" fillId="0" borderId="62" xfId="4" applyFont="1" applyFill="1" applyBorder="1" applyAlignment="1">
      <alignment horizontal="center"/>
    </xf>
    <xf numFmtId="164" fontId="5" fillId="0" borderId="9" xfId="4" applyFont="1" applyFill="1" applyBorder="1" applyAlignment="1">
      <alignment horizontal="center"/>
    </xf>
    <xf numFmtId="164" fontId="5" fillId="0" borderId="8" xfId="4" applyFont="1" applyFill="1" applyBorder="1" applyAlignment="1">
      <alignment horizontal="center"/>
    </xf>
    <xf numFmtId="164" fontId="5" fillId="0" borderId="28" xfId="4" applyFont="1" applyFill="1" applyBorder="1" applyAlignment="1">
      <alignment horizontal="center" vertical="center" wrapText="1"/>
    </xf>
    <xf numFmtId="164" fontId="5" fillId="0" borderId="38" xfId="4" applyFont="1" applyFill="1" applyBorder="1" applyAlignment="1">
      <alignment horizontal="center" vertical="center"/>
    </xf>
    <xf numFmtId="164" fontId="5" fillId="0" borderId="69" xfId="4" applyFont="1" applyFill="1" applyBorder="1" applyAlignment="1">
      <alignment horizontal="center" vertical="center"/>
    </xf>
    <xf numFmtId="164" fontId="5" fillId="0" borderId="2" xfId="4" applyFont="1" applyFill="1" applyBorder="1" applyAlignment="1">
      <alignment horizontal="left" vertical="center"/>
    </xf>
    <xf numFmtId="164" fontId="5" fillId="0" borderId="31" xfId="4" applyFont="1" applyFill="1" applyBorder="1" applyAlignment="1">
      <alignment horizontal="left" vertical="center"/>
    </xf>
    <xf numFmtId="164" fontId="5" fillId="0" borderId="6" xfId="4" applyFont="1" applyFill="1" applyBorder="1" applyAlignment="1">
      <alignment horizontal="left" vertical="center"/>
    </xf>
    <xf numFmtId="164" fontId="5" fillId="0" borderId="1" xfId="4" applyFont="1" applyFill="1" applyBorder="1" applyAlignment="1">
      <alignment horizontal="left" vertical="center"/>
    </xf>
    <xf numFmtId="164" fontId="16" fillId="3" borderId="33" xfId="4" quotePrefix="1" applyFont="1" applyFill="1" applyBorder="1" applyAlignment="1">
      <alignment horizontal="center" vertical="top"/>
    </xf>
    <xf numFmtId="164" fontId="16" fillId="3" borderId="63" xfId="4" quotePrefix="1" applyFont="1" applyFill="1" applyBorder="1" applyAlignment="1">
      <alignment horizontal="center" vertical="top"/>
    </xf>
    <xf numFmtId="0" fontId="5" fillId="0" borderId="50" xfId="3" applyFont="1" applyBorder="1" applyAlignment="1">
      <alignment horizontal="center"/>
    </xf>
    <xf numFmtId="0" fontId="5" fillId="0" borderId="51" xfId="3" applyFont="1" applyBorder="1" applyAlignment="1">
      <alignment horizontal="center"/>
    </xf>
    <xf numFmtId="0" fontId="5" fillId="0" borderId="1" xfId="3" applyFont="1" applyBorder="1" applyAlignment="1">
      <alignment horizontal="right"/>
    </xf>
    <xf numFmtId="0" fontId="4" fillId="0" borderId="0" xfId="3" applyFont="1" applyAlignment="1">
      <alignment horizontal="center"/>
    </xf>
    <xf numFmtId="164" fontId="5" fillId="0" borderId="50" xfId="4" applyFont="1" applyFill="1" applyBorder="1" applyAlignment="1">
      <alignment horizontal="center"/>
    </xf>
    <xf numFmtId="164" fontId="5" fillId="0" borderId="51" xfId="4" applyFont="1" applyFill="1" applyBorder="1" applyAlignment="1">
      <alignment horizontal="center"/>
    </xf>
    <xf numFmtId="168" fontId="5" fillId="0" borderId="25" xfId="11" applyNumberFormat="1" applyFont="1" applyFill="1" applyBorder="1" applyAlignment="1">
      <alignment horizontal="center"/>
    </xf>
    <xf numFmtId="168" fontId="5" fillId="0" borderId="26" xfId="11" applyNumberFormat="1" applyFont="1" applyFill="1" applyBorder="1" applyAlignment="1">
      <alignment horizontal="center"/>
    </xf>
    <xf numFmtId="167" fontId="5" fillId="0" borderId="50" xfId="11" applyNumberFormat="1" applyFont="1" applyFill="1" applyBorder="1" applyAlignment="1">
      <alignment horizontal="center"/>
    </xf>
    <xf numFmtId="167" fontId="5" fillId="0" borderId="51" xfId="11" applyNumberFormat="1" applyFont="1" applyFill="1" applyBorder="1" applyAlignment="1">
      <alignment horizontal="center"/>
    </xf>
    <xf numFmtId="168" fontId="35" fillId="0" borderId="33" xfId="0" applyNumberFormat="1" applyFont="1" applyBorder="1" applyAlignment="1">
      <alignment horizontal="center"/>
    </xf>
    <xf numFmtId="168" fontId="35" fillId="0" borderId="34" xfId="0" applyNumberFormat="1" applyFont="1" applyBorder="1" applyAlignment="1">
      <alignment horizontal="center"/>
    </xf>
    <xf numFmtId="168" fontId="35" fillId="0" borderId="63" xfId="0" applyNumberFormat="1" applyFont="1" applyBorder="1" applyAlignment="1">
      <alignment horizontal="center"/>
    </xf>
    <xf numFmtId="0" fontId="5" fillId="0" borderId="50" xfId="0" applyFont="1" applyBorder="1" applyAlignment="1">
      <alignment horizontal="center"/>
    </xf>
    <xf numFmtId="0" fontId="5" fillId="0" borderId="55" xfId="0" applyFont="1" applyBorder="1" applyAlignment="1">
      <alignment horizontal="center"/>
    </xf>
    <xf numFmtId="0" fontId="5" fillId="0" borderId="46" xfId="0" applyFont="1" applyBorder="1" applyAlignment="1">
      <alignment horizontal="center"/>
    </xf>
    <xf numFmtId="0" fontId="5" fillId="0" borderId="47" xfId="0" applyFont="1" applyBorder="1" applyAlignment="1">
      <alignment horizontal="center"/>
    </xf>
    <xf numFmtId="0" fontId="5" fillId="0" borderId="52" xfId="0" applyFont="1" applyBorder="1" applyAlignment="1">
      <alignment horizontal="center"/>
    </xf>
    <xf numFmtId="0" fontId="5" fillId="0" borderId="5" xfId="0" applyFont="1" applyBorder="1" applyAlignment="1">
      <alignment horizontal="center" vertical="center"/>
    </xf>
    <xf numFmtId="0" fontId="5" fillId="0" borderId="40" xfId="0" applyFont="1" applyBorder="1" applyAlignment="1">
      <alignment horizontal="center" vertical="center"/>
    </xf>
    <xf numFmtId="0" fontId="5" fillId="0" borderId="74" xfId="0" applyFont="1" applyBorder="1" applyAlignment="1">
      <alignment horizontal="center" vertical="center"/>
    </xf>
    <xf numFmtId="0" fontId="5" fillId="0" borderId="14" xfId="0" applyFont="1" applyBorder="1" applyAlignment="1">
      <alignment horizontal="center" vertical="center"/>
    </xf>
    <xf numFmtId="0" fontId="5" fillId="0" borderId="23" xfId="0" applyFont="1" applyBorder="1" applyAlignment="1">
      <alignment horizontal="center" wrapText="1"/>
    </xf>
    <xf numFmtId="0" fontId="10" fillId="0" borderId="15" xfId="0" applyFont="1" applyBorder="1" applyAlignment="1">
      <alignment horizontal="center"/>
    </xf>
    <xf numFmtId="0" fontId="10" fillId="0" borderId="23" xfId="0" applyFont="1" applyBorder="1" applyAlignment="1">
      <alignment horizontal="center"/>
    </xf>
    <xf numFmtId="0" fontId="5" fillId="0" borderId="66" xfId="0" applyFont="1" applyBorder="1" applyAlignment="1">
      <alignment horizontal="center"/>
    </xf>
    <xf numFmtId="0" fontId="5" fillId="0" borderId="22" xfId="0" applyFont="1" applyBorder="1" applyAlignment="1">
      <alignment horizontal="center"/>
    </xf>
    <xf numFmtId="0" fontId="5" fillId="0" borderId="23" xfId="0" applyFont="1" applyBorder="1" applyAlignment="1">
      <alignment horizontal="center"/>
    </xf>
    <xf numFmtId="0" fontId="5" fillId="0" borderId="48" xfId="0" applyFont="1" applyBorder="1" applyAlignment="1">
      <alignment horizontal="center" wrapText="1"/>
    </xf>
    <xf numFmtId="0" fontId="5" fillId="0" borderId="24" xfId="0" applyFont="1" applyBorder="1" applyAlignment="1">
      <alignment horizontal="center" wrapText="1"/>
    </xf>
    <xf numFmtId="0" fontId="10" fillId="0" borderId="40" xfId="0" applyFont="1" applyBorder="1" applyAlignment="1">
      <alignment horizontal="center"/>
    </xf>
    <xf numFmtId="0" fontId="10" fillId="0" borderId="24" xfId="0" applyFont="1" applyBorder="1" applyAlignment="1">
      <alignment horizontal="center"/>
    </xf>
    <xf numFmtId="0" fontId="12" fillId="0" borderId="2" xfId="0" applyFont="1" applyBorder="1" applyAlignment="1">
      <alignment horizontal="center"/>
    </xf>
    <xf numFmtId="0" fontId="12" fillId="0" borderId="31" xfId="0" applyFont="1" applyBorder="1" applyAlignment="1">
      <alignment horizontal="center"/>
    </xf>
    <xf numFmtId="0" fontId="12" fillId="0" borderId="32" xfId="0" applyFont="1" applyBorder="1" applyAlignment="1">
      <alignment horizontal="center"/>
    </xf>
    <xf numFmtId="0" fontId="0" fillId="0" borderId="33" xfId="0" applyBorder="1" applyAlignment="1">
      <alignment horizontal="center"/>
    </xf>
    <xf numFmtId="0" fontId="0" fillId="0" borderId="63" xfId="0" applyBorder="1" applyAlignment="1">
      <alignment horizontal="center"/>
    </xf>
    <xf numFmtId="167" fontId="5" fillId="0" borderId="50" xfId="4" applyNumberFormat="1" applyFont="1" applyFill="1" applyBorder="1" applyAlignment="1">
      <alignment horizontal="center"/>
    </xf>
    <xf numFmtId="167" fontId="5" fillId="0" borderId="51" xfId="4" applyNumberFormat="1" applyFont="1" applyFill="1" applyBorder="1" applyAlignment="1">
      <alignment horizontal="center"/>
    </xf>
    <xf numFmtId="168" fontId="5" fillId="0" borderId="25" xfId="4" applyNumberFormat="1" applyFont="1" applyFill="1" applyBorder="1" applyAlignment="1">
      <alignment horizontal="center"/>
    </xf>
    <xf numFmtId="168" fontId="5" fillId="0" borderId="26" xfId="4" applyNumberFormat="1" applyFont="1" applyFill="1" applyBorder="1" applyAlignment="1">
      <alignment horizontal="center"/>
    </xf>
    <xf numFmtId="167" fontId="5" fillId="0" borderId="56" xfId="4" applyNumberFormat="1" applyFont="1" applyFill="1" applyBorder="1" applyAlignment="1">
      <alignment horizontal="center"/>
    </xf>
    <xf numFmtId="164" fontId="5" fillId="0" borderId="75" xfId="4" applyFont="1" applyFill="1" applyBorder="1" applyAlignment="1">
      <alignment horizontal="center"/>
    </xf>
    <xf numFmtId="164" fontId="5" fillId="0" borderId="35" xfId="4" applyFont="1" applyFill="1" applyBorder="1" applyAlignment="1">
      <alignment horizontal="center"/>
    </xf>
    <xf numFmtId="164" fontId="5" fillId="0" borderId="36" xfId="4" applyFont="1" applyFill="1" applyBorder="1" applyAlignment="1">
      <alignment horizontal="center"/>
    </xf>
    <xf numFmtId="164" fontId="5" fillId="0" borderId="51" xfId="4" quotePrefix="1" applyFont="1" applyFill="1" applyBorder="1" applyAlignment="1">
      <alignment horizontal="center"/>
    </xf>
    <xf numFmtId="164" fontId="5" fillId="0" borderId="56" xfId="4" quotePrefix="1" applyFont="1" applyFill="1" applyBorder="1" applyAlignment="1">
      <alignment horizontal="center"/>
    </xf>
    <xf numFmtId="164" fontId="5" fillId="0" borderId="38" xfId="4" applyFont="1" applyFill="1" applyBorder="1" applyAlignment="1">
      <alignment horizontal="left" vertical="center"/>
    </xf>
    <xf numFmtId="164" fontId="5" fillId="0" borderId="39" xfId="4" applyFont="1" applyFill="1" applyBorder="1" applyAlignment="1">
      <alignment horizontal="left" vertical="center"/>
    </xf>
    <xf numFmtId="0" fontId="0" fillId="0" borderId="0" xfId="0" applyAlignment="1">
      <alignment horizontal="left" wrapText="1"/>
    </xf>
    <xf numFmtId="0" fontId="36" fillId="0" borderId="0" xfId="3" applyFont="1" applyAlignment="1">
      <alignment horizontal="center"/>
    </xf>
    <xf numFmtId="0" fontId="5" fillId="0" borderId="0" xfId="3" applyFont="1" applyAlignment="1">
      <alignment horizontal="center"/>
    </xf>
    <xf numFmtId="164" fontId="0" fillId="0" borderId="15" xfId="0" applyNumberFormat="1" applyBorder="1" applyAlignment="1">
      <alignment horizontal="left" wrapText="1"/>
    </xf>
    <xf numFmtId="164" fontId="0" fillId="0" borderId="40" xfId="0" applyNumberFormat="1" applyBorder="1" applyAlignment="1">
      <alignment horizontal="left" wrapText="1"/>
    </xf>
    <xf numFmtId="0" fontId="5" fillId="0" borderId="12" xfId="3" applyFont="1" applyBorder="1" applyAlignment="1">
      <alignment horizontal="center" vertical="center" wrapText="1"/>
    </xf>
    <xf numFmtId="0" fontId="12" fillId="0" borderId="0" xfId="0" applyFont="1" applyAlignment="1">
      <alignment horizontal="left" vertical="top" wrapText="1"/>
    </xf>
    <xf numFmtId="0" fontId="5" fillId="0" borderId="0" xfId="3" applyFont="1" applyAlignment="1">
      <alignment horizontal="left"/>
    </xf>
    <xf numFmtId="0" fontId="12" fillId="0" borderId="35" xfId="0" applyFont="1" applyBorder="1" applyAlignment="1">
      <alignment horizontal="center" wrapText="1"/>
    </xf>
    <xf numFmtId="0" fontId="12" fillId="0" borderId="36" xfId="0" applyFont="1" applyBorder="1" applyAlignment="1">
      <alignment horizontal="center" wrapText="1"/>
    </xf>
    <xf numFmtId="0" fontId="5" fillId="0" borderId="104" xfId="3" applyFont="1" applyBorder="1" applyAlignment="1">
      <alignment horizontal="center"/>
    </xf>
    <xf numFmtId="0" fontId="5" fillId="0" borderId="57" xfId="3" applyFont="1" applyBorder="1" applyAlignment="1">
      <alignment horizontal="center"/>
    </xf>
    <xf numFmtId="0" fontId="12" fillId="0" borderId="33" xfId="0" applyFont="1" applyBorder="1" applyAlignment="1">
      <alignment horizontal="left" wrapText="1"/>
    </xf>
    <xf numFmtId="0" fontId="12" fillId="0" borderId="34" xfId="0" applyFont="1" applyBorder="1" applyAlignment="1">
      <alignment horizontal="left" wrapText="1"/>
    </xf>
    <xf numFmtId="0" fontId="12" fillId="0" borderId="63" xfId="0" applyFont="1" applyBorder="1" applyAlignment="1">
      <alignment horizontal="left" wrapText="1"/>
    </xf>
    <xf numFmtId="0" fontId="7" fillId="0" borderId="0" xfId="3" applyFont="1" applyAlignment="1">
      <alignment horizontal="center"/>
    </xf>
    <xf numFmtId="0" fontId="8" fillId="0" borderId="0" xfId="3" quotePrefix="1" applyFont="1" applyAlignment="1">
      <alignment horizontal="center"/>
    </xf>
  </cellXfs>
  <cellStyles count="15">
    <cellStyle name="Comma" xfId="1" builtinId="3"/>
    <cellStyle name="Comma 10 10 5" xfId="10" xr:uid="{A572DDF5-9892-4709-91D1-BDF82CDF31A9}"/>
    <cellStyle name="Comma 2" xfId="4" xr:uid="{5D95E680-0C22-44F2-9340-F391EB5D1570}"/>
    <cellStyle name="Comma 2 11" xfId="8" xr:uid="{C821D8D4-57F3-4AE1-A335-65FACB50BF25}"/>
    <cellStyle name="Comma 2 11 2" xfId="11" xr:uid="{1CCBA42F-180C-4637-8D43-F11A49365676}"/>
    <cellStyle name="Comma 2 2 2" xfId="6" xr:uid="{7369B407-C982-4289-B603-A18FDE1BE884}"/>
    <cellStyle name="Comma 2 5" xfId="14" xr:uid="{68018FE0-32E5-46ED-AFAB-661D3AD817B7}"/>
    <cellStyle name="Comma 3 3" xfId="7" xr:uid="{2736DEDF-2FCD-4466-8B88-DCA6FB8BAB12}"/>
    <cellStyle name="Comma 4" xfId="5" xr:uid="{AB1AFB9A-CA21-42C0-BAAC-AC357CA5D1CF}"/>
    <cellStyle name="Hyperlink" xfId="12" builtinId="8"/>
    <cellStyle name="Normal" xfId="0" builtinId="0"/>
    <cellStyle name="Normal 13" xfId="13" xr:uid="{19BDE64B-A576-4191-8DF0-4CBAE97A39A9}"/>
    <cellStyle name="Normal 2" xfId="3" xr:uid="{4FC98E59-201E-471A-8774-F2CE750C1D6C}"/>
    <cellStyle name="Normal 2 25 2" xfId="9" xr:uid="{0FAA60A0-F7C9-447E-9B12-F4F1FD71D2EB}"/>
    <cellStyle name="Percent" xfId="2" builtinId="5"/>
  </cellStyles>
  <dxfs count="128">
    <dxf>
      <font>
        <color rgb="FF9C0006"/>
      </font>
      <fill>
        <patternFill>
          <bgColor rgb="FFFFC7CE"/>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ill>
        <patternFill>
          <bgColor theme="5" tint="0.59996337778862885"/>
        </patternFill>
      </fill>
    </dxf>
    <dxf>
      <fill>
        <patternFill>
          <bgColor theme="5"/>
        </patternFill>
      </fill>
    </dxf>
    <dxf>
      <fill>
        <patternFill>
          <bgColor theme="7" tint="0.39994506668294322"/>
        </patternFill>
      </fill>
    </dxf>
    <dxf>
      <fill>
        <patternFill>
          <bgColor theme="5" tint="0.59996337778862885"/>
        </patternFill>
      </fill>
    </dxf>
    <dxf>
      <fill>
        <patternFill>
          <bgColor theme="5"/>
        </patternFill>
      </fill>
    </dxf>
    <dxf>
      <fill>
        <patternFill>
          <bgColor rgb="FFF8925A"/>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0" formatCode="General"/>
      <fill>
        <patternFill patternType="solid">
          <fgColor auto="1"/>
          <bgColor theme="4" tint="0.79998168889431442"/>
        </patternFill>
      </fill>
    </dxf>
    <dxf>
      <fill>
        <patternFill>
          <bgColor theme="7" tint="0.79998168889431442"/>
        </patternFill>
      </fill>
    </dxf>
    <dxf>
      <fill>
        <patternFill>
          <bgColor theme="6" tint="0.39994506668294322"/>
        </patternFill>
      </fill>
      <border>
        <left style="thin">
          <color auto="1"/>
        </left>
        <right style="thin">
          <color auto="1"/>
        </right>
        <top style="thin">
          <color auto="1"/>
        </top>
        <bottom style="thin">
          <color auto="1"/>
        </bottom>
        <vertical/>
        <horizontal/>
      </border>
    </dxf>
    <dxf>
      <fill>
        <patternFill>
          <bgColor theme="4" tint="0.59996337778862885"/>
        </patternFill>
      </fill>
      <border>
        <left style="thin">
          <color auto="1"/>
        </left>
        <right style="thin">
          <color auto="1"/>
        </right>
        <top style="thin">
          <color auto="1"/>
        </top>
        <bottom style="thin">
          <color auto="1"/>
        </bottom>
      </border>
    </dxf>
    <dxf>
      <fill>
        <patternFill>
          <bgColor theme="8" tint="0.39994506668294322"/>
        </patternFill>
      </fill>
      <border>
        <left style="thin">
          <color auto="1"/>
        </left>
        <right style="thin">
          <color auto="1"/>
        </right>
        <top style="thin">
          <color auto="1"/>
        </top>
        <bottom style="thin">
          <color auto="1"/>
        </bottom>
      </border>
    </dxf>
    <dxf>
      <fill>
        <patternFill>
          <bgColor theme="4"/>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rgb="FFF79D79"/>
        </patternFill>
      </fill>
    </dxf>
    <dxf>
      <fill>
        <patternFill>
          <bgColor rgb="FF00CC00"/>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
      <font>
        <b/>
        <i/>
      </font>
      <fill>
        <patternFill>
          <bgColor rgb="FFE93A17"/>
        </patternFill>
      </fill>
    </dxf>
    <dxf>
      <font>
        <color rgb="FF006100"/>
      </font>
      <fill>
        <patternFill>
          <bgColor rgb="FFC6EFCE"/>
        </patternFill>
      </fill>
    </dxf>
    <dxf>
      <font>
        <color rgb="FF9C0006"/>
      </font>
      <fill>
        <patternFill>
          <bgColor rgb="FFFFC7CE"/>
        </patternFill>
      </fill>
    </dxf>
    <dxf>
      <fill>
        <patternFill>
          <bgColor rgb="FF58FAB1"/>
        </patternFill>
      </fill>
    </dxf>
    <dxf>
      <fill>
        <patternFill>
          <bgColor rgb="FFE77D7D"/>
        </patternFill>
      </fill>
    </dxf>
    <dxf>
      <font>
        <b/>
      </font>
    </dxf>
    <dxf>
      <font>
        <b/>
      </font>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9" formatCode="dd/mm/yyyy"/>
      <fill>
        <patternFill patternType="none">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bottom/>
      </border>
    </dxf>
    <dxf>
      <numFmt numFmtId="0" formatCode="General"/>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9" formatCode="dd/mm/yyyy"/>
      <fill>
        <patternFill patternType="none">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5" formatCode="_ * #,##0.00_ ;_ * \-#,##0.00_ ;_ * &quot;-&quot;??_ ;_ @_ "/>
      <fill>
        <patternFill patternType="none">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7" tint="0.79998168889431442"/>
        </patternFill>
      </fill>
    </dxf>
    <dxf>
      <numFmt numFmtId="0" formatCode="General"/>
      <fill>
        <patternFill patternType="solid">
          <fgColor indexed="64"/>
          <bgColor theme="4"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4"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border diagonalUp="0" diagonalDown="0">
        <left style="medium">
          <color indexed="64"/>
        </left>
        <right style="medium">
          <color indexed="64"/>
        </right>
        <top style="medium">
          <color indexed="64"/>
        </top>
        <bottom style="medium">
          <color indexed="64"/>
        </bottom>
      </border>
    </dxf>
    <dxf>
      <fill>
        <patternFill patternType="solid">
          <fgColor indexed="64"/>
          <bgColor theme="7" tint="0.79998168889431442"/>
        </patternFill>
      </fill>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39997558519241921"/>
        </patternFill>
      </fill>
      <border diagonalUp="0" diagonalDown="0" outline="0">
        <left style="thin">
          <color indexed="64"/>
        </left>
        <right style="thin">
          <color indexed="64"/>
        </right>
        <top/>
        <bottom/>
      </border>
    </dxf>
    <dxf>
      <fill>
        <patternFill patternType="solid">
          <fgColor indexed="64"/>
          <bgColor theme="7" tint="0.79998168889431442"/>
        </patternFill>
      </fill>
    </dxf>
    <dxf>
      <numFmt numFmtId="0" formatCode="General"/>
      <fill>
        <patternFill patternType="solid">
          <fgColor indexed="64"/>
          <bgColor theme="4"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numFmt numFmtId="0" formatCode="General"/>
      <fill>
        <patternFill patternType="solid">
          <fgColor indexed="64"/>
          <bgColor theme="4"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border diagonalUp="0" diagonalDown="0">
        <left style="medium">
          <color indexed="64"/>
        </left>
        <right style="medium">
          <color indexed="64"/>
        </right>
        <top style="medium">
          <color indexed="64"/>
        </top>
        <bottom style="medium">
          <color indexed="64"/>
        </bottom>
      </border>
    </dxf>
    <dxf>
      <fill>
        <patternFill patternType="solid">
          <fgColor indexed="64"/>
          <bgColor theme="7" tint="0.79998168889431442"/>
        </patternFill>
      </fill>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39997558519241921"/>
        </patternFill>
      </fill>
      <border diagonalUp="0" diagonalDown="0" outline="0">
        <left style="thin">
          <color indexed="64"/>
        </left>
        <right style="thin">
          <color indexed="64"/>
        </right>
        <top/>
        <bottom/>
      </border>
    </dxf>
  </dxfs>
  <tableStyles count="0" defaultTableStyle="TableStyleMedium2" defaultPivotStyle="PivotStyleLight16"/>
  <colors>
    <mruColors>
      <color rgb="FFFF7C80"/>
      <color rgb="FFFF3300"/>
      <color rgb="FFF8925A"/>
      <color rgb="FF9966FF"/>
      <color rgb="FF00CC00"/>
      <color rgb="FFF79D79"/>
      <color rgb="FF73A0F9"/>
      <color rgb="FF62F5FC"/>
      <color rgb="FFE77D7D"/>
      <color rgb="FF58FA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10</xdr:col>
      <xdr:colOff>0</xdr:colOff>
      <xdr:row>24</xdr:row>
      <xdr:rowOff>133350</xdr:rowOff>
    </xdr:from>
    <xdr:to>
      <xdr:col>11</xdr:col>
      <xdr:colOff>0</xdr:colOff>
      <xdr:row>24</xdr:row>
      <xdr:rowOff>133350</xdr:rowOff>
    </xdr:to>
    <xdr:cxnSp macro="">
      <xdr:nvCxnSpPr>
        <xdr:cNvPr id="8" name="Straight Arrow Connector 7">
          <a:extLst>
            <a:ext uri="{FF2B5EF4-FFF2-40B4-BE49-F238E27FC236}">
              <a16:creationId xmlns:a16="http://schemas.microsoft.com/office/drawing/2014/main" id="{8C0B72F4-0F0E-F592-6DA1-B9BC84EAB0BF}"/>
            </a:ext>
          </a:extLst>
        </xdr:cNvPr>
        <xdr:cNvCxnSpPr/>
      </xdr:nvCxnSpPr>
      <xdr:spPr>
        <a:xfrm>
          <a:off x="10315575" y="501967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0</xdr:colOff>
      <xdr:row>59</xdr:row>
      <xdr:rowOff>114300</xdr:rowOff>
    </xdr:from>
    <xdr:to>
      <xdr:col>11</xdr:col>
      <xdr:colOff>0</xdr:colOff>
      <xdr:row>59</xdr:row>
      <xdr:rowOff>114300</xdr:rowOff>
    </xdr:to>
    <xdr:cxnSp macro="">
      <xdr:nvCxnSpPr>
        <xdr:cNvPr id="7" name="Straight Arrow Connector 6">
          <a:extLst>
            <a:ext uri="{FF2B5EF4-FFF2-40B4-BE49-F238E27FC236}">
              <a16:creationId xmlns:a16="http://schemas.microsoft.com/office/drawing/2014/main" id="{771E5001-FFB4-4860-8B97-BA6C254DFAFB}"/>
            </a:ext>
          </a:extLst>
        </xdr:cNvPr>
        <xdr:cNvCxnSpPr/>
      </xdr:nvCxnSpPr>
      <xdr:spPr>
        <a:xfrm>
          <a:off x="10315575" y="1174432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0</xdr:colOff>
      <xdr:row>78</xdr:row>
      <xdr:rowOff>114300</xdr:rowOff>
    </xdr:from>
    <xdr:to>
      <xdr:col>11</xdr:col>
      <xdr:colOff>0</xdr:colOff>
      <xdr:row>78</xdr:row>
      <xdr:rowOff>114300</xdr:rowOff>
    </xdr:to>
    <xdr:cxnSp macro="">
      <xdr:nvCxnSpPr>
        <xdr:cNvPr id="12" name="Straight Arrow Connector 11">
          <a:extLst>
            <a:ext uri="{FF2B5EF4-FFF2-40B4-BE49-F238E27FC236}">
              <a16:creationId xmlns:a16="http://schemas.microsoft.com/office/drawing/2014/main" id="{4097CE2F-7F66-4D17-A29C-48CB31464E6B}"/>
            </a:ext>
          </a:extLst>
        </xdr:cNvPr>
        <xdr:cNvCxnSpPr/>
      </xdr:nvCxnSpPr>
      <xdr:spPr>
        <a:xfrm>
          <a:off x="10315575" y="1174432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0</xdr:colOff>
      <xdr:row>121</xdr:row>
      <xdr:rowOff>114300</xdr:rowOff>
    </xdr:from>
    <xdr:to>
      <xdr:col>11</xdr:col>
      <xdr:colOff>0</xdr:colOff>
      <xdr:row>121</xdr:row>
      <xdr:rowOff>114300</xdr:rowOff>
    </xdr:to>
    <xdr:cxnSp macro="">
      <xdr:nvCxnSpPr>
        <xdr:cNvPr id="2" name="Straight Arrow Connector 1">
          <a:extLst>
            <a:ext uri="{FF2B5EF4-FFF2-40B4-BE49-F238E27FC236}">
              <a16:creationId xmlns:a16="http://schemas.microsoft.com/office/drawing/2014/main" id="{4FAD86D4-266F-49B8-98BD-EC9ACE14F40B}"/>
            </a:ext>
          </a:extLst>
        </xdr:cNvPr>
        <xdr:cNvCxnSpPr/>
      </xdr:nvCxnSpPr>
      <xdr:spPr>
        <a:xfrm>
          <a:off x="10315575" y="1521142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28</xdr:row>
      <xdr:rowOff>133350</xdr:rowOff>
    </xdr:from>
    <xdr:to>
      <xdr:col>16</xdr:col>
      <xdr:colOff>0</xdr:colOff>
      <xdr:row>28</xdr:row>
      <xdr:rowOff>133350</xdr:rowOff>
    </xdr:to>
    <xdr:cxnSp macro="">
      <xdr:nvCxnSpPr>
        <xdr:cNvPr id="3" name="Straight Arrow Connector 2">
          <a:extLst>
            <a:ext uri="{FF2B5EF4-FFF2-40B4-BE49-F238E27FC236}">
              <a16:creationId xmlns:a16="http://schemas.microsoft.com/office/drawing/2014/main" id="{0ED3A1EE-4DD2-4364-9BFC-541358B71AA6}"/>
            </a:ext>
          </a:extLst>
        </xdr:cNvPr>
        <xdr:cNvCxnSpPr/>
      </xdr:nvCxnSpPr>
      <xdr:spPr>
        <a:xfrm>
          <a:off x="10315575" y="501967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15</xdr:col>
      <xdr:colOff>0</xdr:colOff>
      <xdr:row>10</xdr:row>
      <xdr:rowOff>133350</xdr:rowOff>
    </xdr:from>
    <xdr:to>
      <xdr:col>16</xdr:col>
      <xdr:colOff>0</xdr:colOff>
      <xdr:row>10</xdr:row>
      <xdr:rowOff>133350</xdr:rowOff>
    </xdr:to>
    <xdr:cxnSp macro="">
      <xdr:nvCxnSpPr>
        <xdr:cNvPr id="4" name="Straight Arrow Connector 3">
          <a:extLst>
            <a:ext uri="{FF2B5EF4-FFF2-40B4-BE49-F238E27FC236}">
              <a16:creationId xmlns:a16="http://schemas.microsoft.com/office/drawing/2014/main" id="{D804D8BA-9C3C-490D-ADF3-142ADD06C29C}"/>
            </a:ext>
          </a:extLst>
        </xdr:cNvPr>
        <xdr:cNvCxnSpPr/>
      </xdr:nvCxnSpPr>
      <xdr:spPr>
        <a:xfrm>
          <a:off x="10315575" y="501967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15</xdr:col>
      <xdr:colOff>0</xdr:colOff>
      <xdr:row>39</xdr:row>
      <xdr:rowOff>133350</xdr:rowOff>
    </xdr:from>
    <xdr:to>
      <xdr:col>16</xdr:col>
      <xdr:colOff>0</xdr:colOff>
      <xdr:row>39</xdr:row>
      <xdr:rowOff>133350</xdr:rowOff>
    </xdr:to>
    <xdr:cxnSp macro="">
      <xdr:nvCxnSpPr>
        <xdr:cNvPr id="2" name="Straight Arrow Connector 1">
          <a:extLst>
            <a:ext uri="{FF2B5EF4-FFF2-40B4-BE49-F238E27FC236}">
              <a16:creationId xmlns:a16="http://schemas.microsoft.com/office/drawing/2014/main" id="{CCB37466-4DCE-486D-9B95-3E70C7071FFB}"/>
            </a:ext>
          </a:extLst>
        </xdr:cNvPr>
        <xdr:cNvCxnSpPr/>
      </xdr:nvCxnSpPr>
      <xdr:spPr>
        <a:xfrm>
          <a:off x="20002500" y="6877050"/>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15</xdr:col>
      <xdr:colOff>0</xdr:colOff>
      <xdr:row>54</xdr:row>
      <xdr:rowOff>133350</xdr:rowOff>
    </xdr:from>
    <xdr:to>
      <xdr:col>16</xdr:col>
      <xdr:colOff>0</xdr:colOff>
      <xdr:row>54</xdr:row>
      <xdr:rowOff>133350</xdr:rowOff>
    </xdr:to>
    <xdr:cxnSp macro="">
      <xdr:nvCxnSpPr>
        <xdr:cNvPr id="5" name="Straight Arrow Connector 4">
          <a:extLst>
            <a:ext uri="{FF2B5EF4-FFF2-40B4-BE49-F238E27FC236}">
              <a16:creationId xmlns:a16="http://schemas.microsoft.com/office/drawing/2014/main" id="{E940CB8F-B9C4-4B98-A19C-070A8AC2EE48}"/>
            </a:ext>
          </a:extLst>
        </xdr:cNvPr>
        <xdr:cNvCxnSpPr/>
      </xdr:nvCxnSpPr>
      <xdr:spPr>
        <a:xfrm>
          <a:off x="20002500" y="989647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61</xdr:row>
      <xdr:rowOff>133350</xdr:rowOff>
    </xdr:from>
    <xdr:to>
      <xdr:col>12</xdr:col>
      <xdr:colOff>0</xdr:colOff>
      <xdr:row>61</xdr:row>
      <xdr:rowOff>133350</xdr:rowOff>
    </xdr:to>
    <xdr:cxnSp macro="">
      <xdr:nvCxnSpPr>
        <xdr:cNvPr id="7" name="Straight Arrow Connector 6">
          <a:extLst>
            <a:ext uri="{FF2B5EF4-FFF2-40B4-BE49-F238E27FC236}">
              <a16:creationId xmlns:a16="http://schemas.microsoft.com/office/drawing/2014/main" id="{C3922B14-6201-4A8E-9EDE-03033CE04762}"/>
            </a:ext>
          </a:extLst>
        </xdr:cNvPr>
        <xdr:cNvCxnSpPr/>
      </xdr:nvCxnSpPr>
      <xdr:spPr>
        <a:xfrm>
          <a:off x="10315575" y="501967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0</xdr:colOff>
      <xdr:row>54</xdr:row>
      <xdr:rowOff>133350</xdr:rowOff>
    </xdr:from>
    <xdr:to>
      <xdr:col>12</xdr:col>
      <xdr:colOff>0</xdr:colOff>
      <xdr:row>54</xdr:row>
      <xdr:rowOff>133350</xdr:rowOff>
    </xdr:to>
    <xdr:cxnSp macro="">
      <xdr:nvCxnSpPr>
        <xdr:cNvPr id="8" name="Straight Arrow Connector 7">
          <a:extLst>
            <a:ext uri="{FF2B5EF4-FFF2-40B4-BE49-F238E27FC236}">
              <a16:creationId xmlns:a16="http://schemas.microsoft.com/office/drawing/2014/main" id="{276879DC-30DC-4BAF-8F0B-A2BC340AB8D1}"/>
            </a:ext>
          </a:extLst>
        </xdr:cNvPr>
        <xdr:cNvCxnSpPr/>
      </xdr:nvCxnSpPr>
      <xdr:spPr>
        <a:xfrm>
          <a:off x="10315575" y="501967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0</xdr:colOff>
      <xdr:row>17</xdr:row>
      <xdr:rowOff>133350</xdr:rowOff>
    </xdr:from>
    <xdr:to>
      <xdr:col>12</xdr:col>
      <xdr:colOff>0</xdr:colOff>
      <xdr:row>17</xdr:row>
      <xdr:rowOff>133350</xdr:rowOff>
    </xdr:to>
    <xdr:cxnSp macro="">
      <xdr:nvCxnSpPr>
        <xdr:cNvPr id="9" name="Straight Arrow Connector 8">
          <a:extLst>
            <a:ext uri="{FF2B5EF4-FFF2-40B4-BE49-F238E27FC236}">
              <a16:creationId xmlns:a16="http://schemas.microsoft.com/office/drawing/2014/main" id="{460B2F07-23D1-4C53-A3DD-173EED299DF1}"/>
            </a:ext>
          </a:extLst>
        </xdr:cNvPr>
        <xdr:cNvCxnSpPr/>
      </xdr:nvCxnSpPr>
      <xdr:spPr>
        <a:xfrm>
          <a:off x="10315575" y="501967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0</xdr:colOff>
      <xdr:row>8</xdr:row>
      <xdr:rowOff>133350</xdr:rowOff>
    </xdr:from>
    <xdr:to>
      <xdr:col>12</xdr:col>
      <xdr:colOff>0</xdr:colOff>
      <xdr:row>8</xdr:row>
      <xdr:rowOff>133350</xdr:rowOff>
    </xdr:to>
    <xdr:cxnSp macro="">
      <xdr:nvCxnSpPr>
        <xdr:cNvPr id="10" name="Straight Arrow Connector 9">
          <a:extLst>
            <a:ext uri="{FF2B5EF4-FFF2-40B4-BE49-F238E27FC236}">
              <a16:creationId xmlns:a16="http://schemas.microsoft.com/office/drawing/2014/main" id="{B360C1F5-54DB-490C-8FE5-B50157F68D42}"/>
            </a:ext>
          </a:extLst>
        </xdr:cNvPr>
        <xdr:cNvCxnSpPr/>
      </xdr:nvCxnSpPr>
      <xdr:spPr>
        <a:xfrm>
          <a:off x="10315575" y="501967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0</xdr:colOff>
      <xdr:row>39</xdr:row>
      <xdr:rowOff>133350</xdr:rowOff>
    </xdr:from>
    <xdr:to>
      <xdr:col>12</xdr:col>
      <xdr:colOff>0</xdr:colOff>
      <xdr:row>39</xdr:row>
      <xdr:rowOff>133350</xdr:rowOff>
    </xdr:to>
    <xdr:cxnSp macro="">
      <xdr:nvCxnSpPr>
        <xdr:cNvPr id="11" name="Straight Arrow Connector 10">
          <a:extLst>
            <a:ext uri="{FF2B5EF4-FFF2-40B4-BE49-F238E27FC236}">
              <a16:creationId xmlns:a16="http://schemas.microsoft.com/office/drawing/2014/main" id="{0F5E6BB2-581B-4E3C-8799-C141C75DA9E0}"/>
            </a:ext>
          </a:extLst>
        </xdr:cNvPr>
        <xdr:cNvCxnSpPr/>
      </xdr:nvCxnSpPr>
      <xdr:spPr>
        <a:xfrm>
          <a:off x="12031579" y="333876"/>
          <a:ext cx="61160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8</xdr:row>
      <xdr:rowOff>133350</xdr:rowOff>
    </xdr:from>
    <xdr:to>
      <xdr:col>8</xdr:col>
      <xdr:colOff>0</xdr:colOff>
      <xdr:row>8</xdr:row>
      <xdr:rowOff>133350</xdr:rowOff>
    </xdr:to>
    <xdr:cxnSp macro="">
      <xdr:nvCxnSpPr>
        <xdr:cNvPr id="3" name="Straight Arrow Connector 2">
          <a:extLst>
            <a:ext uri="{FF2B5EF4-FFF2-40B4-BE49-F238E27FC236}">
              <a16:creationId xmlns:a16="http://schemas.microsoft.com/office/drawing/2014/main" id="{F70B9128-59DE-4B3B-9089-F713CC4DF023}"/>
            </a:ext>
          </a:extLst>
        </xdr:cNvPr>
        <xdr:cNvCxnSpPr/>
      </xdr:nvCxnSpPr>
      <xdr:spPr>
        <a:xfrm>
          <a:off x="12020550" y="13239750"/>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0</xdr:colOff>
      <xdr:row>74</xdr:row>
      <xdr:rowOff>133350</xdr:rowOff>
    </xdr:from>
    <xdr:to>
      <xdr:col>8</xdr:col>
      <xdr:colOff>0</xdr:colOff>
      <xdr:row>74</xdr:row>
      <xdr:rowOff>133350</xdr:rowOff>
    </xdr:to>
    <xdr:cxnSp macro="">
      <xdr:nvCxnSpPr>
        <xdr:cNvPr id="2" name="Straight Arrow Connector 1">
          <a:extLst>
            <a:ext uri="{FF2B5EF4-FFF2-40B4-BE49-F238E27FC236}">
              <a16:creationId xmlns:a16="http://schemas.microsoft.com/office/drawing/2014/main" id="{4E39EAC0-8C29-45A8-B2B4-79B37E0F6D63}"/>
            </a:ext>
          </a:extLst>
        </xdr:cNvPr>
        <xdr:cNvCxnSpPr/>
      </xdr:nvCxnSpPr>
      <xdr:spPr>
        <a:xfrm>
          <a:off x="8477250" y="1333500"/>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0</xdr:colOff>
      <xdr:row>18</xdr:row>
      <xdr:rowOff>133350</xdr:rowOff>
    </xdr:from>
    <xdr:to>
      <xdr:col>8</xdr:col>
      <xdr:colOff>0</xdr:colOff>
      <xdr:row>18</xdr:row>
      <xdr:rowOff>133350</xdr:rowOff>
    </xdr:to>
    <xdr:cxnSp macro="">
      <xdr:nvCxnSpPr>
        <xdr:cNvPr id="4" name="Straight Arrow Connector 3">
          <a:extLst>
            <a:ext uri="{FF2B5EF4-FFF2-40B4-BE49-F238E27FC236}">
              <a16:creationId xmlns:a16="http://schemas.microsoft.com/office/drawing/2014/main" id="{69EE7256-06E2-4109-B0B4-2949D982CC4F}"/>
            </a:ext>
          </a:extLst>
        </xdr:cNvPr>
        <xdr:cNvCxnSpPr/>
      </xdr:nvCxnSpPr>
      <xdr:spPr>
        <a:xfrm>
          <a:off x="8477250" y="1333500"/>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29</xdr:row>
      <xdr:rowOff>133350</xdr:rowOff>
    </xdr:from>
    <xdr:to>
      <xdr:col>13</xdr:col>
      <xdr:colOff>0</xdr:colOff>
      <xdr:row>29</xdr:row>
      <xdr:rowOff>133350</xdr:rowOff>
    </xdr:to>
    <xdr:cxnSp macro="">
      <xdr:nvCxnSpPr>
        <xdr:cNvPr id="2" name="Straight Arrow Connector 1">
          <a:extLst>
            <a:ext uri="{FF2B5EF4-FFF2-40B4-BE49-F238E27FC236}">
              <a16:creationId xmlns:a16="http://schemas.microsoft.com/office/drawing/2014/main" id="{8510831B-AD16-4553-A416-DFB5CB1F2EBD}"/>
            </a:ext>
          </a:extLst>
        </xdr:cNvPr>
        <xdr:cNvCxnSpPr/>
      </xdr:nvCxnSpPr>
      <xdr:spPr>
        <a:xfrm>
          <a:off x="20002500" y="2095500"/>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7.283521412035" createdVersion="8" refreshedVersion="8" minRefreshableVersion="3" recordCount="30" xr:uid="{3736EA47-B0F5-4A9A-AB18-5AC59C397420}">
  <cacheSource type="worksheet">
    <worksheetSource name="Table2"/>
  </cacheSource>
  <cacheFields count="23">
    <cacheField name="S.No" numFmtId="0">
      <sharedItems containsNonDate="0" containsString="0" containsBlank="1"/>
    </cacheField>
    <cacheField name="Year" numFmtId="2">
      <sharedItems containsNonDate="0" containsString="0" containsBlank="1"/>
    </cacheField>
    <cacheField name="Major head" numFmtId="2">
      <sharedItems containsBlank="1" count="8">
        <s v="Electrical Instalation"/>
        <s v="Land &amp; Building"/>
        <s v="Testing Equipment"/>
        <s v="Vehicle"/>
        <s v="Furniture &amp; Fixture"/>
        <s v="Office Equipments"/>
        <s v="Plant &amp; Machinery"/>
        <m/>
      </sharedItems>
    </cacheField>
    <cacheField name="Asset Name in Books" numFmtId="2">
      <sharedItems containsNonDate="0" containsString="0" containsBlank="1"/>
    </cacheField>
    <cacheField name="Date of Put to Use" numFmtId="14">
      <sharedItems containsNonDate="0" containsString="0" containsBlank="1"/>
    </cacheField>
    <cacheField name="Life as per company act" numFmtId="2">
      <sharedItems containsNonDate="0" containsString="0" containsBlank="1"/>
    </cacheField>
    <cacheField name="Life Elaspe" numFmtId="2">
      <sharedItems containsString="0" containsBlank="1" containsNumber="1" minValue="2.7777777777777779E-3" maxValue="2.7777777777777779E-3"/>
    </cacheField>
    <cacheField name="Balance Life" numFmtId="164">
      <sharedItems containsString="0" containsBlank="1" containsNumber="1" minValue="-2.7777777777777779E-3" maxValue="-2.7777777777777779E-3"/>
    </cacheField>
    <cacheField name="Original Cost of Assets" numFmtId="164">
      <sharedItems containsNonDate="0" containsString="0" containsBlank="1"/>
    </cacheField>
    <cacheField name="Cumulative Depreciation as on the 1st day of year" numFmtId="43">
      <sharedItems containsNonDate="0" containsString="0" containsBlank="1"/>
    </cacheField>
    <cacheField name=" Balance as on 1st day of the year" numFmtId="43">
      <sharedItems containsNonDate="0" containsString="0" containsBlank="1"/>
    </cacheField>
    <cacheField name="Addition during the year" numFmtId="43">
      <sharedItems containsNonDate="0" containsString="0" containsBlank="1"/>
    </cacheField>
    <cacheField name="Salvage Value_x000a_5% of original Cost" numFmtId="43">
      <sharedItems containsString="0" containsBlank="1" containsNumber="1" containsInteger="1" minValue="0" maxValue="0"/>
    </cacheField>
    <cacheField name="Sales Details" numFmtId="43">
      <sharedItems containsNonDate="0" containsString="0" containsBlank="1"/>
    </cacheField>
    <cacheField name="sale date check" numFmtId="14">
      <sharedItems containsNonDate="0" containsString="0" containsBlank="1"/>
    </cacheField>
    <cacheField name="Sale/ Transfer During the Year" numFmtId="43">
      <sharedItems containsNonDate="0" containsString="0" containsBlank="1"/>
    </cacheField>
    <cacheField name="Balance that will be depreciated over useful life of Asset" numFmtId="43">
      <sharedItems containsString="0" containsBlank="1" containsNumber="1" containsInteger="1" minValue="0" maxValue="0"/>
    </cacheField>
    <cacheField name="Broken Period" numFmtId="2">
      <sharedItems containsString="0" containsBlank="1" containsNumber="1" containsInteger="1" minValue="0" maxValue="0"/>
    </cacheField>
    <cacheField name="Depreciation Calculation" numFmtId="43">
      <sharedItems containsString="0" containsBlank="1" containsNumber="1" containsInteger="1" minValue="0" maxValue="0"/>
    </cacheField>
    <cacheField name="Depreciation  for the Year" numFmtId="43">
      <sharedItems containsString="0" containsBlank="1" containsNumber="1" containsInteger="1" minValue="0" maxValue="0"/>
    </cacheField>
    <cacheField name="Balance as on last day of FY" numFmtId="2">
      <sharedItems containsSemiMixedTypes="0" containsString="0" containsNumber="1" containsInteger="1" minValue="0" maxValue="0"/>
    </cacheField>
    <cacheField name="Cost of Asset sold during the year" numFmtId="0">
      <sharedItems containsString="0" containsBlank="1" containsNumber="1" containsInteger="1" minValue="0" maxValue="0"/>
    </cacheField>
    <cacheField name="Total Depreciation on sold out Asset"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7.28352164352" createdVersion="8" refreshedVersion="8" minRefreshableVersion="3" recordCount="30" xr:uid="{0C2554E0-9CA2-4E3B-BDB8-6DCE9083E0F1}">
  <cacheSource type="worksheet">
    <worksheetSource name="Table22"/>
  </cacheSource>
  <cacheFields count="23">
    <cacheField name="S.No" numFmtId="0">
      <sharedItems containsNonDate="0" containsString="0" containsBlank="1"/>
    </cacheField>
    <cacheField name="Year" numFmtId="2">
      <sharedItems containsNonDate="0" containsString="0" containsBlank="1"/>
    </cacheField>
    <cacheField name="Major head" numFmtId="2">
      <sharedItems containsBlank="1" count="10">
        <s v=" Goodwill"/>
        <s v=" Brands /Trademarks"/>
        <s v=" Computer Software"/>
        <s v=" Mastheads And Publishing Titles"/>
        <s v=" Mining Rights"/>
        <s v="Copyrights, And Patents And Other Intellectual Property Rights, _x000a_Services And Operating Rights"/>
        <s v=" Recipes, Formulae, Models, Designs And Prototypes"/>
        <s v=" Licences And Franchise"/>
        <s v=" Others (Specify Nature)"/>
        <m/>
      </sharedItems>
    </cacheField>
    <cacheField name="Asset Name in Books" numFmtId="2">
      <sharedItems containsNonDate="0" containsString="0" containsBlank="1"/>
    </cacheField>
    <cacheField name="Date of Put to Use" numFmtId="14">
      <sharedItems containsNonDate="0" containsString="0" containsBlank="1"/>
    </cacheField>
    <cacheField name="Life as per company act" numFmtId="2">
      <sharedItems containsNonDate="0" containsString="0" containsBlank="1"/>
    </cacheField>
    <cacheField name="Life Elaspe" numFmtId="2">
      <sharedItems containsString="0" containsBlank="1" containsNumber="1" minValue="122.25277777777778" maxValue="122.25277777777778"/>
    </cacheField>
    <cacheField name="Balance Life" numFmtId="164">
      <sharedItems containsString="0" containsBlank="1" containsNumber="1" minValue="-122.25277777777778" maxValue="-122.25277777777778"/>
    </cacheField>
    <cacheField name="Original Cost of Assets" numFmtId="164">
      <sharedItems containsNonDate="0" containsString="0" containsBlank="1"/>
    </cacheField>
    <cacheField name="Cumulative Depreciation as on the 1st day of year" numFmtId="43">
      <sharedItems containsNonDate="0" containsString="0" containsBlank="1"/>
    </cacheField>
    <cacheField name=" Balance as on 1st day of the year" numFmtId="43">
      <sharedItems containsNonDate="0" containsString="0" containsBlank="1"/>
    </cacheField>
    <cacheField name="Addition during the year" numFmtId="43">
      <sharedItems containsNonDate="0" containsString="0" containsBlank="1"/>
    </cacheField>
    <cacheField name="Salvage Value_x000a_5% of original Cost" numFmtId="43">
      <sharedItems containsString="0" containsBlank="1" containsNumber="1" containsInteger="1" minValue="0" maxValue="0"/>
    </cacheField>
    <cacheField name="Sales Details" numFmtId="43">
      <sharedItems containsNonDate="0" containsString="0" containsBlank="1"/>
    </cacheField>
    <cacheField name="sale date check" numFmtId="14">
      <sharedItems containsNonDate="0" containsString="0" containsBlank="1"/>
    </cacheField>
    <cacheField name="Sale/ Transfer During the Year" numFmtId="43">
      <sharedItems containsNonDate="0" containsString="0" containsBlank="1"/>
    </cacheField>
    <cacheField name="Balance that will be depreciated over useful life of Asset" numFmtId="43">
      <sharedItems containsString="0" containsBlank="1" containsNumber="1" containsInteger="1" minValue="0" maxValue="0"/>
    </cacheField>
    <cacheField name="Broken Period" numFmtId="2">
      <sharedItems containsString="0" containsBlank="1" containsNumber="1" containsInteger="1" minValue="0" maxValue="0"/>
    </cacheField>
    <cacheField name="Depreciation Calculation" numFmtId="43">
      <sharedItems containsString="0" containsBlank="1" containsNumber="1" containsInteger="1" minValue="0" maxValue="0"/>
    </cacheField>
    <cacheField name="Depreciation  for the Year" numFmtId="43">
      <sharedItems containsString="0" containsBlank="1" containsNumber="1" containsInteger="1" minValue="0" maxValue="0"/>
    </cacheField>
    <cacheField name="Balance as on last day of FY" numFmtId="2">
      <sharedItems containsString="0" containsBlank="1" containsNumber="1" containsInteger="1" minValue="0" maxValue="0"/>
    </cacheField>
    <cacheField name="Cost of Asset sold during the year" numFmtId="0">
      <sharedItems containsString="0" containsBlank="1" containsNumber="1" containsInteger="1" minValue="0" maxValue="0"/>
    </cacheField>
    <cacheField name="Total Depreciation on sold out Asset"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m/>
    <m/>
    <x v="0"/>
    <m/>
    <m/>
    <m/>
    <n v="2.7777777777777779E-3"/>
    <n v="-2.7777777777777779E-3"/>
    <m/>
    <m/>
    <m/>
    <m/>
    <n v="0"/>
    <m/>
    <m/>
    <m/>
    <n v="0"/>
    <n v="0"/>
    <n v="0"/>
    <n v="0"/>
    <n v="0"/>
    <n v="0"/>
    <n v="0"/>
  </r>
  <r>
    <m/>
    <m/>
    <x v="1"/>
    <m/>
    <m/>
    <m/>
    <n v="2.7777777777777779E-3"/>
    <n v="-2.7777777777777779E-3"/>
    <m/>
    <m/>
    <m/>
    <m/>
    <n v="0"/>
    <m/>
    <m/>
    <m/>
    <n v="0"/>
    <n v="0"/>
    <n v="0"/>
    <n v="0"/>
    <n v="0"/>
    <n v="0"/>
    <n v="0"/>
  </r>
  <r>
    <m/>
    <m/>
    <x v="2"/>
    <m/>
    <m/>
    <m/>
    <n v="2.7777777777777779E-3"/>
    <n v="-2.7777777777777779E-3"/>
    <m/>
    <m/>
    <m/>
    <m/>
    <n v="0"/>
    <m/>
    <m/>
    <m/>
    <n v="0"/>
    <n v="0"/>
    <n v="0"/>
    <n v="0"/>
    <n v="0"/>
    <n v="0"/>
    <n v="0"/>
  </r>
  <r>
    <m/>
    <m/>
    <x v="3"/>
    <m/>
    <m/>
    <m/>
    <n v="2.7777777777777779E-3"/>
    <n v="-2.7777777777777779E-3"/>
    <m/>
    <m/>
    <m/>
    <m/>
    <n v="0"/>
    <m/>
    <m/>
    <m/>
    <n v="0"/>
    <n v="0"/>
    <n v="0"/>
    <n v="0"/>
    <n v="0"/>
    <n v="0"/>
    <n v="0"/>
  </r>
  <r>
    <m/>
    <m/>
    <x v="4"/>
    <m/>
    <m/>
    <m/>
    <n v="2.7777777777777779E-3"/>
    <n v="-2.7777777777777779E-3"/>
    <m/>
    <m/>
    <m/>
    <m/>
    <n v="0"/>
    <m/>
    <m/>
    <m/>
    <n v="0"/>
    <n v="0"/>
    <n v="0"/>
    <n v="0"/>
    <n v="0"/>
    <n v="0"/>
    <n v="0"/>
  </r>
  <r>
    <m/>
    <m/>
    <x v="5"/>
    <m/>
    <m/>
    <m/>
    <n v="2.7777777777777779E-3"/>
    <n v="-2.7777777777777779E-3"/>
    <m/>
    <m/>
    <m/>
    <m/>
    <n v="0"/>
    <m/>
    <m/>
    <m/>
    <n v="0"/>
    <n v="0"/>
    <n v="0"/>
    <n v="0"/>
    <n v="0"/>
    <n v="0"/>
    <n v="0"/>
  </r>
  <r>
    <m/>
    <m/>
    <x v="6"/>
    <m/>
    <m/>
    <m/>
    <n v="2.7777777777777779E-3"/>
    <n v="-2.7777777777777779E-3"/>
    <m/>
    <m/>
    <m/>
    <m/>
    <n v="0"/>
    <m/>
    <m/>
    <m/>
    <n v="0"/>
    <n v="0"/>
    <n v="0"/>
    <n v="0"/>
    <n v="0"/>
    <n v="0"/>
    <n v="0"/>
  </r>
  <r>
    <m/>
    <m/>
    <x v="7"/>
    <m/>
    <m/>
    <m/>
    <n v="2.7777777777777779E-3"/>
    <n v="-2.7777777777777779E-3"/>
    <m/>
    <m/>
    <m/>
    <m/>
    <n v="0"/>
    <m/>
    <m/>
    <m/>
    <n v="0"/>
    <n v="0"/>
    <n v="0"/>
    <n v="0"/>
    <n v="0"/>
    <n v="0"/>
    <n v="0"/>
  </r>
  <r>
    <m/>
    <m/>
    <x v="7"/>
    <m/>
    <m/>
    <m/>
    <m/>
    <m/>
    <m/>
    <m/>
    <m/>
    <m/>
    <m/>
    <m/>
    <m/>
    <m/>
    <m/>
    <m/>
    <m/>
    <m/>
    <n v="0"/>
    <n v="0"/>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m/>
    <m/>
    <x v="0"/>
    <m/>
    <m/>
    <m/>
    <n v="122.25277777777778"/>
    <n v="-122.25277777777778"/>
    <m/>
    <m/>
    <m/>
    <m/>
    <n v="0"/>
    <m/>
    <m/>
    <m/>
    <n v="0"/>
    <n v="0"/>
    <n v="0"/>
    <n v="0"/>
    <n v="0"/>
    <n v="0"/>
    <n v="0"/>
  </r>
  <r>
    <m/>
    <m/>
    <x v="1"/>
    <m/>
    <m/>
    <m/>
    <n v="122.25277777777778"/>
    <n v="-122.25277777777778"/>
    <m/>
    <m/>
    <m/>
    <m/>
    <n v="0"/>
    <m/>
    <m/>
    <m/>
    <n v="0"/>
    <n v="0"/>
    <n v="0"/>
    <n v="0"/>
    <n v="0"/>
    <n v="0"/>
    <n v="0"/>
  </r>
  <r>
    <m/>
    <m/>
    <x v="2"/>
    <m/>
    <m/>
    <m/>
    <n v="122.25277777777778"/>
    <n v="-122.25277777777778"/>
    <m/>
    <m/>
    <m/>
    <m/>
    <n v="0"/>
    <m/>
    <m/>
    <m/>
    <n v="0"/>
    <n v="0"/>
    <n v="0"/>
    <n v="0"/>
    <n v="0"/>
    <n v="0"/>
    <n v="0"/>
  </r>
  <r>
    <m/>
    <m/>
    <x v="3"/>
    <m/>
    <m/>
    <m/>
    <n v="122.25277777777778"/>
    <n v="-122.25277777777778"/>
    <m/>
    <m/>
    <m/>
    <m/>
    <n v="0"/>
    <m/>
    <m/>
    <m/>
    <n v="0"/>
    <n v="0"/>
    <n v="0"/>
    <n v="0"/>
    <n v="0"/>
    <n v="0"/>
    <n v="0"/>
  </r>
  <r>
    <m/>
    <m/>
    <x v="4"/>
    <m/>
    <m/>
    <m/>
    <n v="122.25277777777778"/>
    <n v="-122.25277777777778"/>
    <m/>
    <m/>
    <m/>
    <m/>
    <n v="0"/>
    <m/>
    <m/>
    <m/>
    <n v="0"/>
    <n v="0"/>
    <n v="0"/>
    <n v="0"/>
    <n v="0"/>
    <n v="0"/>
    <n v="0"/>
  </r>
  <r>
    <m/>
    <m/>
    <x v="5"/>
    <m/>
    <m/>
    <m/>
    <n v="122.25277777777778"/>
    <n v="-122.25277777777778"/>
    <m/>
    <m/>
    <m/>
    <m/>
    <n v="0"/>
    <m/>
    <m/>
    <m/>
    <n v="0"/>
    <n v="0"/>
    <n v="0"/>
    <n v="0"/>
    <n v="0"/>
    <n v="0"/>
    <n v="0"/>
  </r>
  <r>
    <m/>
    <m/>
    <x v="6"/>
    <m/>
    <m/>
    <m/>
    <n v="122.25277777777778"/>
    <n v="-122.25277777777778"/>
    <m/>
    <m/>
    <m/>
    <m/>
    <n v="0"/>
    <m/>
    <m/>
    <m/>
    <n v="0"/>
    <n v="0"/>
    <n v="0"/>
    <n v="0"/>
    <n v="0"/>
    <n v="0"/>
    <n v="0"/>
  </r>
  <r>
    <m/>
    <m/>
    <x v="7"/>
    <m/>
    <m/>
    <m/>
    <n v="122.25277777777778"/>
    <n v="-122.25277777777778"/>
    <m/>
    <m/>
    <m/>
    <m/>
    <n v="0"/>
    <m/>
    <m/>
    <m/>
    <n v="0"/>
    <n v="0"/>
    <n v="0"/>
    <n v="0"/>
    <n v="0"/>
    <n v="0"/>
    <n v="0"/>
  </r>
  <r>
    <m/>
    <m/>
    <x v="8"/>
    <m/>
    <m/>
    <m/>
    <n v="122.25277777777778"/>
    <n v="-122.25277777777778"/>
    <m/>
    <m/>
    <m/>
    <m/>
    <n v="0"/>
    <m/>
    <m/>
    <m/>
    <n v="0"/>
    <n v="0"/>
    <n v="0"/>
    <n v="0"/>
    <n v="0"/>
    <n v="0"/>
    <n v="0"/>
  </r>
  <r>
    <m/>
    <m/>
    <x v="9"/>
    <m/>
    <m/>
    <m/>
    <n v="122.25277777777778"/>
    <n v="-122.25277777777778"/>
    <m/>
    <m/>
    <m/>
    <m/>
    <n v="0"/>
    <m/>
    <m/>
    <m/>
    <n v="0"/>
    <n v="0"/>
    <n v="0"/>
    <n v="0"/>
    <n v="0"/>
    <n v="0"/>
    <n v="0"/>
  </r>
  <r>
    <m/>
    <m/>
    <x v="9"/>
    <m/>
    <m/>
    <m/>
    <m/>
    <m/>
    <m/>
    <m/>
    <m/>
    <m/>
    <m/>
    <m/>
    <m/>
    <m/>
    <n v="0"/>
    <m/>
    <m/>
    <m/>
    <m/>
    <m/>
    <m/>
  </r>
  <r>
    <m/>
    <m/>
    <x v="9"/>
    <m/>
    <m/>
    <m/>
    <m/>
    <m/>
    <m/>
    <m/>
    <m/>
    <m/>
    <m/>
    <m/>
    <m/>
    <m/>
    <n v="0"/>
    <m/>
    <m/>
    <m/>
    <m/>
    <m/>
    <m/>
  </r>
  <r>
    <m/>
    <m/>
    <x v="9"/>
    <m/>
    <m/>
    <m/>
    <m/>
    <m/>
    <m/>
    <m/>
    <m/>
    <m/>
    <m/>
    <m/>
    <m/>
    <m/>
    <n v="0"/>
    <m/>
    <m/>
    <m/>
    <m/>
    <m/>
    <m/>
  </r>
  <r>
    <m/>
    <m/>
    <x v="9"/>
    <m/>
    <m/>
    <m/>
    <m/>
    <m/>
    <m/>
    <m/>
    <m/>
    <m/>
    <m/>
    <m/>
    <m/>
    <m/>
    <n v="0"/>
    <m/>
    <m/>
    <m/>
    <m/>
    <m/>
    <m/>
  </r>
  <r>
    <m/>
    <m/>
    <x v="9"/>
    <m/>
    <m/>
    <m/>
    <m/>
    <m/>
    <m/>
    <m/>
    <m/>
    <m/>
    <m/>
    <m/>
    <m/>
    <m/>
    <n v="0"/>
    <m/>
    <m/>
    <m/>
    <m/>
    <m/>
    <m/>
  </r>
  <r>
    <m/>
    <m/>
    <x v="9"/>
    <m/>
    <m/>
    <m/>
    <m/>
    <m/>
    <m/>
    <m/>
    <m/>
    <m/>
    <m/>
    <m/>
    <m/>
    <m/>
    <n v="0"/>
    <m/>
    <m/>
    <m/>
    <m/>
    <m/>
    <m/>
  </r>
  <r>
    <m/>
    <m/>
    <x v="9"/>
    <m/>
    <m/>
    <m/>
    <m/>
    <m/>
    <m/>
    <m/>
    <m/>
    <m/>
    <m/>
    <m/>
    <m/>
    <m/>
    <n v="0"/>
    <m/>
    <m/>
    <m/>
    <m/>
    <m/>
    <m/>
  </r>
  <r>
    <m/>
    <m/>
    <x v="9"/>
    <m/>
    <m/>
    <m/>
    <m/>
    <m/>
    <m/>
    <m/>
    <m/>
    <m/>
    <m/>
    <m/>
    <m/>
    <m/>
    <n v="0"/>
    <m/>
    <m/>
    <m/>
    <m/>
    <m/>
    <m/>
  </r>
  <r>
    <m/>
    <m/>
    <x v="9"/>
    <m/>
    <m/>
    <m/>
    <m/>
    <m/>
    <m/>
    <m/>
    <m/>
    <m/>
    <m/>
    <m/>
    <m/>
    <m/>
    <n v="0"/>
    <m/>
    <m/>
    <m/>
    <m/>
    <m/>
    <m/>
  </r>
  <r>
    <m/>
    <m/>
    <x v="9"/>
    <m/>
    <m/>
    <m/>
    <m/>
    <m/>
    <m/>
    <m/>
    <m/>
    <m/>
    <m/>
    <m/>
    <m/>
    <m/>
    <n v="0"/>
    <m/>
    <m/>
    <m/>
    <m/>
    <m/>
    <m/>
  </r>
  <r>
    <m/>
    <m/>
    <x v="9"/>
    <m/>
    <m/>
    <m/>
    <m/>
    <m/>
    <m/>
    <m/>
    <m/>
    <m/>
    <m/>
    <m/>
    <m/>
    <m/>
    <m/>
    <m/>
    <m/>
    <m/>
    <m/>
    <m/>
    <m/>
  </r>
  <r>
    <m/>
    <m/>
    <x v="9"/>
    <m/>
    <m/>
    <m/>
    <m/>
    <m/>
    <m/>
    <m/>
    <m/>
    <m/>
    <m/>
    <m/>
    <m/>
    <m/>
    <m/>
    <m/>
    <m/>
    <m/>
    <m/>
    <m/>
    <m/>
  </r>
  <r>
    <m/>
    <m/>
    <x v="9"/>
    <m/>
    <m/>
    <m/>
    <m/>
    <m/>
    <m/>
    <m/>
    <m/>
    <m/>
    <m/>
    <m/>
    <m/>
    <m/>
    <m/>
    <m/>
    <m/>
    <m/>
    <m/>
    <m/>
    <m/>
  </r>
  <r>
    <m/>
    <m/>
    <x v="9"/>
    <m/>
    <m/>
    <m/>
    <m/>
    <m/>
    <m/>
    <m/>
    <m/>
    <m/>
    <m/>
    <m/>
    <m/>
    <m/>
    <m/>
    <m/>
    <m/>
    <m/>
    <m/>
    <m/>
    <m/>
  </r>
  <r>
    <m/>
    <m/>
    <x v="9"/>
    <m/>
    <m/>
    <m/>
    <m/>
    <m/>
    <m/>
    <m/>
    <m/>
    <m/>
    <m/>
    <m/>
    <m/>
    <m/>
    <m/>
    <m/>
    <m/>
    <m/>
    <m/>
    <m/>
    <m/>
  </r>
  <r>
    <m/>
    <m/>
    <x v="9"/>
    <m/>
    <m/>
    <m/>
    <m/>
    <m/>
    <m/>
    <m/>
    <m/>
    <m/>
    <m/>
    <m/>
    <m/>
    <m/>
    <m/>
    <m/>
    <m/>
    <m/>
    <m/>
    <m/>
    <m/>
  </r>
  <r>
    <m/>
    <m/>
    <x v="9"/>
    <m/>
    <m/>
    <m/>
    <m/>
    <m/>
    <m/>
    <m/>
    <m/>
    <m/>
    <m/>
    <m/>
    <m/>
    <m/>
    <m/>
    <m/>
    <m/>
    <m/>
    <m/>
    <m/>
    <m/>
  </r>
  <r>
    <m/>
    <m/>
    <x v="9"/>
    <m/>
    <m/>
    <m/>
    <m/>
    <m/>
    <m/>
    <m/>
    <m/>
    <m/>
    <m/>
    <m/>
    <m/>
    <m/>
    <m/>
    <m/>
    <m/>
    <m/>
    <m/>
    <m/>
    <m/>
  </r>
  <r>
    <m/>
    <m/>
    <x v="9"/>
    <m/>
    <m/>
    <m/>
    <m/>
    <m/>
    <m/>
    <m/>
    <m/>
    <m/>
    <m/>
    <m/>
    <m/>
    <m/>
    <m/>
    <m/>
    <m/>
    <m/>
    <m/>
    <m/>
    <n v="0"/>
  </r>
  <r>
    <m/>
    <m/>
    <x v="9"/>
    <m/>
    <m/>
    <m/>
    <m/>
    <m/>
    <m/>
    <m/>
    <m/>
    <m/>
    <m/>
    <m/>
    <m/>
    <m/>
    <m/>
    <m/>
    <m/>
    <m/>
    <m/>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12F90-2124-40A7-93D4-896E2D87A3C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I30" firstHeaderRow="0" firstDataRow="1" firstDataCol="1"/>
  <pivotFields count="23">
    <pivotField showAll="0"/>
    <pivotField showAll="0"/>
    <pivotField axis="axisRow" showAll="0">
      <items count="11">
        <item x="1"/>
        <item x="2"/>
        <item x="0"/>
        <item x="3"/>
        <item x="4"/>
        <item x="5"/>
        <item x="6"/>
        <item x="7"/>
        <item x="8"/>
        <item x="9"/>
        <item t="default"/>
      </items>
    </pivotField>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dataField="1" showAll="0"/>
    <pivotField showAll="0"/>
    <pivotField showAll="0"/>
    <pivotField showAll="0"/>
    <pivotField dataField="1" showAll="0"/>
    <pivotField dataField="1" showAll="0"/>
    <pivotField dataField="1" showAll="0"/>
    <pivotField dataField="1" showAll="0"/>
  </pivotFields>
  <rowFields count="1">
    <field x="2"/>
  </rowFields>
  <rowItems count="11">
    <i>
      <x/>
    </i>
    <i>
      <x v="1"/>
    </i>
    <i>
      <x v="2"/>
    </i>
    <i>
      <x v="3"/>
    </i>
    <i>
      <x v="4"/>
    </i>
    <i>
      <x v="5"/>
    </i>
    <i>
      <x v="6"/>
    </i>
    <i>
      <x v="7"/>
    </i>
    <i>
      <x v="8"/>
    </i>
    <i>
      <x v="9"/>
    </i>
    <i t="grand">
      <x/>
    </i>
  </rowItems>
  <colFields count="1">
    <field x="-2"/>
  </colFields>
  <colItems count="8">
    <i>
      <x/>
    </i>
    <i i="1">
      <x v="1"/>
    </i>
    <i i="2">
      <x v="2"/>
    </i>
    <i i="3">
      <x v="3"/>
    </i>
    <i i="4">
      <x v="4"/>
    </i>
    <i i="5">
      <x v="5"/>
    </i>
    <i i="6">
      <x v="6"/>
    </i>
    <i i="7">
      <x v="7"/>
    </i>
  </colItems>
  <dataFields count="8">
    <dataField name="Sum of  Balance as on 1st day of the year" fld="10" baseField="0" baseItem="0"/>
    <dataField name="Sum of Addition during the year" fld="11" baseField="2" baseItem="0"/>
    <dataField name="Sum of Sale/ Transfer During the Year" fld="15" baseField="0" baseItem="0"/>
    <dataField name="Sum of Depreciation  for the Year" fld="19" baseField="0" baseItem="0"/>
    <dataField name="Sum of Cumulative Depreciation as on the 1st day of year" fld="9" baseField="0" baseItem="0"/>
    <dataField name="Sum of Balance as on last day of FY" fld="20" baseField="0" baseItem="0"/>
    <dataField name="Sum of Cost of Asset sold during the year" fld="21" baseField="0" baseItem="0"/>
    <dataField name="Sum of Total Depreciation on sold out Asset" fld="22"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EADC86-BD72-4391-8A76-F504B0EDD8C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I15" firstHeaderRow="0" firstDataRow="1" firstDataCol="1"/>
  <pivotFields count="23">
    <pivotField showAll="0"/>
    <pivotField showAll="0"/>
    <pivotField axis="axisRow" showAll="0">
      <items count="9">
        <item x="0"/>
        <item x="4"/>
        <item x="1"/>
        <item x="5"/>
        <item x="6"/>
        <item x="2"/>
        <item x="3"/>
        <item x="7"/>
        <item t="default"/>
      </items>
    </pivotField>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dataField="1" showAll="0"/>
    <pivotField showAll="0"/>
    <pivotField showAll="0"/>
    <pivotField showAll="0"/>
    <pivotField dataField="1" showAll="0"/>
    <pivotField dataField="1" showAll="0"/>
    <pivotField dataField="1" showAll="0"/>
    <pivotField dataField="1" showAll="0"/>
  </pivotFields>
  <rowFields count="1">
    <field x="2"/>
  </rowFields>
  <rowItems count="9">
    <i>
      <x/>
    </i>
    <i>
      <x v="1"/>
    </i>
    <i>
      <x v="2"/>
    </i>
    <i>
      <x v="3"/>
    </i>
    <i>
      <x v="4"/>
    </i>
    <i>
      <x v="5"/>
    </i>
    <i>
      <x v="6"/>
    </i>
    <i>
      <x v="7"/>
    </i>
    <i t="grand">
      <x/>
    </i>
  </rowItems>
  <colFields count="1">
    <field x="-2"/>
  </colFields>
  <colItems count="8">
    <i>
      <x/>
    </i>
    <i i="1">
      <x v="1"/>
    </i>
    <i i="2">
      <x v="2"/>
    </i>
    <i i="3">
      <x v="3"/>
    </i>
    <i i="4">
      <x v="4"/>
    </i>
    <i i="5">
      <x v="5"/>
    </i>
    <i i="6">
      <x v="6"/>
    </i>
    <i i="7">
      <x v="7"/>
    </i>
  </colItems>
  <dataFields count="8">
    <dataField name="Sum of  Balance as on 1st day of the year" fld="10" baseField="0" baseItem="0"/>
    <dataField name="Sum of Addition during the year" fld="11" baseField="2" baseItem="0"/>
    <dataField name="Sum of Sale/ Transfer During the Year" fld="15" baseField="2" baseItem="0"/>
    <dataField name="Sum of Depreciation  for the Year" fld="19" baseField="0" baseItem="0"/>
    <dataField name="Sum of Cumulative Depreciation as on the 1st day of year" fld="9" baseField="0" baseItem="0"/>
    <dataField name="Sum of Balance as on last day of FY" fld="20" baseField="0" baseItem="0"/>
    <dataField name="Sum of Total Depreciation on sold out Asset" fld="22" baseField="0" baseItem="0"/>
    <dataField name="Sum of Cost of Asset sold during the year" fld="21" baseField="0" baseItem="0"/>
  </dataFields>
  <formats count="2">
    <format dxfId="53">
      <pivotArea field="2" type="button" dataOnly="0" labelOnly="1" outline="0" axis="axisRow" fieldPosition="0"/>
    </format>
    <format dxfId="52">
      <pivotArea dataOnly="0" labelOnly="1" outline="0" fieldPosition="0">
        <references count="1">
          <reference field="4294967294" count="8">
            <x v="0"/>
            <x v="1"/>
            <x v="2"/>
            <x v="3"/>
            <x v="4"/>
            <x v="5"/>
            <x v="6"/>
            <x v="7"/>
          </reference>
        </references>
      </pivotArea>
    </format>
  </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CEE03D-BC98-4FD2-9EF7-E1F473AC2D36}" name="Table3" displayName="Table3" ref="B3:J27" headerRowDxfId="127" dataDxfId="125" headerRowBorderDxfId="126" tableBorderDxfId="124">
  <autoFilter ref="B3:J27" xr:uid="{58CEE03D-BC98-4FD2-9EF7-E1F473AC2D36}"/>
  <tableColumns count="9">
    <tableColumn id="1" xr3:uid="{FDE261D6-2D7C-4C2D-B4DE-531D11E6FABD}" name="Supplier Name" totalsRowLabel="Total" dataDxfId="123"/>
    <tableColumn id="2" xr3:uid="{8F591265-B110-4451-BC7C-1E38F8D27E11}" name="Current year Amount" dataDxfId="122"/>
    <tableColumn id="8" xr3:uid="{73AA4B05-5B11-477B-8259-297A0EE8708C}" name="Payment due since" dataDxfId="121"/>
    <tableColumn id="3" xr3:uid="{68C73D55-A194-4428-AEF8-D6F4E44A63CF}" name="Ageing" dataDxfId="120">
      <calculatedColumnFormula>IF(('Control Sheet'!$C$7-Table3[[#This Row],[Payment due since]])&gt;1095,"more than 3 years",IF(('Control Sheet'!$C$7-Table3[[#This Row],[Payment due since]])&gt;730,"2year-3year",IF(('Control Sheet'!$C$7-Table3[[#This Row],[Payment due since]])&gt;365,"1year-2year","less than 1 Year")))</calculatedColumnFormula>
    </tableColumn>
    <tableColumn id="4" xr3:uid="{4E21CADB-CD13-4ABC-978C-75B4F8B12765}" name="Type" dataDxfId="119"/>
    <tableColumn id="5" xr3:uid="{61136829-6768-481E-9EA8-26FD9DDAEACD}" name="Previous Year Amount" dataDxfId="118"/>
    <tableColumn id="9" xr3:uid="{98B9B7BA-2DD6-4BC3-A145-E2ED75A139A7}" name="Payment due since " dataDxfId="117"/>
    <tableColumn id="6" xr3:uid="{7D83B044-F948-420F-BCA6-33D0CD696B1E}" name="Ageing " dataDxfId="116">
      <calculatedColumnFormula>IF(('Control Sheet'!$C$8-Table3[[#This Row],[Payment due since ]])&gt;1095,"more than 3 years",IF(('Control Sheet'!$C$8-Table3[[#This Row],[Payment due since ]])&gt;730,"2year-3year",IF(('Control Sheet'!$C$8-Table3[[#This Row],[Payment due since ]])&gt;365,"1year-2year","less than 1 Year")))</calculatedColumnFormula>
    </tableColumn>
    <tableColumn id="7" xr3:uid="{9F65D062-517B-4C27-9DFB-8750CF45A74C}" name="Type " totalsRowFunction="count" dataDxfId="115"/>
  </tableColumns>
  <tableStyleInfo name="TableStyleLight15"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7CCA93-402D-440D-9D04-FCE37195FE7F}" name="Table35" displayName="Table35" ref="L3:T27" headerRowDxfId="114" dataDxfId="112" headerRowBorderDxfId="113" tableBorderDxfId="111" headerRowCellStyle="Percent">
  <autoFilter ref="L3:T27" xr:uid="{837CCA93-402D-440D-9D04-FCE37195FE7F}"/>
  <tableColumns count="9">
    <tableColumn id="1" xr3:uid="{AB3EDEA9-3962-4B6F-A1DC-37DA0E5B9F29}" name="Buyer Name" totalsRowLabel="Total" dataDxfId="110"/>
    <tableColumn id="2" xr3:uid="{0FB4D6A1-90E6-4139-A79B-4049A5518D4B}" name="Current year Amount" dataDxfId="109"/>
    <tableColumn id="8" xr3:uid="{AE899C87-6794-4A0F-A4C4-3994E60A9686}" name="Receipt due since" dataDxfId="108"/>
    <tableColumn id="3" xr3:uid="{05849E3E-F1D4-46B7-94BB-FF459F9D6E3E}" name="Ageing" dataDxfId="107">
      <calculatedColumnFormula>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calculatedColumnFormula>
    </tableColumn>
    <tableColumn id="4" xr3:uid="{4640BB11-5FD5-4954-B795-6165A22F1B40}" name="Type" dataDxfId="106"/>
    <tableColumn id="5" xr3:uid="{3860D25A-C12B-41B2-9B99-090CB8CA38D8}" name="Previous Year Amount" dataDxfId="105"/>
    <tableColumn id="9" xr3:uid="{2E1D448E-D619-4EF6-A574-A08EE1EB4508}" name="Receipt due since " dataDxfId="104"/>
    <tableColumn id="6" xr3:uid="{1425C9BA-E5CD-474F-A2FC-28D84E7098EE}" name="Ageing " dataDxfId="103">
      <calculatedColumnFormula>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calculatedColumnFormula>
    </tableColumn>
    <tableColumn id="7" xr3:uid="{9849806A-0FD1-4300-B276-81E0A6FC5B15}" name="Type " totalsRowFunction="count" dataDxfId="102"/>
  </tableColumns>
  <tableStyleInfo name="TableStyleLight15"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AE275F-F8FD-4845-8A02-CF91C61AA029}" name="Table2" displayName="Table2" ref="A13:W43" totalsRowShown="0" headerRowDxfId="101" headerRowCellStyle="Comma 2 5">
  <autoFilter ref="A13:W43" xr:uid="{B8AE275F-F8FD-4845-8A02-CF91C61AA029}"/>
  <tableColumns count="23">
    <tableColumn id="1" xr3:uid="{54C7FB79-F9B7-4091-8D28-0A25443C706A}" name="S.No" dataDxfId="100"/>
    <tableColumn id="2" xr3:uid="{15BDBB55-D101-48FD-B4AA-EA85D3DFC13F}" name="Year of put to use" dataDxfId="99"/>
    <tableColumn id="3" xr3:uid="{587FAC41-5815-4C1D-9462-6F0DCF5B34AD}" name="Major head" dataDxfId="98"/>
    <tableColumn id="4" xr3:uid="{6A4A87C3-0538-4EB7-AF8A-648B17D1DCE6}" name="Asset Name in Books" dataDxfId="97"/>
    <tableColumn id="5" xr3:uid="{F792926D-7C83-4A21-B8F4-069EFA0DF0E4}" name="Date of Put to Use" dataDxfId="96"/>
    <tableColumn id="6" xr3:uid="{7393937A-8993-4D96-9D75-9C508FBFA28A}" name="Life as per company act" dataDxfId="95"/>
    <tableColumn id="7" xr3:uid="{9DB1933C-9517-4165-8A5A-E897998F57C2}" name="Life Elaspe" dataDxfId="94"/>
    <tableColumn id="8" xr3:uid="{7890CD44-63E9-4494-AEF6-2F73EF284A01}" name="Balance Life" dataDxfId="93" dataCellStyle="Comma 2 5"/>
    <tableColumn id="9" xr3:uid="{D7EF2B7F-E798-414F-A6AE-6F702EA30C37}" name="Original Cost of Assets" dataDxfId="92" dataCellStyle="Comma 2 5"/>
    <tableColumn id="11" xr3:uid="{06AF795B-4755-4D07-BF3F-48E55DCB0C44}" name="Cumulative Depreciation as on the 1st day of year" dataDxfId="91" dataCellStyle="Comma 4"/>
    <tableColumn id="12" xr3:uid="{CA98890B-56B6-4585-A67B-ED9722E62FEF}" name=" Balance as on 1st day of the year" dataDxfId="90" dataCellStyle="Comma 4"/>
    <tableColumn id="10" xr3:uid="{FEB11F4E-9376-4EAE-A327-D4BE85154C82}" name="Addition during the year" dataDxfId="89" dataCellStyle="Comma 4"/>
    <tableColumn id="13" xr3:uid="{5D12524C-9231-480D-8A28-37F6C0430F35}" name="Salvage Value_x000a_5% of original Cost" dataDxfId="88" dataCellStyle="Comma 4"/>
    <tableColumn id="23" xr3:uid="{952ECAC0-FC79-48C8-8758-84DB9ACFB4B2}" name="Sales Details" dataDxfId="87" dataCellStyle="Comma 4"/>
    <tableColumn id="14" xr3:uid="{EE48AE95-54E9-4966-8228-95D77D72FE9F}" name="sale date check" dataDxfId="86" dataCellStyle="Comma 4"/>
    <tableColumn id="15" xr3:uid="{61180220-D4A1-4B8E-B21D-0655DAC1A0F7}" name="Sale/ Transfer During the Year" dataDxfId="85" dataCellStyle="Comma 4"/>
    <tableColumn id="16" xr3:uid="{6084F665-C725-44A0-9E5C-66F8ED0AAC0E}" name="Balance that will be depreciated over useful life of Asset" dataDxfId="84" dataCellStyle="Comma 4"/>
    <tableColumn id="17" xr3:uid="{37BB2E3C-EE64-4F3E-BF1A-8141603B862E}" name="Broken Period" dataDxfId="83"/>
    <tableColumn id="18" xr3:uid="{DA30DA8A-5AB3-44CC-8FF0-2DE22711DA93}" name="Depreciation Calculation" dataDxfId="82" dataCellStyle="Comma 4"/>
    <tableColumn id="19" xr3:uid="{1D0F3035-617C-4D9C-8B49-57DA2D005637}" name="Depreciation  for the Year" dataDxfId="81" dataCellStyle="Comma 4"/>
    <tableColumn id="20" xr3:uid="{31922726-77E2-49A3-A1D7-1470793A9A21}" name="Balance as on last day of FY" dataDxfId="80">
      <calculatedColumnFormula>IF(OR(Table2[[#This Row],[Sales Details]]="Sold during previous years",Table2[[#This Row],[Sales Details]]="Sold in current year"),0,Table2[[#This Row],[ Balance as on 1st day of the year]]+Table2[[#This Row],[Addition during the year]]-Table2[[#This Row],[Depreciation  for the Year]])</calculatedColumnFormula>
    </tableColumn>
    <tableColumn id="21" xr3:uid="{15195261-D4E8-4584-80C8-06E07968C520}" name="Cost of Asset sold during the year" dataDxfId="79"/>
    <tableColumn id="22" xr3:uid="{32E0443F-30A2-4136-9D9B-38C39C101B2A}" name="Total Depreciation on sold out Asset" dataDxfId="78">
      <calculatedColumnFormula>IF(Table2[[#This Row],[Sales Details]]="Sold in current year",Table2[[#This Row],[Cumulative Depreciation as on the 1st day of year]]+Table2[[#This Row],[Depreciation  for the Year]],0)</calculatedColumnFormula>
    </tableColumn>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29379E-8109-4CBB-AB16-D42C63AF845D}" name="Table22" displayName="Table22" ref="A13:W43" totalsRowShown="0" headerRowDxfId="77" headerRowCellStyle="Comma 2 5">
  <autoFilter ref="A13:W43" xr:uid="{EA29379E-8109-4CBB-AB16-D42C63AF845D}"/>
  <tableColumns count="23">
    <tableColumn id="1" xr3:uid="{E0829FD8-99F7-4BE5-8A2A-8FF328E6E777}" name="S.No" dataDxfId="76"/>
    <tableColumn id="2" xr3:uid="{BF68156B-FE54-440C-A7B4-551777C0C1A7}" name="Year of put to use" dataDxfId="75"/>
    <tableColumn id="3" xr3:uid="{99C5E937-E139-4E83-8109-772ABAC6E1BB}" name="Major head" dataDxfId="74"/>
    <tableColumn id="4" xr3:uid="{2A93A22A-C945-4BBB-B50A-70DE4273DCB7}" name="Asset Name in Books" dataDxfId="73"/>
    <tableColumn id="5" xr3:uid="{AB1161EB-6057-4966-A6D3-41410A825B3B}" name="Date of Put to Use" dataDxfId="72"/>
    <tableColumn id="6" xr3:uid="{BE613426-0D27-42B6-B9ED-300C9120B0D8}" name="Life as per company act" dataDxfId="71"/>
    <tableColumn id="7" xr3:uid="{02A41515-02F3-46EA-87ED-C0A882B862E1}" name="Life Elaspe" dataDxfId="70"/>
    <tableColumn id="8" xr3:uid="{730733F0-FEBF-443F-B48F-D89452083C37}" name="Balance Life" dataDxfId="69" dataCellStyle="Comma 2 5"/>
    <tableColumn id="9" xr3:uid="{15C00BC6-A0DE-42B0-A8EC-38C872830EBF}" name="Original Cost of Assets" dataDxfId="68" dataCellStyle="Comma 2 5"/>
    <tableColumn id="11" xr3:uid="{31F3259A-8ACF-4566-AD20-BBA9BA8B6D46}" name="Cumulative Depreciation as on the 1st day of year" dataDxfId="67" dataCellStyle="Comma 4"/>
    <tableColumn id="12" xr3:uid="{F4387557-7B2F-43C7-ABCD-B907EE417DA9}" name=" Balance as on 1st day of the year" dataDxfId="66" dataCellStyle="Comma 4"/>
    <tableColumn id="10" xr3:uid="{FA6767B2-3392-4C4E-9D65-7DB18072BD13}" name="Addition during the year" dataDxfId="65" dataCellStyle="Comma 4"/>
    <tableColumn id="13" xr3:uid="{62B80216-1602-45B6-A16B-FB11E819B7EE}" name="Salvage Value_x000a_5% of original Cost" dataDxfId="64" dataCellStyle="Comma 4"/>
    <tableColumn id="23" xr3:uid="{3ADA2FC5-D248-4DA2-B0C1-3266905A7519}" name="Sales Details" dataDxfId="63" dataCellStyle="Comma 4"/>
    <tableColumn id="14" xr3:uid="{C717C14D-DD09-40E2-BBC9-366398A109F7}" name="sale date check" dataDxfId="62" dataCellStyle="Comma 4"/>
    <tableColumn id="15" xr3:uid="{98991C2C-5012-42C2-B3B9-EC9B6A57B626}" name="Sale/ Transfer During the Year" dataDxfId="61" dataCellStyle="Comma 4"/>
    <tableColumn id="16" xr3:uid="{3922D54A-E93B-4E57-AFD0-4E9BC79B0577}" name="Balance that will be depreciated over useful life of Asset" dataDxfId="60" dataCellStyle="Comma 4"/>
    <tableColumn id="17" xr3:uid="{ED7FFFE8-4953-4D1A-BE00-B893DB07F984}" name="Broken Period" dataDxfId="59"/>
    <tableColumn id="18" xr3:uid="{E8A09FA1-E69D-4C00-A445-B06E6D2539AB}" name="Depreciation Calculation" dataDxfId="58" dataCellStyle="Comma 4"/>
    <tableColumn id="19" xr3:uid="{AFB6598C-48A2-4482-B5A8-2DC943A6A77A}" name="Depreciation  for the Year" dataDxfId="57" dataCellStyle="Comma 4"/>
    <tableColumn id="20" xr3:uid="{3390BA4D-645E-458E-A2A1-5637802BA703}" name="Balance as on last day of FY" dataDxfId="56"/>
    <tableColumn id="21" xr3:uid="{7E208BFF-59EF-443E-9789-3186C8D1AB99}" name="Cost of Asset sold during the year" dataDxfId="55"/>
    <tableColumn id="22" xr3:uid="{4C8CDBDF-08E2-49C3-BCF0-22E25618E0FF}" name="Total Depreciation on sold out Asset" dataDxfId="54">
      <calculatedColumnFormula>IF(Table22[[#This Row],[Sale/ Transfer During the Year]]=0,0,Table22[[#This Row],[Depreciation  for the Year]])</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6.bin"/><Relationship Id="rId1" Type="http://schemas.openxmlformats.org/officeDocument/2006/relationships/hyperlink" Target="https://www.mca.gov.in/content/mca/global/en/acts-rules/ebooks/acts.html?act=NTk2MQ=="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www.mca.gov.in/content/mca/global/en/acts-rules/ebooks/acts.html?act=NTk2MQ==" TargetMode="External"/><Relationship Id="rId1" Type="http://schemas.openxmlformats.org/officeDocument/2006/relationships/hyperlink" Target="https://www.mca.gov.in/content/mca/global/en/acts-rules/ebooks/acts.html?act=NTk2MQ==" TargetMode="External"/><Relationship Id="rId4"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mca.gov.in/content/mca/global/en/acts-rules/ebooks/acts.html?act=NTk2MQ=="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www.mca.gov.in/content/mca/global/en/acts-rules/ebooks/acts.html?act=NTk2MQ==" TargetMode="External"/><Relationship Id="rId13" Type="http://schemas.openxmlformats.org/officeDocument/2006/relationships/hyperlink" Target="https://www.mca.gov.in/content/mca/global/en/acts-rules/ebooks/acts.html?act=NTk2MQ==" TargetMode="External"/><Relationship Id="rId3" Type="http://schemas.openxmlformats.org/officeDocument/2006/relationships/hyperlink" Target="https://www.mca.gov.in/content/mca/global/en/acts-rules/ebooks/acts.html?act=NTk2MQ==" TargetMode="External"/><Relationship Id="rId7" Type="http://schemas.openxmlformats.org/officeDocument/2006/relationships/hyperlink" Target="https://www.mca.gov.in/content/mca/global/en/acts-rules/ebooks/acts.html?act=NTk2MQ==" TargetMode="External"/><Relationship Id="rId12" Type="http://schemas.openxmlformats.org/officeDocument/2006/relationships/hyperlink" Target="https://www.mca.gov.in/content/mca/global/en/acts-rules/ebooks/acts.html?act=NTk2MQ==" TargetMode="External"/><Relationship Id="rId17" Type="http://schemas.openxmlformats.org/officeDocument/2006/relationships/hyperlink" Target="https://www.mca.gov.in/content/mca/global/en/acts-rules/ebooks/acts.html?act=NTk2MQ==" TargetMode="External"/><Relationship Id="rId2" Type="http://schemas.openxmlformats.org/officeDocument/2006/relationships/hyperlink" Target="https://www.mca.gov.in/content/mca/global/en/acts-rules/ebooks/acts.html?act=NTk2MQ==" TargetMode="External"/><Relationship Id="rId16" Type="http://schemas.openxmlformats.org/officeDocument/2006/relationships/hyperlink" Target="https://www.mca.gov.in/content/mca/global/en/acts-rules/ebooks/acts.html?act=NTk2MQ==" TargetMode="External"/><Relationship Id="rId1" Type="http://schemas.openxmlformats.org/officeDocument/2006/relationships/hyperlink" Target="https://www.mca.gov.in/content/mca/global/en/acts-rules/ebooks/acts.html?act=NTk2MQ==" TargetMode="External"/><Relationship Id="rId6" Type="http://schemas.openxmlformats.org/officeDocument/2006/relationships/hyperlink" Target="https://www.mca.gov.in/content/mca/global/en/acts-rules/ebooks/acts.html?act=NTk2MQ==" TargetMode="External"/><Relationship Id="rId11" Type="http://schemas.openxmlformats.org/officeDocument/2006/relationships/hyperlink" Target="https://www.mca.gov.in/content/mca/global/en/acts-rules/ebooks/acts.html?act=NTk2MQ==" TargetMode="External"/><Relationship Id="rId5" Type="http://schemas.openxmlformats.org/officeDocument/2006/relationships/hyperlink" Target="https://www.mca.gov.in/content/mca/global/en/acts-rules/ebooks/acts.html?act=NTk2MQ==" TargetMode="External"/><Relationship Id="rId15" Type="http://schemas.openxmlformats.org/officeDocument/2006/relationships/hyperlink" Target="https://www.mca.gov.in/content/mca/global/en/acts-rules/ebooks/acts.html?act=NTk2MQ==" TargetMode="External"/><Relationship Id="rId10" Type="http://schemas.openxmlformats.org/officeDocument/2006/relationships/hyperlink" Target="https://www.mca.gov.in/content/mca/global/en/acts-rules/ebooks/acts.html?act=NTk2MQ==" TargetMode="External"/><Relationship Id="rId4" Type="http://schemas.openxmlformats.org/officeDocument/2006/relationships/hyperlink" Target="https://www.mca.gov.in/content/mca/global/en/acts-rules/ebooks/acts.html?act=NTk2MQ==" TargetMode="External"/><Relationship Id="rId9" Type="http://schemas.openxmlformats.org/officeDocument/2006/relationships/hyperlink" Target="https://www.mca.gov.in/content/mca/global/en/acts-rules/ebooks/acts.html?act=NTk2MQ==" TargetMode="External"/><Relationship Id="rId14" Type="http://schemas.openxmlformats.org/officeDocument/2006/relationships/hyperlink" Target="https://www.mca.gov.in/content/mca/global/en/acts-rules/ebooks/acts.html?act=NTk2MQ=="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49294-B645-4DCB-B247-92A9E8898A92}">
  <sheetPr>
    <tabColor theme="6" tint="-0.249977111117893"/>
  </sheetPr>
  <dimension ref="A1:D24"/>
  <sheetViews>
    <sheetView showGridLines="0" workbookViewId="0">
      <selection activeCell="B16" sqref="B16:C16"/>
    </sheetView>
  </sheetViews>
  <sheetFormatPr defaultRowHeight="14.4"/>
  <cols>
    <col min="2" max="2" width="31.5546875" bestFit="1" customWidth="1"/>
    <col min="3" max="3" width="51.88671875" bestFit="1" customWidth="1"/>
    <col min="4" max="4" width="35.88671875" bestFit="1" customWidth="1"/>
  </cols>
  <sheetData>
    <row r="1" spans="1:4">
      <c r="A1" s="922" t="s">
        <v>895</v>
      </c>
      <c r="B1" s="922"/>
    </row>
    <row r="2" spans="1:4">
      <c r="A2" s="922"/>
      <c r="B2" s="922"/>
    </row>
    <row r="4" spans="1:4" ht="15" thickBot="1"/>
    <row r="5" spans="1:4" ht="18.600000000000001" thickBot="1">
      <c r="B5" s="916" t="s">
        <v>894</v>
      </c>
      <c r="C5" s="921"/>
      <c r="D5" s="917"/>
    </row>
    <row r="6" spans="1:4">
      <c r="B6" s="748" t="s">
        <v>889</v>
      </c>
      <c r="C6" s="749" t="s">
        <v>885</v>
      </c>
      <c r="D6" s="750" t="s">
        <v>900</v>
      </c>
    </row>
    <row r="7" spans="1:4">
      <c r="B7" s="208"/>
      <c r="D7" s="343"/>
    </row>
    <row r="8" spans="1:4">
      <c r="B8" s="208" t="s">
        <v>886</v>
      </c>
      <c r="C8" s="744" t="s">
        <v>886</v>
      </c>
      <c r="D8" s="343" t="s">
        <v>888</v>
      </c>
    </row>
    <row r="9" spans="1:4">
      <c r="B9" s="208" t="s">
        <v>896</v>
      </c>
      <c r="C9" s="745" t="s">
        <v>896</v>
      </c>
      <c r="D9" s="343" t="s">
        <v>887</v>
      </c>
    </row>
    <row r="10" spans="1:4">
      <c r="B10" s="208" t="s">
        <v>890</v>
      </c>
      <c r="C10" s="746" t="s">
        <v>890</v>
      </c>
      <c r="D10" s="343" t="s">
        <v>892</v>
      </c>
    </row>
    <row r="11" spans="1:4">
      <c r="B11" s="208" t="s">
        <v>891</v>
      </c>
      <c r="C11" s="747" t="s">
        <v>891</v>
      </c>
      <c r="D11" s="343" t="s">
        <v>893</v>
      </c>
    </row>
    <row r="12" spans="1:4" ht="15" thickBot="1">
      <c r="B12" s="208"/>
      <c r="D12" s="343"/>
    </row>
    <row r="13" spans="1:4" ht="18.600000000000001" thickBot="1">
      <c r="B13" s="918" t="s">
        <v>898</v>
      </c>
      <c r="C13" s="919"/>
      <c r="D13" s="920"/>
    </row>
    <row r="15" spans="1:4" ht="15" thickBot="1"/>
    <row r="16" spans="1:4" ht="18.600000000000001" thickBot="1">
      <c r="B16" s="916" t="s">
        <v>822</v>
      </c>
      <c r="C16" s="917"/>
    </row>
    <row r="17" spans="2:3" ht="15" thickBot="1">
      <c r="B17" s="467" t="s">
        <v>830</v>
      </c>
      <c r="C17" s="595" t="s">
        <v>831</v>
      </c>
    </row>
    <row r="18" spans="2:3" ht="57.6">
      <c r="B18" s="864" t="s">
        <v>823</v>
      </c>
      <c r="C18" s="865" t="s">
        <v>985</v>
      </c>
    </row>
    <row r="19" spans="2:3" ht="57.6">
      <c r="B19" s="866" t="s">
        <v>824</v>
      </c>
      <c r="C19" s="867" t="s">
        <v>832</v>
      </c>
    </row>
    <row r="20" spans="2:3" ht="57.6">
      <c r="B20" s="866" t="s">
        <v>825</v>
      </c>
      <c r="C20" s="867" t="s">
        <v>981</v>
      </c>
    </row>
    <row r="21" spans="2:3" ht="57.6">
      <c r="B21" s="866" t="s">
        <v>481</v>
      </c>
      <c r="C21" s="867" t="s">
        <v>982</v>
      </c>
    </row>
    <row r="22" spans="2:3" ht="28.8">
      <c r="B22" s="866" t="s">
        <v>826</v>
      </c>
      <c r="C22" s="867" t="s">
        <v>983</v>
      </c>
    </row>
    <row r="23" spans="2:3" ht="57.6">
      <c r="B23" s="866" t="s">
        <v>827</v>
      </c>
      <c r="C23" s="867" t="s">
        <v>984</v>
      </c>
    </row>
    <row r="24" spans="2:3" ht="29.4" thickBot="1">
      <c r="B24" s="868" t="s">
        <v>828</v>
      </c>
      <c r="C24" s="869" t="s">
        <v>829</v>
      </c>
    </row>
  </sheetData>
  <mergeCells count="4">
    <mergeCell ref="B16:C16"/>
    <mergeCell ref="B13:D13"/>
    <mergeCell ref="B5:D5"/>
    <mergeCell ref="A1:B2"/>
  </mergeCells>
  <hyperlinks>
    <hyperlink ref="B18" location="'Control Sheet'!A1" display="Control Sheet" xr:uid="{EB339213-380D-47FE-81E4-1E3C654BE535}"/>
    <hyperlink ref="B19" location="'Share Capital and WIP info'!A1" display="Share Capital and WIP info" xr:uid="{245CB047-3374-4F7F-A5DD-C4EDED0AF131}"/>
    <hyperlink ref="B20" location="'Debtor&amp;Creditor Ageing Schedule'!A1" display="Debtor&amp;Creditor Ageing Schedule" xr:uid="{D403D67A-0B3D-432E-A7F5-11FB0D9D6A62}"/>
    <hyperlink ref="B21" location="'Trial Balance'!A1" display="Trial Balance" xr:uid="{6EDCDFD1-9892-410C-BAA9-D26CEA2176D2}"/>
    <hyperlink ref="B22" location="'PPE Data'!A1" display="PPE Data" xr:uid="{7E880CC7-41FA-4854-85DA-5978F56AA911}"/>
    <hyperlink ref="B23" location="'Intangible Asset Input'!A1" display="Intangilble Asset Data" xr:uid="{FD806466-7FBE-4DBE-9CF0-A2AEE21B5BF5}"/>
    <hyperlink ref="B24" location="'Pivot Sheet'!A1" display="Pivot Sheet" xr:uid="{3A865FC8-8455-404E-BDAA-5A4901FE958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F93A1-F1B6-41BF-88B1-CC7118D09FD2}">
  <sheetPr>
    <tabColor theme="7"/>
  </sheetPr>
  <dimension ref="A1:I30"/>
  <sheetViews>
    <sheetView workbookViewId="0">
      <selection activeCell="A9" sqref="A9"/>
    </sheetView>
  </sheetViews>
  <sheetFormatPr defaultRowHeight="14.4"/>
  <cols>
    <col min="1" max="1" width="87.44140625" bestFit="1" customWidth="1"/>
    <col min="2" max="2" width="37.33203125" bestFit="1" customWidth="1"/>
    <col min="3" max="3" width="29.88671875" bestFit="1" customWidth="1"/>
    <col min="4" max="4" width="34.88671875" bestFit="1" customWidth="1"/>
    <col min="5" max="5" width="31" bestFit="1" customWidth="1"/>
    <col min="6" max="6" width="52.5546875" bestFit="1" customWidth="1"/>
    <col min="7" max="7" width="32.109375" bestFit="1" customWidth="1"/>
    <col min="8" max="8" width="38" bestFit="1" customWidth="1"/>
    <col min="9" max="9" width="40.44140625" bestFit="1" customWidth="1"/>
  </cols>
  <sheetData>
    <row r="1" spans="1:9" ht="18">
      <c r="A1" s="767" t="s">
        <v>901</v>
      </c>
    </row>
    <row r="5" spans="1:9">
      <c r="A5" s="227" t="s">
        <v>763</v>
      </c>
    </row>
    <row r="6" spans="1:9">
      <c r="A6" s="768" t="s">
        <v>750</v>
      </c>
      <c r="B6" s="227" t="s">
        <v>759</v>
      </c>
      <c r="C6" s="227" t="s">
        <v>753</v>
      </c>
      <c r="D6" s="227" t="s">
        <v>754</v>
      </c>
      <c r="E6" s="227" t="s">
        <v>752</v>
      </c>
      <c r="F6" s="227" t="s">
        <v>758</v>
      </c>
      <c r="G6" s="227" t="s">
        <v>760</v>
      </c>
      <c r="H6" s="227" t="s">
        <v>861</v>
      </c>
      <c r="I6" s="227" t="s">
        <v>862</v>
      </c>
    </row>
    <row r="7" spans="1:9">
      <c r="A7" s="365" t="s">
        <v>121</v>
      </c>
      <c r="E7">
        <v>0</v>
      </c>
      <c r="G7">
        <v>0</v>
      </c>
      <c r="H7">
        <v>0</v>
      </c>
      <c r="I7">
        <v>0</v>
      </c>
    </row>
    <row r="8" spans="1:9">
      <c r="A8" s="365" t="s">
        <v>122</v>
      </c>
      <c r="E8">
        <v>0</v>
      </c>
      <c r="G8">
        <v>0</v>
      </c>
      <c r="H8">
        <v>0</v>
      </c>
      <c r="I8">
        <v>0</v>
      </c>
    </row>
    <row r="9" spans="1:9">
      <c r="A9" s="365" t="s">
        <v>123</v>
      </c>
      <c r="E9">
        <v>0</v>
      </c>
      <c r="G9">
        <v>0</v>
      </c>
      <c r="H9">
        <v>0</v>
      </c>
      <c r="I9">
        <v>0</v>
      </c>
    </row>
    <row r="10" spans="1:9">
      <c r="A10" s="365" t="s">
        <v>124</v>
      </c>
      <c r="E10">
        <v>0</v>
      </c>
      <c r="G10">
        <v>0</v>
      </c>
      <c r="H10">
        <v>0</v>
      </c>
      <c r="I10">
        <v>0</v>
      </c>
    </row>
    <row r="11" spans="1:9">
      <c r="A11" s="365" t="s">
        <v>125</v>
      </c>
      <c r="E11">
        <v>0</v>
      </c>
      <c r="G11">
        <v>0</v>
      </c>
      <c r="H11">
        <v>0</v>
      </c>
      <c r="I11">
        <v>0</v>
      </c>
    </row>
    <row r="12" spans="1:9">
      <c r="A12" s="365" t="s">
        <v>126</v>
      </c>
      <c r="E12">
        <v>0</v>
      </c>
      <c r="G12">
        <v>0</v>
      </c>
      <c r="H12">
        <v>0</v>
      </c>
      <c r="I12">
        <v>0</v>
      </c>
    </row>
    <row r="13" spans="1:9">
      <c r="A13" s="365" t="s">
        <v>127</v>
      </c>
      <c r="E13">
        <v>0</v>
      </c>
      <c r="G13">
        <v>0</v>
      </c>
      <c r="H13">
        <v>0</v>
      </c>
      <c r="I13">
        <v>0</v>
      </c>
    </row>
    <row r="14" spans="1:9">
      <c r="A14" s="365" t="s">
        <v>751</v>
      </c>
      <c r="E14">
        <v>0</v>
      </c>
      <c r="G14">
        <v>0</v>
      </c>
      <c r="H14">
        <v>0</v>
      </c>
      <c r="I14">
        <v>0</v>
      </c>
    </row>
    <row r="15" spans="1:9">
      <c r="A15" s="365" t="s">
        <v>128</v>
      </c>
      <c r="E15">
        <v>0</v>
      </c>
      <c r="G15">
        <v>0</v>
      </c>
      <c r="H15">
        <v>0</v>
      </c>
      <c r="I15">
        <v>0</v>
      </c>
    </row>
    <row r="18" spans="1:9">
      <c r="A18" s="366" t="s">
        <v>764</v>
      </c>
    </row>
    <row r="19" spans="1:9">
      <c r="A19" s="434" t="s">
        <v>750</v>
      </c>
      <c r="B19" t="s">
        <v>759</v>
      </c>
      <c r="C19" t="s">
        <v>753</v>
      </c>
      <c r="D19" t="s">
        <v>754</v>
      </c>
      <c r="E19" t="s">
        <v>752</v>
      </c>
      <c r="F19" t="s">
        <v>758</v>
      </c>
      <c r="G19" t="s">
        <v>760</v>
      </c>
      <c r="H19" t="s">
        <v>862</v>
      </c>
      <c r="I19" t="s">
        <v>861</v>
      </c>
    </row>
    <row r="20" spans="1:9">
      <c r="A20" s="365" t="s">
        <v>275</v>
      </c>
      <c r="E20">
        <v>0</v>
      </c>
      <c r="G20">
        <v>0</v>
      </c>
      <c r="H20">
        <v>0</v>
      </c>
      <c r="I20">
        <v>0</v>
      </c>
    </row>
    <row r="21" spans="1:9">
      <c r="A21" s="365" t="s">
        <v>276</v>
      </c>
      <c r="E21">
        <v>0</v>
      </c>
      <c r="G21">
        <v>0</v>
      </c>
      <c r="H21">
        <v>0</v>
      </c>
      <c r="I21">
        <v>0</v>
      </c>
    </row>
    <row r="22" spans="1:9">
      <c r="A22" s="365" t="s">
        <v>274</v>
      </c>
      <c r="E22">
        <v>0</v>
      </c>
      <c r="G22">
        <v>0</v>
      </c>
      <c r="H22">
        <v>0</v>
      </c>
      <c r="I22">
        <v>0</v>
      </c>
    </row>
    <row r="23" spans="1:9">
      <c r="A23" s="365" t="s">
        <v>277</v>
      </c>
      <c r="E23">
        <v>0</v>
      </c>
      <c r="G23">
        <v>0</v>
      </c>
      <c r="H23">
        <v>0</v>
      </c>
      <c r="I23">
        <v>0</v>
      </c>
    </row>
    <row r="24" spans="1:9">
      <c r="A24" s="365" t="s">
        <v>278</v>
      </c>
      <c r="E24">
        <v>0</v>
      </c>
      <c r="G24">
        <v>0</v>
      </c>
      <c r="H24">
        <v>0</v>
      </c>
      <c r="I24">
        <v>0</v>
      </c>
    </row>
    <row r="25" spans="1:9">
      <c r="A25" s="365" t="s">
        <v>425</v>
      </c>
      <c r="E25">
        <v>0</v>
      </c>
      <c r="G25">
        <v>0</v>
      </c>
      <c r="H25">
        <v>0</v>
      </c>
      <c r="I25">
        <v>0</v>
      </c>
    </row>
    <row r="26" spans="1:9">
      <c r="A26" s="365" t="s">
        <v>279</v>
      </c>
      <c r="E26">
        <v>0</v>
      </c>
      <c r="G26">
        <v>0</v>
      </c>
      <c r="H26">
        <v>0</v>
      </c>
      <c r="I26">
        <v>0</v>
      </c>
    </row>
    <row r="27" spans="1:9">
      <c r="A27" s="365" t="s">
        <v>280</v>
      </c>
      <c r="E27">
        <v>0</v>
      </c>
      <c r="G27">
        <v>0</v>
      </c>
      <c r="H27">
        <v>0</v>
      </c>
      <c r="I27">
        <v>0</v>
      </c>
    </row>
    <row r="28" spans="1:9">
      <c r="A28" s="365" t="s">
        <v>281</v>
      </c>
      <c r="E28">
        <v>0</v>
      </c>
      <c r="G28">
        <v>0</v>
      </c>
      <c r="H28">
        <v>0</v>
      </c>
      <c r="I28">
        <v>0</v>
      </c>
    </row>
    <row r="29" spans="1:9">
      <c r="A29" s="365" t="s">
        <v>751</v>
      </c>
      <c r="E29">
        <v>0</v>
      </c>
      <c r="G29">
        <v>0</v>
      </c>
      <c r="H29">
        <v>0</v>
      </c>
      <c r="I29">
        <v>0</v>
      </c>
    </row>
    <row r="30" spans="1:9">
      <c r="A30" s="365" t="s">
        <v>128</v>
      </c>
      <c r="E30">
        <v>0</v>
      </c>
      <c r="G30">
        <v>0</v>
      </c>
      <c r="H30">
        <v>0</v>
      </c>
      <c r="I3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A450C-41C9-4E3C-8D66-8F1EFE080273}">
  <sheetPr>
    <tabColor rgb="FF9966FF"/>
  </sheetPr>
  <dimension ref="A1"/>
  <sheetViews>
    <sheetView view="pageBreakPreview" zoomScale="60" zoomScaleNormal="100" workbookViewId="0">
      <selection activeCell="B9" sqref="B9"/>
    </sheetView>
  </sheetViews>
  <sheetFormatPr defaultRowHeight="14.4"/>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B1:AD75"/>
  <sheetViews>
    <sheetView showGridLines="0" view="pageBreakPreview" zoomScaleNormal="100" zoomScaleSheetLayoutView="100" workbookViewId="0">
      <selection activeCell="C27" sqref="C27"/>
    </sheetView>
  </sheetViews>
  <sheetFormatPr defaultRowHeight="14.4"/>
  <cols>
    <col min="1" max="1" width="9.109375" customWidth="1"/>
    <col min="2" max="2" width="3.5546875" customWidth="1"/>
    <col min="3" max="3" width="40.109375" bestFit="1" customWidth="1"/>
    <col min="4" max="4" width="5.88671875" style="62" bestFit="1" customWidth="1"/>
    <col min="5" max="6" width="37.6640625" bestFit="1" customWidth="1"/>
    <col min="7" max="8" width="0" hidden="1" customWidth="1"/>
    <col min="9" max="9" width="10" hidden="1" customWidth="1"/>
    <col min="10" max="26" width="0" hidden="1" customWidth="1"/>
    <col min="27" max="27" width="18.5546875" bestFit="1" customWidth="1"/>
    <col min="28" max="28" width="35.44140625" bestFit="1" customWidth="1"/>
    <col min="29" max="29" width="15.109375" bestFit="1" customWidth="1"/>
    <col min="30" max="30" width="7.109375" bestFit="1" customWidth="1"/>
  </cols>
  <sheetData>
    <row r="1" spans="2:30" ht="18">
      <c r="B1" s="975" t="str">
        <f>IF('Control Sheet'!$C$3&gt;0,'Control Sheet'!$C$3,'Control Sheet'!$B$3)</f>
        <v>Saptaranga Research and Organic Private Limited</v>
      </c>
      <c r="C1" s="975"/>
      <c r="D1" s="975"/>
      <c r="E1" s="975"/>
      <c r="F1" s="975"/>
    </row>
    <row r="2" spans="2:30">
      <c r="B2" s="976" t="str">
        <f>IF('Control Sheet'!$C$4&gt;0,'Control Sheet'!$C$4,'Control Sheet'!$B$4)</f>
        <v xml:space="preserve">Plot No 45, </v>
      </c>
      <c r="C2" s="976"/>
      <c r="D2" s="976"/>
      <c r="E2" s="976"/>
      <c r="F2" s="976"/>
    </row>
    <row r="3" spans="2:30">
      <c r="B3" s="976" t="str">
        <f>IF('Control Sheet'!$C$5&gt;0,'Control Sheet'!$C$5,'Control Sheet'!$B$5)</f>
        <v>Ravindra Nagar P.M.G. Society</v>
      </c>
      <c r="C3" s="976"/>
      <c r="D3" s="976"/>
      <c r="E3" s="976"/>
      <c r="F3" s="976"/>
    </row>
    <row r="4" spans="2:30">
      <c r="B4" s="976" t="str">
        <f>IF('Control Sheet'!$C$6&gt;0,'Control Sheet'!$C$6,'Control Sheet'!$B$6)</f>
        <v>Nagpur MH 440022 IN</v>
      </c>
      <c r="C4" s="976"/>
      <c r="D4" s="976"/>
      <c r="E4" s="976"/>
      <c r="F4" s="976"/>
    </row>
    <row r="5" spans="2:30">
      <c r="B5" s="605"/>
      <c r="C5" s="605"/>
      <c r="D5" s="605"/>
      <c r="E5" s="605"/>
      <c r="F5" s="605"/>
    </row>
    <row r="6" spans="2:30">
      <c r="B6" s="977" t="str">
        <f>IF('Control Sheet'!$C$7&gt;0,CONCATENATE("BALANCE SHEET AS ON"," ",TEXT('Control Sheet'!$C$7,"DD-MMM-YYYY")),"BALANCE SHEET AS ON &lt;Date&gt;")</f>
        <v>BALANCE SHEET AS ON 31-Mar-2023</v>
      </c>
      <c r="C6" s="977"/>
      <c r="D6" s="977"/>
      <c r="E6" s="977"/>
      <c r="F6" s="977"/>
    </row>
    <row r="7" spans="2:30">
      <c r="B7" s="606"/>
      <c r="C7" s="606"/>
      <c r="D7" s="606"/>
      <c r="E7" s="606"/>
      <c r="F7" s="606"/>
    </row>
    <row r="8" spans="2:30" ht="15" thickBot="1">
      <c r="B8" s="2"/>
      <c r="C8" s="2"/>
      <c r="D8" s="2"/>
      <c r="E8" s="978" t="str">
        <f>IF('Control Sheet'!$D$18="Specify in Cell E16",'Support Sheet'!$G$10,'Control Sheet'!$C$18)</f>
        <v>In Rs. hundreds</v>
      </c>
      <c r="F8" s="978"/>
    </row>
    <row r="9" spans="2:30">
      <c r="B9" s="979" t="s">
        <v>0</v>
      </c>
      <c r="C9" s="980"/>
      <c r="D9" s="983" t="s">
        <v>1</v>
      </c>
      <c r="E9" s="3" t="s">
        <v>2</v>
      </c>
      <c r="F9" s="4" t="s">
        <v>3</v>
      </c>
    </row>
    <row r="10" spans="2:30" ht="15" thickBot="1">
      <c r="B10" s="981"/>
      <c r="C10" s="982"/>
      <c r="D10" s="984"/>
      <c r="E10" s="607">
        <f>IF('Control Sheet'!$C$7&gt;0,'Control Sheet'!$C$7,'Control Sheet'!$B$7)</f>
        <v>45016</v>
      </c>
      <c r="F10" s="608">
        <f>IF('Control Sheet'!$C$8&gt;0,'Control Sheet'!$C$8,'Control Sheet'!$B$8)</f>
        <v>44651</v>
      </c>
    </row>
    <row r="11" spans="2:30">
      <c r="B11" s="730" t="s">
        <v>4</v>
      </c>
      <c r="C11" s="731" t="s">
        <v>5</v>
      </c>
      <c r="D11" s="732"/>
      <c r="E11" s="733"/>
      <c r="F11" s="734"/>
    </row>
    <row r="12" spans="2:30">
      <c r="B12" s="722"/>
      <c r="C12" s="716"/>
      <c r="D12" s="5"/>
      <c r="E12" s="6"/>
      <c r="F12" s="7"/>
    </row>
    <row r="13" spans="2:30">
      <c r="B13" s="723">
        <v>-1</v>
      </c>
      <c r="C13" s="715" t="s">
        <v>6</v>
      </c>
      <c r="D13" s="5"/>
      <c r="E13" s="6"/>
      <c r="F13" s="7"/>
      <c r="AA13" s="227" t="s">
        <v>451</v>
      </c>
      <c r="AB13" s="227" t="s">
        <v>452</v>
      </c>
      <c r="AC13" s="227" t="s">
        <v>453</v>
      </c>
      <c r="AD13" s="227" t="s">
        <v>456</v>
      </c>
    </row>
    <row r="14" spans="2:30">
      <c r="B14" s="722"/>
      <c r="C14" s="716" t="s">
        <v>7</v>
      </c>
      <c r="D14" s="5">
        <v>2</v>
      </c>
      <c r="E14" s="25">
        <f>'Share Capital'!G49</f>
        <v>100</v>
      </c>
      <c r="F14" s="28">
        <f>'Share Capital'!G53</f>
        <v>100</v>
      </c>
    </row>
    <row r="15" spans="2:30">
      <c r="B15" s="722"/>
      <c r="C15" s="716" t="s">
        <v>8</v>
      </c>
      <c r="D15" s="5">
        <f>D14+1</f>
        <v>3</v>
      </c>
      <c r="E15" s="25">
        <f>'BS Notes'!G23</f>
        <v>-5424.186099999999</v>
      </c>
      <c r="F15" s="28">
        <f>'BS Notes'!H23</f>
        <v>-22.740000000000009</v>
      </c>
    </row>
    <row r="16" spans="2:30">
      <c r="B16" s="722"/>
      <c r="C16" s="717" t="s">
        <v>9</v>
      </c>
      <c r="D16" s="5"/>
      <c r="E16" s="112">
        <f>SUMIFS('Trial Balance'!$D:$D,'Trial Balance'!$F:$F,BS!$AA16,'Trial Balance'!$G:$G,BS!$AB16,'Trial Balance'!$H:$H,BS!$AC16,'Trial Balance'!$I:$I,BS!$AD16)/'Support Sheet'!$G$10</f>
        <v>0</v>
      </c>
      <c r="F16" s="113">
        <f>SUMIFS('Trial Balance'!$E:$E,'Trial Balance'!$F:$F,BS!$AA16,'Trial Balance'!$G:$G,BS!$AB16,'Trial Balance'!$H:$H,BS!$AC16,'Trial Balance'!$I:$I,BS!$AD16)/'Support Sheet'!$G$10</f>
        <v>0</v>
      </c>
      <c r="AA16" t="s">
        <v>485</v>
      </c>
      <c r="AB16" t="s">
        <v>792</v>
      </c>
      <c r="AC16">
        <v>0</v>
      </c>
      <c r="AD16">
        <v>0</v>
      </c>
    </row>
    <row r="17" spans="2:30">
      <c r="B17" s="722"/>
      <c r="C17" s="717"/>
      <c r="D17" s="5"/>
      <c r="E17" s="25"/>
      <c r="F17" s="28"/>
    </row>
    <row r="18" spans="2:30">
      <c r="B18" s="723">
        <v>-2</v>
      </c>
      <c r="C18" s="718" t="s">
        <v>10</v>
      </c>
      <c r="D18" s="5"/>
      <c r="E18" s="112">
        <f>SUMIFS('Trial Balance'!$D:$D,'Trial Balance'!$F:$F,BS!$AA18,'Trial Balance'!$G:$G,BS!$AB18,'Trial Balance'!$H:$H,BS!$AC18,'Trial Balance'!$I:$I,BS!$AD18)/'Support Sheet'!$G$10</f>
        <v>0</v>
      </c>
      <c r="F18" s="113">
        <f>SUMIFS('Trial Balance'!$E:$E,'Trial Balance'!$F:$F,BS!$AA18,'Trial Balance'!$G:$G,BS!$AB18,'Trial Balance'!$H:$H,BS!$AC18,'Trial Balance'!$I:$I,BS!$AD18)/'Support Sheet'!$G$10</f>
        <v>0</v>
      </c>
      <c r="AA18" t="s">
        <v>10</v>
      </c>
      <c r="AB18">
        <v>0</v>
      </c>
      <c r="AC18">
        <v>0</v>
      </c>
      <c r="AD18">
        <v>0</v>
      </c>
    </row>
    <row r="19" spans="2:30">
      <c r="B19" s="722"/>
      <c r="C19" s="716"/>
      <c r="D19" s="5"/>
      <c r="E19" s="25"/>
      <c r="F19" s="28"/>
    </row>
    <row r="20" spans="2:30">
      <c r="B20" s="723">
        <v>-3</v>
      </c>
      <c r="C20" s="715" t="s">
        <v>11</v>
      </c>
      <c r="D20" s="5"/>
      <c r="E20" s="25"/>
      <c r="F20" s="28"/>
    </row>
    <row r="21" spans="2:30">
      <c r="B21" s="722"/>
      <c r="C21" s="716" t="s">
        <v>25</v>
      </c>
      <c r="D21" s="5">
        <f>D15+1</f>
        <v>4</v>
      </c>
      <c r="E21" s="25">
        <f>'BS Notes'!G42</f>
        <v>10080</v>
      </c>
      <c r="F21" s="28">
        <f>'BS Notes'!H42</f>
        <v>0</v>
      </c>
    </row>
    <row r="22" spans="2:30">
      <c r="B22" s="722"/>
      <c r="C22" s="716" t="s">
        <v>183</v>
      </c>
      <c r="D22" s="5">
        <f>D21+1</f>
        <v>5</v>
      </c>
      <c r="E22" s="25">
        <f>'BS Notes'!G46</f>
        <v>0</v>
      </c>
      <c r="F22" s="28">
        <f>'BS Notes'!H46</f>
        <v>0</v>
      </c>
    </row>
    <row r="23" spans="2:30">
      <c r="B23" s="722"/>
      <c r="C23" s="716" t="s">
        <v>184</v>
      </c>
      <c r="D23" s="5">
        <f>D22+1</f>
        <v>6</v>
      </c>
      <c r="E23" s="25">
        <f>'BS Notes'!G51</f>
        <v>0</v>
      </c>
      <c r="F23" s="28">
        <f>'BS Notes'!H51</f>
        <v>0</v>
      </c>
    </row>
    <row r="24" spans="2:30">
      <c r="B24" s="722"/>
      <c r="C24" s="716" t="s">
        <v>185</v>
      </c>
      <c r="D24" s="5">
        <f>D23+1</f>
        <v>7</v>
      </c>
      <c r="E24" s="25">
        <f>'BS Notes'!G56</f>
        <v>0</v>
      </c>
      <c r="F24" s="28">
        <f>'BS Notes'!H56</f>
        <v>0</v>
      </c>
    </row>
    <row r="25" spans="2:30">
      <c r="B25" s="722"/>
      <c r="C25" s="716"/>
      <c r="D25" s="5"/>
      <c r="E25" s="25"/>
      <c r="F25" s="28"/>
    </row>
    <row r="26" spans="2:30">
      <c r="B26" s="723">
        <v>-4</v>
      </c>
      <c r="C26" s="715" t="s">
        <v>12</v>
      </c>
      <c r="D26" s="5"/>
      <c r="E26" s="25"/>
      <c r="F26" s="28"/>
    </row>
    <row r="27" spans="2:30">
      <c r="B27" s="722"/>
      <c r="C27" s="716" t="s">
        <v>59</v>
      </c>
      <c r="D27" s="5">
        <f>D24+1</f>
        <v>8</v>
      </c>
      <c r="E27" s="25">
        <f>'BS Notes'!G72</f>
        <v>179</v>
      </c>
      <c r="F27" s="28">
        <f>'BS Notes'!H72</f>
        <v>0</v>
      </c>
    </row>
    <row r="28" spans="2:30">
      <c r="B28" s="722"/>
      <c r="C28" s="716" t="s">
        <v>24</v>
      </c>
      <c r="D28" s="5">
        <f>D27+1</f>
        <v>9</v>
      </c>
      <c r="E28" s="25"/>
      <c r="F28" s="28"/>
    </row>
    <row r="29" spans="2:30" ht="28.8">
      <c r="B29" s="722"/>
      <c r="C29" s="719" t="s">
        <v>187</v>
      </c>
      <c r="D29" s="5"/>
      <c r="E29" s="25">
        <f>SUM('BS Notes'!H77,'BS Notes'!H79)</f>
        <v>0</v>
      </c>
      <c r="F29" s="28">
        <f>SUM('BS Notes'!H84,'BS Notes'!H86)</f>
        <v>0</v>
      </c>
    </row>
    <row r="30" spans="2:30" ht="28.8">
      <c r="B30" s="722"/>
      <c r="C30" s="720" t="s">
        <v>186</v>
      </c>
      <c r="D30" s="5"/>
      <c r="E30" s="25">
        <f>SUM('BS Notes'!H78,'BS Notes'!H80)</f>
        <v>58.863099999999996</v>
      </c>
      <c r="F30" s="28">
        <f>SUM('BS Notes'!H85,'BS Notes'!H87)</f>
        <v>95</v>
      </c>
    </row>
    <row r="31" spans="2:30">
      <c r="B31" s="722"/>
      <c r="C31" s="716" t="s">
        <v>13</v>
      </c>
      <c r="D31" s="5">
        <f>D28+1</f>
        <v>10</v>
      </c>
      <c r="E31" s="25">
        <f>'BS Notes'!G100</f>
        <v>2495.8919999999998</v>
      </c>
      <c r="F31" s="28">
        <f>'BS Notes'!H100</f>
        <v>0</v>
      </c>
    </row>
    <row r="32" spans="2:30">
      <c r="B32" s="722"/>
      <c r="C32" s="716" t="s">
        <v>188</v>
      </c>
      <c r="D32" s="5">
        <f>D31+1</f>
        <v>11</v>
      </c>
      <c r="E32" s="25">
        <f>'BS Notes'!G106</f>
        <v>177</v>
      </c>
      <c r="F32" s="28">
        <f>'BS Notes'!H106</f>
        <v>0</v>
      </c>
    </row>
    <row r="33" spans="2:30" ht="15" thickBot="1">
      <c r="B33" s="726"/>
      <c r="C33" s="727" t="s">
        <v>14</v>
      </c>
      <c r="D33" s="725"/>
      <c r="E33" s="26">
        <f>SUM(E13:E32)</f>
        <v>7666.5690000000004</v>
      </c>
      <c r="F33" s="27">
        <f>SUM(F14:F32)</f>
        <v>172.26</v>
      </c>
    </row>
    <row r="34" spans="2:30" ht="15" thickTop="1">
      <c r="B34" s="721" t="s">
        <v>15</v>
      </c>
      <c r="C34" s="715" t="s">
        <v>16</v>
      </c>
      <c r="D34" s="10"/>
      <c r="E34" s="8"/>
      <c r="F34" s="9"/>
    </row>
    <row r="35" spans="2:30">
      <c r="B35" s="721"/>
      <c r="C35" s="715"/>
      <c r="D35" s="5"/>
      <c r="E35" s="8"/>
      <c r="F35" s="9"/>
    </row>
    <row r="36" spans="2:30">
      <c r="B36" s="723">
        <v>-1</v>
      </c>
      <c r="C36" s="715" t="s">
        <v>61</v>
      </c>
      <c r="D36" s="5"/>
      <c r="E36" s="8"/>
      <c r="F36" s="9"/>
    </row>
    <row r="37" spans="2:30" ht="28.8">
      <c r="B37" s="722"/>
      <c r="C37" s="717" t="s">
        <v>189</v>
      </c>
      <c r="D37" s="5"/>
      <c r="E37" s="8"/>
      <c r="F37" s="9"/>
      <c r="AA37" s="227" t="s">
        <v>451</v>
      </c>
      <c r="AB37" s="227" t="s">
        <v>452</v>
      </c>
      <c r="AC37" s="227" t="s">
        <v>453</v>
      </c>
      <c r="AD37" s="227" t="s">
        <v>456</v>
      </c>
    </row>
    <row r="38" spans="2:30">
      <c r="B38" s="722"/>
      <c r="C38" s="717" t="s">
        <v>191</v>
      </c>
      <c r="D38" s="5">
        <f>D32+1</f>
        <v>12</v>
      </c>
      <c r="E38" s="609">
        <f>'PPE &amp; Intangibles '!L18</f>
        <v>0</v>
      </c>
      <c r="F38" s="28">
        <f>'PPE &amp; Intangibles '!M18</f>
        <v>0</v>
      </c>
      <c r="AA38" t="s">
        <v>61</v>
      </c>
      <c r="AB38" t="s">
        <v>846</v>
      </c>
      <c r="AC38">
        <v>0</v>
      </c>
      <c r="AD38">
        <v>0</v>
      </c>
    </row>
    <row r="39" spans="2:30">
      <c r="B39" s="722"/>
      <c r="C39" s="716" t="s">
        <v>190</v>
      </c>
      <c r="D39" s="5">
        <f>D38+1</f>
        <v>13</v>
      </c>
      <c r="E39" s="609">
        <f>'PPE &amp; Intangibles '!L36</f>
        <v>0</v>
      </c>
      <c r="F39" s="28">
        <f>'PPE &amp; Intangibles '!M36</f>
        <v>0</v>
      </c>
      <c r="AA39" t="s">
        <v>61</v>
      </c>
      <c r="AB39" t="s">
        <v>285</v>
      </c>
      <c r="AC39">
        <v>0</v>
      </c>
      <c r="AD39">
        <v>0</v>
      </c>
    </row>
    <row r="40" spans="2:30">
      <c r="B40" s="722"/>
      <c r="C40" s="716" t="s">
        <v>192</v>
      </c>
      <c r="D40" s="5">
        <f t="shared" ref="D40:D45" si="0">D39+1</f>
        <v>14</v>
      </c>
      <c r="E40" s="609">
        <f>SUM('PPE &amp; Intangibles '!L43:M44)</f>
        <v>139.9846</v>
      </c>
      <c r="F40" s="500">
        <f>SUMIFS('Trial Balance'!$E:$E,'Trial Balance'!$F:$F,BS!$AA40,'Trial Balance'!$G:$G,BS!$AB40,'Trial Balance'!$H:$H,BS!$AC40,'Trial Balance'!$I:$I,BS!$AD40)/'Support Sheet'!$G$10</f>
        <v>0</v>
      </c>
      <c r="AA40" t="s">
        <v>61</v>
      </c>
      <c r="AB40" t="s">
        <v>833</v>
      </c>
      <c r="AC40">
        <v>0</v>
      </c>
      <c r="AD40">
        <v>0</v>
      </c>
    </row>
    <row r="41" spans="2:30">
      <c r="B41" s="722"/>
      <c r="C41" s="716" t="s">
        <v>193</v>
      </c>
      <c r="D41" s="5">
        <f t="shared" si="0"/>
        <v>15</v>
      </c>
      <c r="E41" s="609">
        <f>SUM('PPE &amp; Intangibles '!L57:M58)</f>
        <v>0</v>
      </c>
      <c r="F41" s="500">
        <f>SUMIFS('Trial Balance'!$E:$E,'Trial Balance'!$F:$F,BS!$AA41,'Trial Balance'!$G:$G,BS!$AB41,'Trial Balance'!$H:$H,BS!$AC41,'Trial Balance'!$I:$I,BS!$AD41)/'Support Sheet'!$G$10</f>
        <v>0</v>
      </c>
      <c r="AA41" t="s">
        <v>61</v>
      </c>
      <c r="AB41" t="s">
        <v>834</v>
      </c>
      <c r="AC41">
        <v>0</v>
      </c>
      <c r="AD41">
        <v>0</v>
      </c>
    </row>
    <row r="42" spans="2:30">
      <c r="B42" s="722"/>
      <c r="C42" s="716" t="s">
        <v>194</v>
      </c>
      <c r="D42" s="5">
        <f t="shared" si="0"/>
        <v>16</v>
      </c>
      <c r="E42" s="609">
        <f>'BS Notes'!G117</f>
        <v>0</v>
      </c>
      <c r="F42" s="28">
        <f>'BS Notes'!H117</f>
        <v>0</v>
      </c>
    </row>
    <row r="43" spans="2:30">
      <c r="B43" s="722"/>
      <c r="C43" s="716" t="s">
        <v>195</v>
      </c>
      <c r="D43" s="5">
        <f t="shared" si="0"/>
        <v>17</v>
      </c>
      <c r="E43" s="609"/>
      <c r="F43" s="28"/>
    </row>
    <row r="44" spans="2:30">
      <c r="B44" s="722"/>
      <c r="C44" s="716" t="s">
        <v>196</v>
      </c>
      <c r="D44" s="5">
        <f t="shared" si="0"/>
        <v>18</v>
      </c>
      <c r="E44" s="609">
        <f>'BS Notes'!G129</f>
        <v>0</v>
      </c>
      <c r="F44" s="28">
        <f>'BS Notes'!H129</f>
        <v>0</v>
      </c>
    </row>
    <row r="45" spans="2:30">
      <c r="B45" s="722"/>
      <c r="C45" s="716" t="s">
        <v>284</v>
      </c>
      <c r="D45" s="5">
        <f t="shared" si="0"/>
        <v>19</v>
      </c>
      <c r="E45" s="609">
        <f>'BS Notes '!H16</f>
        <v>0</v>
      </c>
      <c r="F45" s="28">
        <f>'BS Notes '!I16</f>
        <v>0</v>
      </c>
    </row>
    <row r="46" spans="2:30">
      <c r="B46" s="722"/>
      <c r="C46" s="716"/>
      <c r="D46" s="5"/>
      <c r="E46" s="609"/>
      <c r="F46" s="28"/>
    </row>
    <row r="47" spans="2:30">
      <c r="B47" s="723">
        <v>-2</v>
      </c>
      <c r="C47" s="715" t="s">
        <v>60</v>
      </c>
      <c r="D47" s="5"/>
      <c r="E47" s="609"/>
      <c r="F47" s="28">
        <v>0</v>
      </c>
    </row>
    <row r="48" spans="2:30">
      <c r="B48" s="723"/>
      <c r="C48" s="716" t="s">
        <v>197</v>
      </c>
      <c r="D48" s="5">
        <f>D45+1</f>
        <v>20</v>
      </c>
      <c r="E48" s="609">
        <f>'BS Notes '!H26</f>
        <v>0</v>
      </c>
      <c r="F48" s="28">
        <f>'BS Notes '!I26</f>
        <v>0</v>
      </c>
    </row>
    <row r="49" spans="2:6">
      <c r="B49" s="722"/>
      <c r="C49" s="716" t="s">
        <v>198</v>
      </c>
      <c r="D49" s="5">
        <f>D48+1</f>
        <v>21</v>
      </c>
      <c r="E49" s="609">
        <f>'BS Notes '!H36</f>
        <v>0</v>
      </c>
      <c r="F49" s="28">
        <f>'BS Notes '!I36</f>
        <v>0</v>
      </c>
    </row>
    <row r="50" spans="2:6">
      <c r="B50" s="722"/>
      <c r="C50" s="716" t="s">
        <v>199</v>
      </c>
      <c r="D50" s="5">
        <f>D49+1</f>
        <v>22</v>
      </c>
      <c r="E50" s="609">
        <f>'BS Notes '!I46</f>
        <v>0</v>
      </c>
      <c r="F50" s="28">
        <f>'BS Notes '!I53</f>
        <v>0</v>
      </c>
    </row>
    <row r="51" spans="2:6">
      <c r="B51" s="722"/>
      <c r="C51" s="716" t="s">
        <v>200</v>
      </c>
      <c r="D51" s="5">
        <f>D50+1</f>
        <v>23</v>
      </c>
      <c r="E51" s="609">
        <f>'BS Notes '!H60</f>
        <v>7005.6706000000004</v>
      </c>
      <c r="F51" s="28">
        <f>'BS Notes '!I60</f>
        <v>172.26</v>
      </c>
    </row>
    <row r="52" spans="2:6">
      <c r="B52" s="722"/>
      <c r="C52" s="716" t="s">
        <v>201</v>
      </c>
      <c r="D52" s="5">
        <f>D51+1</f>
        <v>24</v>
      </c>
      <c r="E52" s="609">
        <f>'BS Notes '!H68</f>
        <v>0</v>
      </c>
      <c r="F52" s="28">
        <f>'BS Notes '!I68</f>
        <v>0</v>
      </c>
    </row>
    <row r="53" spans="2:6">
      <c r="B53" s="724"/>
      <c r="C53" s="716" t="s">
        <v>202</v>
      </c>
      <c r="D53" s="5">
        <f>D52+1</f>
        <v>25</v>
      </c>
      <c r="E53" s="609">
        <f>'BS Notes '!H76</f>
        <v>479.08620000000002</v>
      </c>
      <c r="F53" s="28">
        <f>'BS Notes '!I76</f>
        <v>0</v>
      </c>
    </row>
    <row r="54" spans="2:6" ht="15" thickBot="1">
      <c r="B54" s="728"/>
      <c r="C54" s="735" t="s">
        <v>14</v>
      </c>
      <c r="D54" s="729"/>
      <c r="E54" s="29">
        <f>SUM(E37:E53)</f>
        <v>7624.7413999999999</v>
      </c>
      <c r="F54" s="30">
        <f>SUM(F36:F53)</f>
        <v>172.26</v>
      </c>
    </row>
    <row r="55" spans="2:6">
      <c r="B55" s="11"/>
      <c r="C55" s="2"/>
      <c r="D55" s="1"/>
      <c r="E55" s="12"/>
      <c r="F55" s="12"/>
    </row>
    <row r="56" spans="2:6">
      <c r="B56" s="973" t="s">
        <v>26</v>
      </c>
      <c r="C56" s="973"/>
      <c r="D56" s="1"/>
      <c r="E56" s="1"/>
      <c r="F56" s="14"/>
    </row>
    <row r="57" spans="2:6">
      <c r="B57" s="15" t="s">
        <v>30</v>
      </c>
      <c r="C57" s="16"/>
      <c r="D57" s="61"/>
      <c r="E57" s="17"/>
      <c r="F57" s="18"/>
    </row>
    <row r="58" spans="2:6">
      <c r="B58" s="19"/>
      <c r="C58" s="19"/>
      <c r="D58" s="17"/>
      <c r="E58" s="11"/>
      <c r="F58" s="18"/>
    </row>
    <row r="59" spans="2:6">
      <c r="B59" s="974" t="s">
        <v>17</v>
      </c>
      <c r="C59" s="974"/>
      <c r="D59" s="1"/>
      <c r="E59" s="11"/>
      <c r="F59" s="20"/>
    </row>
    <row r="60" spans="2:6">
      <c r="B60" s="972" t="s">
        <v>27</v>
      </c>
      <c r="C60" s="972"/>
      <c r="D60" s="1"/>
      <c r="E60" s="2" t="str">
        <f>_xlfn.CONCAT("For ",IF('Control Sheet'!$C$3&gt;0,'Control Sheet'!$C$3,'Control Sheet'!$B$3))</f>
        <v>For Saptaranga Research and Organic Private Limited</v>
      </c>
      <c r="F60" s="21"/>
    </row>
    <row r="61" spans="2:6">
      <c r="B61" s="973" t="s">
        <v>18</v>
      </c>
      <c r="C61" s="973"/>
      <c r="D61" s="14"/>
      <c r="E61" s="18"/>
      <c r="F61" s="18"/>
    </row>
    <row r="62" spans="2:6">
      <c r="B62" s="15"/>
      <c r="C62" s="13"/>
      <c r="D62" s="1"/>
      <c r="E62" s="11"/>
      <c r="F62" s="11"/>
    </row>
    <row r="63" spans="2:6">
      <c r="B63" s="15"/>
      <c r="C63" s="13"/>
      <c r="D63" s="1"/>
      <c r="E63" s="11"/>
      <c r="F63" s="11"/>
    </row>
    <row r="64" spans="2:6">
      <c r="B64" s="15"/>
      <c r="C64" s="13"/>
      <c r="D64" s="14"/>
      <c r="E64" s="18"/>
      <c r="F64" s="18"/>
    </row>
    <row r="65" spans="2:6">
      <c r="B65" s="21" t="str">
        <f>IF('Control Sheet'!$C$9&gt;0,'Control Sheet'!$C$9,'Control Sheet'!$B$9)</f>
        <v>CA. Ashutosh Joshi</v>
      </c>
      <c r="C65" s="21"/>
      <c r="D65" s="2"/>
      <c r="E65" s="2" t="str">
        <f>IF('Control Sheet'!$C$13&gt;0,'Control Sheet'!$C$13,'Control Sheet'!$B$13)</f>
        <v>Shrutika Kailash Bagul</v>
      </c>
      <c r="F65" s="2" t="str">
        <f>IF('Control Sheet'!$C$15&gt;0,'Control Sheet'!$C$15,'Control Sheet'!$B$15)</f>
        <v>Kalindi Ramesh Dhakulkar</v>
      </c>
    </row>
    <row r="66" spans="2:6">
      <c r="B66" s="972" t="s">
        <v>19</v>
      </c>
      <c r="C66" s="972"/>
      <c r="D66" s="1"/>
      <c r="E66" s="23" t="s">
        <v>20</v>
      </c>
      <c r="F66" s="23" t="s">
        <v>20</v>
      </c>
    </row>
    <row r="67" spans="2:6">
      <c r="B67" s="21" t="str">
        <f>_xlfn.CONCAT("M. No. ",IF('Control Sheet'!$C$10&gt;0,'Control Sheet'!$C$10,'Control Sheet'!$B$10))</f>
        <v>M. No. 038193</v>
      </c>
      <c r="C67" s="21"/>
      <c r="D67" s="1"/>
      <c r="E67" s="2" t="str">
        <f>_xlfn.CONCAT("DIN: ",IF('Control Sheet'!$C$14&gt;0,TEXT('Control Sheet'!$C$14,"00000000"),'Control Sheet'!$B$14))</f>
        <v>DIN: 09390033</v>
      </c>
      <c r="F67" s="2" t="str">
        <f>_xlfn.CONCAT("DIN: ",IF('Control Sheet'!$C$16&gt;0,TEXT('Control Sheet'!$C$16,"00000000"),'Control Sheet'!$B$16))</f>
        <v>DIN: 09390034</v>
      </c>
    </row>
    <row r="68" spans="2:6">
      <c r="B68" s="24"/>
      <c r="C68" s="24"/>
      <c r="D68" s="1"/>
      <c r="E68" s="2"/>
      <c r="F68" s="2"/>
    </row>
    <row r="69" spans="2:6">
      <c r="B69" s="972" t="str">
        <f>CONCATENATE("UDIN : ",'Control Sheet'!$C$19)</f>
        <v xml:space="preserve">UDIN : </v>
      </c>
      <c r="C69" s="972"/>
      <c r="D69" s="1"/>
      <c r="E69" s="11"/>
      <c r="F69" s="11"/>
    </row>
    <row r="70" spans="2:6">
      <c r="B70" s="22"/>
      <c r="C70" s="11"/>
      <c r="D70" s="1"/>
      <c r="E70" s="11"/>
      <c r="F70" s="11"/>
    </row>
    <row r="71" spans="2:6">
      <c r="B71" s="21" t="str">
        <f>IF('Control Sheet'!$C$11&gt;0,'Control Sheet'!$C$11,'Control Sheet'!$B$11)</f>
        <v>Nagpur</v>
      </c>
      <c r="C71" s="11"/>
      <c r="D71" s="1"/>
      <c r="E71" s="11"/>
      <c r="F71" s="11"/>
    </row>
    <row r="72" spans="2:6">
      <c r="B72" s="971">
        <f>IF('Control Sheet'!$C$12&gt;0,'Control Sheet'!$C$12,'Control Sheet'!$B$12)</f>
        <v>45174</v>
      </c>
      <c r="C72" s="971"/>
      <c r="D72" s="1"/>
      <c r="E72" s="11"/>
      <c r="F72" s="11"/>
    </row>
    <row r="73" spans="2:6">
      <c r="B73" s="611"/>
      <c r="C73" s="11"/>
      <c r="D73" s="1"/>
      <c r="E73" s="11"/>
      <c r="F73" s="11"/>
    </row>
    <row r="74" spans="2:6">
      <c r="C74" s="11"/>
      <c r="D74" s="1"/>
      <c r="E74" s="11"/>
      <c r="F74" s="11"/>
    </row>
    <row r="75" spans="2:6">
      <c r="C75" s="11"/>
      <c r="D75" s="1"/>
      <c r="E75" s="11"/>
      <c r="F75" s="11"/>
    </row>
  </sheetData>
  <mergeCells count="15">
    <mergeCell ref="B1:F1"/>
    <mergeCell ref="B2:F2"/>
    <mergeCell ref="B6:F6"/>
    <mergeCell ref="E8:F8"/>
    <mergeCell ref="B9:C10"/>
    <mergeCell ref="D9:D10"/>
    <mergeCell ref="B3:F3"/>
    <mergeCell ref="B4:F4"/>
    <mergeCell ref="B72:C72"/>
    <mergeCell ref="B69:C69"/>
    <mergeCell ref="B56:C56"/>
    <mergeCell ref="B59:C59"/>
    <mergeCell ref="B60:C60"/>
    <mergeCell ref="B61:C61"/>
    <mergeCell ref="B66:C66"/>
  </mergeCells>
  <pageMargins left="0.70866141732283472" right="0.70866141732283472" top="0.74803149606299213" bottom="0.74803149606299213" header="0.31496062992125984" footer="0.31496062992125984"/>
  <pageSetup paperSize="9" scale="65" fitToWidth="0"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9186-ED54-4C0E-8A9B-6FB79A530F9B}">
  <sheetPr>
    <tabColor theme="1"/>
    <pageSetUpPr fitToPage="1"/>
  </sheetPr>
  <dimension ref="B1:AD64"/>
  <sheetViews>
    <sheetView showGridLines="0" view="pageBreakPreview" topLeftCell="A8" zoomScaleNormal="100" zoomScaleSheetLayoutView="100" workbookViewId="0">
      <selection activeCell="D25" sqref="D25"/>
    </sheetView>
  </sheetViews>
  <sheetFormatPr defaultRowHeight="14.4"/>
  <cols>
    <col min="2" max="2" width="53.5546875" bestFit="1" customWidth="1"/>
    <col min="3" max="3" width="8.44140625" bestFit="1" customWidth="1"/>
    <col min="4" max="4" width="24.109375" style="58" customWidth="1"/>
    <col min="5" max="5" width="23.5546875" style="58" customWidth="1"/>
    <col min="6" max="6" width="14.5546875" hidden="1" customWidth="1"/>
    <col min="7" max="26" width="0" hidden="1" customWidth="1"/>
    <col min="27" max="27" width="11.33203125" bestFit="1" customWidth="1"/>
    <col min="28" max="28" width="9.6640625" bestFit="1" customWidth="1"/>
    <col min="29" max="29" width="15.109375" bestFit="1" customWidth="1"/>
    <col min="30" max="30" width="7.109375" bestFit="1" customWidth="1"/>
  </cols>
  <sheetData>
    <row r="1" spans="2:6" ht="18">
      <c r="B1" s="975" t="str">
        <f>IF('Control Sheet'!$C$3&gt;0,'Control Sheet'!$C$3,'Control Sheet'!$B$3)</f>
        <v>Saptaranga Research and Organic Private Limited</v>
      </c>
      <c r="C1" s="975"/>
      <c r="D1" s="975"/>
      <c r="E1" s="975"/>
      <c r="F1" s="110"/>
    </row>
    <row r="2" spans="2:6">
      <c r="B2" s="976" t="str">
        <f>IF('Control Sheet'!$C$4&gt;0,'Control Sheet'!$C$4,'Control Sheet'!$B$4)</f>
        <v xml:space="preserve">Plot No 45, </v>
      </c>
      <c r="C2" s="976"/>
      <c r="D2" s="976"/>
      <c r="E2" s="976"/>
      <c r="F2" s="111"/>
    </row>
    <row r="3" spans="2:6">
      <c r="B3" s="976" t="str">
        <f>IF('Control Sheet'!$C$5&gt;0,'Control Sheet'!$C$5,'Control Sheet'!$B$5)</f>
        <v>Ravindra Nagar P.M.G. Society</v>
      </c>
      <c r="C3" s="976"/>
      <c r="D3" s="976"/>
      <c r="E3" s="976"/>
      <c r="F3" s="111"/>
    </row>
    <row r="4" spans="2:6">
      <c r="B4" s="976" t="str">
        <f>IF('Control Sheet'!$C$6&gt;0,'Control Sheet'!$C$6,'Control Sheet'!$B$6)</f>
        <v>Nagpur MH 440022 IN</v>
      </c>
      <c r="C4" s="976"/>
      <c r="D4" s="976"/>
      <c r="E4" s="976"/>
      <c r="F4" s="111"/>
    </row>
    <row r="5" spans="2:6">
      <c r="B5" s="605"/>
      <c r="C5" s="605"/>
      <c r="D5" s="605"/>
      <c r="E5" s="605"/>
      <c r="F5" s="32"/>
    </row>
    <row r="6" spans="2:6">
      <c r="B6" s="985" t="str">
        <f>IF('Control Sheet'!$C$7&gt;0,CONCATENATE("PROFIT &amp; LOSS ACCOUNT FOR THE YEAR ENDING"," ",TEXT('Control Sheet'!$C$7,"DD-MMM-YYYY")),"PROFIT &amp; LOSS ACCOUNT FOR THE YEAR ENDING&lt;Date&gt;")</f>
        <v>PROFIT &amp; LOSS ACCOUNT FOR THE YEAR ENDING 31-Mar-2023</v>
      </c>
      <c r="C6" s="985"/>
      <c r="D6" s="985"/>
      <c r="E6" s="985"/>
    </row>
    <row r="7" spans="2:6">
      <c r="B7" s="33"/>
      <c r="C7" s="33"/>
      <c r="D7" s="33"/>
      <c r="E7" s="33"/>
    </row>
    <row r="8" spans="2:6" ht="15" thickBot="1">
      <c r="B8" s="33"/>
      <c r="C8" s="33"/>
      <c r="D8" s="978" t="str">
        <f>IF('Control Sheet'!$D$18="Specify in Cell E16",'Support Sheet'!$G$10,'Control Sheet'!$C$18)</f>
        <v>In Rs. hundreds</v>
      </c>
      <c r="E8" s="978"/>
    </row>
    <row r="9" spans="2:6">
      <c r="B9" s="986" t="s">
        <v>0</v>
      </c>
      <c r="C9" s="986" t="s">
        <v>1</v>
      </c>
      <c r="D9" s="263" t="s">
        <v>32</v>
      </c>
      <c r="E9" s="59" t="s">
        <v>32</v>
      </c>
    </row>
    <row r="10" spans="2:6" ht="15" thickBot="1">
      <c r="B10" s="987"/>
      <c r="C10" s="987"/>
      <c r="D10" s="612">
        <f>IF('Control Sheet'!$C$7&gt;0,'Control Sheet'!$C$7,'Control Sheet'!$B$7)</f>
        <v>45016</v>
      </c>
      <c r="E10" s="613">
        <f>IF('Control Sheet'!$C$8&gt;0,'Control Sheet'!$C$8,'Control Sheet'!$B$8)</f>
        <v>44651</v>
      </c>
    </row>
    <row r="11" spans="2:6">
      <c r="B11" s="34" t="s">
        <v>40</v>
      </c>
      <c r="C11" s="35">
        <f>BS!D53+1</f>
        <v>26</v>
      </c>
      <c r="D11" s="596">
        <f>'PL Notes'!E16</f>
        <v>3725.1448</v>
      </c>
      <c r="E11" s="50">
        <f>'PL Notes'!F16</f>
        <v>120</v>
      </c>
    </row>
    <row r="12" spans="2:6">
      <c r="B12" s="36" t="s">
        <v>33</v>
      </c>
      <c r="C12" s="37">
        <f>C11+1</f>
        <v>27</v>
      </c>
      <c r="D12" s="597">
        <f>'PL Notes'!E24</f>
        <v>144</v>
      </c>
      <c r="E12" s="51">
        <f>'PL Notes'!F24</f>
        <v>0</v>
      </c>
    </row>
    <row r="13" spans="2:6">
      <c r="B13" s="38" t="s">
        <v>34</v>
      </c>
      <c r="C13" s="37"/>
      <c r="D13" s="598">
        <f>SUM(D11:D12)</f>
        <v>3869.1448</v>
      </c>
      <c r="E13" s="52">
        <f>SUM(E11:E12)</f>
        <v>120</v>
      </c>
    </row>
    <row r="14" spans="2:6">
      <c r="B14" s="38"/>
      <c r="C14" s="37"/>
      <c r="D14" s="599"/>
      <c r="E14" s="53"/>
    </row>
    <row r="15" spans="2:6">
      <c r="B15" s="36" t="s">
        <v>35</v>
      </c>
      <c r="C15" s="37"/>
      <c r="D15" s="597"/>
      <c r="E15" s="51"/>
    </row>
    <row r="16" spans="2:6">
      <c r="B16" s="36" t="s">
        <v>41</v>
      </c>
      <c r="C16" s="37">
        <f>C12+1</f>
        <v>28</v>
      </c>
      <c r="D16" s="597">
        <f>'PL Notes'!E41</f>
        <v>1766.4185</v>
      </c>
      <c r="E16" s="51">
        <f>'PL Notes'!F41</f>
        <v>95</v>
      </c>
    </row>
    <row r="17" spans="2:30">
      <c r="B17" s="39" t="s">
        <v>36</v>
      </c>
      <c r="C17" s="37">
        <f>C16+1</f>
        <v>29</v>
      </c>
      <c r="D17" s="597">
        <f>'PL Notes'!E46</f>
        <v>0</v>
      </c>
      <c r="E17" s="51">
        <f>'PL Notes'!F45</f>
        <v>0</v>
      </c>
    </row>
    <row r="18" spans="2:30">
      <c r="B18" s="40" t="s">
        <v>344</v>
      </c>
      <c r="C18" s="37">
        <f>C17+1</f>
        <v>30</v>
      </c>
      <c r="D18" s="597"/>
      <c r="E18" s="51"/>
    </row>
    <row r="19" spans="2:30">
      <c r="B19" s="40" t="s">
        <v>345</v>
      </c>
      <c r="C19" s="37"/>
      <c r="D19" s="600">
        <f>'PL Notes'!E54</f>
        <v>0</v>
      </c>
      <c r="E19" s="51">
        <f>'PL Notes'!F54</f>
        <v>0</v>
      </c>
    </row>
    <row r="20" spans="2:30">
      <c r="B20" s="40" t="s">
        <v>347</v>
      </c>
      <c r="C20" s="37"/>
      <c r="D20" s="597">
        <f>'PL Notes'!E58</f>
        <v>0</v>
      </c>
      <c r="E20" s="51">
        <f>'PL Notes'!F58</f>
        <v>0</v>
      </c>
    </row>
    <row r="21" spans="2:30">
      <c r="B21" s="40" t="s">
        <v>346</v>
      </c>
      <c r="C21" s="37"/>
      <c r="D21" s="597">
        <f>'PL Notes'!E62</f>
        <v>0</v>
      </c>
      <c r="E21" s="51">
        <f>'PL Notes'!F62</f>
        <v>0</v>
      </c>
    </row>
    <row r="22" spans="2:30">
      <c r="B22" s="36" t="s">
        <v>58</v>
      </c>
      <c r="C22" s="37">
        <f>C18+1</f>
        <v>31</v>
      </c>
      <c r="D22" s="597">
        <f>'PL Notes'!E71</f>
        <v>4751.2</v>
      </c>
      <c r="E22" s="51">
        <f>'PL Notes'!F71</f>
        <v>0</v>
      </c>
    </row>
    <row r="23" spans="2:30">
      <c r="B23" s="36" t="s">
        <v>42</v>
      </c>
      <c r="C23" s="37">
        <f>C22+1</f>
        <v>32</v>
      </c>
      <c r="D23" s="597">
        <f>'PL Notes'!E78</f>
        <v>57.4422</v>
      </c>
      <c r="E23" s="51">
        <f>'PL Notes'!F78</f>
        <v>0</v>
      </c>
      <c r="AA23" s="227" t="s">
        <v>451</v>
      </c>
      <c r="AB23" s="227" t="s">
        <v>452</v>
      </c>
      <c r="AC23" s="227" t="s">
        <v>453</v>
      </c>
      <c r="AD23" s="227" t="s">
        <v>456</v>
      </c>
    </row>
    <row r="24" spans="2:30">
      <c r="B24" s="36" t="s">
        <v>43</v>
      </c>
      <c r="C24" s="37">
        <f>BS!D38</f>
        <v>12</v>
      </c>
      <c r="D24" s="597">
        <f>'PPE &amp; Intangibles '!I18+'PPE &amp; Intangibles '!I36</f>
        <v>0</v>
      </c>
      <c r="E24" s="423">
        <f>SUMIFS('Trial Balance'!$E:$E,'Trial Balance'!$F:$F,PL!$AA24,'Trial Balance'!$G:$G,PL!$AB24,'Trial Balance'!$H:$H,PL!$AC24,'Trial Balance'!$I:$I,PL!$AD24)/'Support Sheet'!$G$10</f>
        <v>0</v>
      </c>
      <c r="AA24" s="36" t="s">
        <v>43</v>
      </c>
      <c r="AB24">
        <v>0</v>
      </c>
      <c r="AC24">
        <v>0</v>
      </c>
      <c r="AD24">
        <v>0</v>
      </c>
    </row>
    <row r="25" spans="2:30">
      <c r="B25" s="36" t="s">
        <v>44</v>
      </c>
      <c r="C25" s="37">
        <f>C23+1</f>
        <v>33</v>
      </c>
      <c r="D25" s="597">
        <f>'PL Notes'!E102</f>
        <v>2695.5302000000001</v>
      </c>
      <c r="E25" s="51">
        <f>'PL Notes'!F102</f>
        <v>47.74</v>
      </c>
    </row>
    <row r="26" spans="2:30">
      <c r="B26" s="38" t="s">
        <v>62</v>
      </c>
      <c r="C26" s="37"/>
      <c r="D26" s="598">
        <f>SUM(D16:D25)</f>
        <v>9270.5908999999992</v>
      </c>
      <c r="E26" s="52">
        <f>SUM(E16:E25)</f>
        <v>142.74</v>
      </c>
    </row>
    <row r="27" spans="2:30" ht="29.4" thickBot="1">
      <c r="B27" s="41" t="s">
        <v>46</v>
      </c>
      <c r="C27" s="37"/>
      <c r="D27" s="601">
        <f>D13-D26</f>
        <v>-5401.4460999999992</v>
      </c>
      <c r="E27" s="54">
        <f>E13-E26</f>
        <v>-22.740000000000009</v>
      </c>
    </row>
    <row r="28" spans="2:30" ht="15" thickTop="1">
      <c r="B28" s="36"/>
      <c r="C28" s="37"/>
      <c r="D28" s="597"/>
      <c r="E28" s="51"/>
    </row>
    <row r="29" spans="2:30">
      <c r="B29" s="36" t="s">
        <v>45</v>
      </c>
      <c r="C29" s="37">
        <f>C25+1</f>
        <v>34</v>
      </c>
      <c r="D29" s="545">
        <f>'PL Notes'!E108</f>
        <v>0</v>
      </c>
      <c r="E29" s="423">
        <f>'PL Notes'!F108</f>
        <v>0</v>
      </c>
    </row>
    <row r="30" spans="2:30">
      <c r="B30" s="36" t="s">
        <v>47</v>
      </c>
      <c r="C30" s="37"/>
      <c r="D30" s="597">
        <f>D27+D29</f>
        <v>-5401.4460999999992</v>
      </c>
      <c r="E30" s="51">
        <f>E27+E29</f>
        <v>-22.740000000000009</v>
      </c>
    </row>
    <row r="31" spans="2:30">
      <c r="B31" s="36" t="s">
        <v>37</v>
      </c>
      <c r="C31" s="37">
        <f>C29+1</f>
        <v>35</v>
      </c>
      <c r="D31" s="545">
        <f>'PL Notes'!E114</f>
        <v>0</v>
      </c>
      <c r="E31" s="423">
        <f>'PL Notes'!F114</f>
        <v>0</v>
      </c>
    </row>
    <row r="32" spans="2:30">
      <c r="B32" s="36"/>
      <c r="C32" s="37"/>
      <c r="D32" s="597"/>
      <c r="E32" s="51"/>
    </row>
    <row r="33" spans="2:30">
      <c r="B33" s="42" t="s">
        <v>57</v>
      </c>
      <c r="C33" s="44"/>
      <c r="D33" s="599">
        <f>D30+D31</f>
        <v>-5401.4460999999992</v>
      </c>
      <c r="E33" s="53">
        <f>E30+E31</f>
        <v>-22.740000000000009</v>
      </c>
    </row>
    <row r="34" spans="2:30">
      <c r="B34" s="36"/>
      <c r="C34" s="37"/>
      <c r="D34" s="597">
        <v>0</v>
      </c>
      <c r="E34" s="51">
        <v>0</v>
      </c>
    </row>
    <row r="35" spans="2:30">
      <c r="B35" s="36" t="s">
        <v>51</v>
      </c>
      <c r="C35" s="37"/>
      <c r="D35" s="597"/>
      <c r="E35" s="51"/>
      <c r="AA35" s="227" t="s">
        <v>451</v>
      </c>
      <c r="AB35" s="227" t="s">
        <v>452</v>
      </c>
      <c r="AC35" s="227" t="s">
        <v>453</v>
      </c>
      <c r="AD35" s="227" t="s">
        <v>456</v>
      </c>
    </row>
    <row r="36" spans="2:30">
      <c r="B36" s="43" t="s">
        <v>50</v>
      </c>
      <c r="C36" s="37"/>
      <c r="D36" s="597">
        <f>'PPE &amp; Intangibles '!I30+'PPE &amp; Intangibles '!I48</f>
        <v>0</v>
      </c>
      <c r="E36" s="423">
        <f>SUMIFS('Trial Balance'!$E:$E,'Trial Balance'!$F:$F,PL!$AA36,'Trial Balance'!$G:$G,PL!$AB36,'Trial Balance'!$H:$H,PL!$AC36,'Trial Balance'!$I:$I,PL!$AD36)/'Support Sheet'!$G$10</f>
        <v>0</v>
      </c>
      <c r="AA36" s="36" t="s">
        <v>1018</v>
      </c>
      <c r="AB36">
        <v>0</v>
      </c>
      <c r="AC36">
        <v>0</v>
      </c>
      <c r="AD36">
        <v>0</v>
      </c>
    </row>
    <row r="37" spans="2:30">
      <c r="B37" s="43" t="s">
        <v>48</v>
      </c>
      <c r="C37" s="37">
        <f>C31+1</f>
        <v>36</v>
      </c>
      <c r="D37" s="597">
        <f>'PL Notes'!E120</f>
        <v>0</v>
      </c>
      <c r="E37" s="51">
        <f>'PL Notes'!F120</f>
        <v>0</v>
      </c>
    </row>
    <row r="38" spans="2:30" ht="28.8">
      <c r="B38" s="41" t="s">
        <v>49</v>
      </c>
      <c r="C38" s="44"/>
      <c r="D38" s="599">
        <f>D33-D37-D36</f>
        <v>-5401.4460999999992</v>
      </c>
      <c r="E38" s="53">
        <f>E33-E37-E36</f>
        <v>-22.740000000000009</v>
      </c>
    </row>
    <row r="39" spans="2:30">
      <c r="B39" s="36"/>
      <c r="C39" s="37"/>
      <c r="D39" s="597"/>
      <c r="E39" s="51"/>
      <c r="AA39" s="227" t="s">
        <v>451</v>
      </c>
      <c r="AB39" s="227" t="s">
        <v>452</v>
      </c>
      <c r="AC39" s="227" t="s">
        <v>453</v>
      </c>
      <c r="AD39" s="227" t="s">
        <v>456</v>
      </c>
    </row>
    <row r="40" spans="2:30">
      <c r="B40" s="36" t="s">
        <v>56</v>
      </c>
      <c r="C40" s="37"/>
      <c r="D40" s="545">
        <f>SUMIFS('Trial Balance'!$D:$D,'Trial Balance'!$F:$F,PL!$AA40,'Trial Balance'!$G:$G,PL!$AB40,'Trial Balance'!$H:$H,PL!$AC40,'Trial Balance'!$I:$I,PL!$AD40)/'Support Sheet'!$G$10</f>
        <v>0</v>
      </c>
      <c r="E40" s="423">
        <f>SUMIFS('Trial Balance'!$E:$E,'Trial Balance'!$F:$F,PL!$AA40,'Trial Balance'!$G:$G,PL!$AB40,'Trial Balance'!$H:$H,PL!$AC40,'Trial Balance'!$I:$I,PL!$AD40)/'Support Sheet'!$G$10</f>
        <v>0</v>
      </c>
      <c r="AA40" t="s">
        <v>835</v>
      </c>
      <c r="AB40" t="s">
        <v>838</v>
      </c>
      <c r="AC40">
        <v>0</v>
      </c>
      <c r="AD40">
        <v>0</v>
      </c>
    </row>
    <row r="41" spans="2:30">
      <c r="B41" s="36" t="s">
        <v>55</v>
      </c>
      <c r="C41" s="37"/>
      <c r="D41" s="545">
        <f>SUMIFS('Trial Balance'!$D:$D,'Trial Balance'!$F:$F,PL!$AA41,'Trial Balance'!$G:$G,PL!$AB41,'Trial Balance'!$H:$H,PL!$AC41,'Trial Balance'!$I:$I,PL!$AD41)/'Support Sheet'!$G$10</f>
        <v>0</v>
      </c>
      <c r="E41" s="423">
        <f>SUMIFS('Trial Balance'!$E:$E,'Trial Balance'!$F:$F,PL!$AA41,'Trial Balance'!$G:$G,PL!$AB41,'Trial Balance'!$H:$H,PL!$AC41,'Trial Balance'!$I:$I,PL!$AD41)/'Support Sheet'!$G$10</f>
        <v>0</v>
      </c>
      <c r="AA41" t="s">
        <v>835</v>
      </c>
      <c r="AB41" t="s">
        <v>839</v>
      </c>
      <c r="AC41">
        <v>0</v>
      </c>
      <c r="AD41">
        <v>0</v>
      </c>
    </row>
    <row r="42" spans="2:30">
      <c r="B42" s="60" t="s">
        <v>54</v>
      </c>
      <c r="C42" s="37"/>
      <c r="D42" s="597">
        <f>D40-D41</f>
        <v>0</v>
      </c>
      <c r="E42" s="51">
        <f>E40-E41</f>
        <v>0</v>
      </c>
    </row>
    <row r="43" spans="2:30">
      <c r="B43" s="42" t="s">
        <v>53</v>
      </c>
      <c r="C43" s="44"/>
      <c r="D43" s="599">
        <f>D38+D42</f>
        <v>-5401.4460999999992</v>
      </c>
      <c r="E43" s="53">
        <f>E38+E42</f>
        <v>-22.740000000000009</v>
      </c>
    </row>
    <row r="44" spans="2:30">
      <c r="B44" s="36" t="s">
        <v>52</v>
      </c>
      <c r="C44" s="37"/>
      <c r="D44" s="597"/>
      <c r="E44" s="51"/>
    </row>
    <row r="45" spans="2:30">
      <c r="B45" s="45" t="s">
        <v>38</v>
      </c>
      <c r="C45" s="37"/>
      <c r="D45" s="51">
        <f>IFERROR(((D43*'Support Sheet'!$G$10)/'Share Capital and WIP info'!C8),0)</f>
        <v>-540.14460999999983</v>
      </c>
      <c r="E45" s="51">
        <f>IFERROR(((E43*'Support Sheet'!$G$10)/'Share Capital and WIP info'!C9),0)</f>
        <v>-2.2740000000000009</v>
      </c>
    </row>
    <row r="46" spans="2:30" ht="15" thickBot="1">
      <c r="B46" s="46" t="s">
        <v>39</v>
      </c>
      <c r="C46" s="47"/>
      <c r="D46" s="828">
        <f>IFERROR(((D43*'Support Sheet'!$G$10)/'Share Capital and WIP info'!C43),0)</f>
        <v>-540.14460999999983</v>
      </c>
      <c r="E46" s="828">
        <f>IFERROR(((E43*'Support Sheet'!$G$10)/'Share Capital and WIP info'!C44),0)</f>
        <v>-2.2740000000000009</v>
      </c>
    </row>
    <row r="47" spans="2:30">
      <c r="B47" s="49"/>
      <c r="C47" s="397"/>
      <c r="D47" s="55"/>
      <c r="E47" s="55"/>
    </row>
    <row r="48" spans="2:30">
      <c r="B48" s="988"/>
      <c r="C48" s="988"/>
      <c r="D48" s="56"/>
      <c r="E48" s="56"/>
    </row>
    <row r="49" spans="2:6">
      <c r="B49" s="48"/>
      <c r="C49" s="49"/>
      <c r="D49" s="57"/>
      <c r="E49" s="57"/>
    </row>
    <row r="50" spans="2:6">
      <c r="B50" s="974" t="s">
        <v>17</v>
      </c>
      <c r="C50" s="974"/>
      <c r="D50" s="11"/>
      <c r="E50" s="11"/>
      <c r="F50" s="20"/>
    </row>
    <row r="51" spans="2:6">
      <c r="B51" s="972" t="s">
        <v>27</v>
      </c>
      <c r="C51" s="972"/>
      <c r="D51" s="21" t="str">
        <f>_xlfn.CONCAT("For ",IF('Control Sheet'!$C$3&gt;0,'Control Sheet'!$C$3,'Control Sheet'!$B$3))</f>
        <v>For Saptaranga Research and Organic Private Limited</v>
      </c>
      <c r="E51" s="57"/>
      <c r="F51" s="21"/>
    </row>
    <row r="52" spans="2:6">
      <c r="B52" s="973" t="s">
        <v>18</v>
      </c>
      <c r="C52" s="973"/>
      <c r="D52" s="18"/>
      <c r="E52" s="57"/>
      <c r="F52" s="18"/>
    </row>
    <row r="53" spans="2:6">
      <c r="B53" s="15"/>
      <c r="C53" s="13"/>
      <c r="D53" s="11"/>
      <c r="E53" s="57"/>
      <c r="F53" s="11"/>
    </row>
    <row r="54" spans="2:6">
      <c r="B54" s="15"/>
      <c r="C54" s="13"/>
      <c r="D54" s="11"/>
      <c r="E54" s="57"/>
      <c r="F54" s="11"/>
    </row>
    <row r="55" spans="2:6">
      <c r="B55" s="15"/>
      <c r="C55" s="13"/>
      <c r="D55" s="18"/>
      <c r="E55" s="57"/>
      <c r="F55" s="18"/>
    </row>
    <row r="56" spans="2:6">
      <c r="B56" s="21" t="str">
        <f>IF('Control Sheet'!$C$9&gt;0,'Control Sheet'!$C$9,'Control Sheet'!$B$9)</f>
        <v>CA. Ashutosh Joshi</v>
      </c>
      <c r="C56" s="21"/>
      <c r="D56" s="2" t="str">
        <f>IF('Control Sheet'!$C$13&gt;0,'Control Sheet'!$C$13,'Control Sheet'!$B$13)</f>
        <v>Shrutika Kailash Bagul</v>
      </c>
      <c r="E56" s="2" t="str">
        <f>IF('Control Sheet'!$C$15&gt;0,'Control Sheet'!$C$15,'Control Sheet'!$B$15)</f>
        <v>Kalindi Ramesh Dhakulkar</v>
      </c>
    </row>
    <row r="57" spans="2:6">
      <c r="B57" s="972" t="s">
        <v>19</v>
      </c>
      <c r="C57" s="972"/>
      <c r="D57" s="23" t="s">
        <v>20</v>
      </c>
      <c r="E57" s="23" t="s">
        <v>20</v>
      </c>
    </row>
    <row r="58" spans="2:6">
      <c r="B58" s="21" t="str">
        <f>IF('Control Sheet'!$C$10&gt;0,'Control Sheet'!$C$10,'Control Sheet'!$B$10)</f>
        <v>038193</v>
      </c>
      <c r="C58" s="21"/>
      <c r="D58" s="2" t="str">
        <f>_xlfn.CONCAT("DIN: ",IF('Control Sheet'!$C$14&gt;0,TEXT('Control Sheet'!$C$14,"00000000"),'Control Sheet'!$B$14))</f>
        <v>DIN: 09390033</v>
      </c>
      <c r="E58" s="2" t="str">
        <f>_xlfn.CONCAT("DIN: ",IF('Control Sheet'!$C$16&gt;0,TEXT('Control Sheet'!$C$16,"00000000"),'Control Sheet'!$B$16))</f>
        <v>DIN: 09390034</v>
      </c>
    </row>
    <row r="59" spans="2:6">
      <c r="B59" s="24"/>
      <c r="C59" s="24"/>
      <c r="D59" s="2"/>
      <c r="E59" s="57"/>
      <c r="F59" s="2"/>
    </row>
    <row r="60" spans="2:6">
      <c r="B60" s="22" t="str">
        <f>CONCATENATE("UDIN : ",'Control Sheet'!$C$19)</f>
        <v xml:space="preserve">UDIN : </v>
      </c>
      <c r="C60" s="11" t="s">
        <v>21</v>
      </c>
      <c r="D60" s="11"/>
      <c r="E60" s="57"/>
      <c r="F60" s="11"/>
    </row>
    <row r="61" spans="2:6">
      <c r="B61" s="22"/>
      <c r="C61" s="11"/>
      <c r="D61" s="11"/>
      <c r="E61" s="57"/>
      <c r="F61" s="11"/>
    </row>
    <row r="62" spans="2:6">
      <c r="B62" s="21" t="str">
        <f>IF('Control Sheet'!$C$11&gt;0,'Control Sheet'!$C$11,'Control Sheet'!$B$11)</f>
        <v>Nagpur</v>
      </c>
      <c r="C62" s="11"/>
      <c r="D62" s="11"/>
      <c r="E62" s="57"/>
      <c r="F62" s="11"/>
    </row>
    <row r="63" spans="2:6">
      <c r="B63" s="610">
        <f>IF('Control Sheet'!$C$12&gt;0,'Control Sheet'!$C$12,'Control Sheet'!$B$12)</f>
        <v>45174</v>
      </c>
      <c r="C63" s="11"/>
      <c r="D63" s="11"/>
      <c r="E63" s="57"/>
      <c r="F63" s="11"/>
    </row>
    <row r="64" spans="2:6">
      <c r="B64" s="614"/>
      <c r="C64" s="11"/>
      <c r="D64" s="11"/>
      <c r="E64" s="57"/>
      <c r="F64" s="11"/>
    </row>
  </sheetData>
  <mergeCells count="13">
    <mergeCell ref="B3:E3"/>
    <mergeCell ref="B4:E4"/>
    <mergeCell ref="B57:C57"/>
    <mergeCell ref="B1:E1"/>
    <mergeCell ref="B2:E2"/>
    <mergeCell ref="B6:E6"/>
    <mergeCell ref="D8:E8"/>
    <mergeCell ref="B9:B10"/>
    <mergeCell ref="C9:C10"/>
    <mergeCell ref="B48:C48"/>
    <mergeCell ref="B50:C50"/>
    <mergeCell ref="B51:C51"/>
    <mergeCell ref="B52:C52"/>
  </mergeCells>
  <pageMargins left="0.7" right="0.7" top="0.75" bottom="0.75" header="0.3" footer="0.3"/>
  <pageSetup paperSize="9" scale="75" fitToWidth="0" orientation="portrait" verticalDpi="300" r:id="rId1"/>
  <rowBreaks count="1" manualBreakCount="1">
    <brk id="46" min="1" max="4"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D33E7-9D01-449E-8687-3BCC67A5CF29}">
  <sheetPr>
    <tabColor theme="1"/>
    <pageSetUpPr fitToPage="1"/>
  </sheetPr>
  <dimension ref="B1:E77"/>
  <sheetViews>
    <sheetView showGridLines="0" view="pageBreakPreview" zoomScaleNormal="100" zoomScaleSheetLayoutView="100" workbookViewId="0">
      <selection activeCell="B1" sqref="B1:E1"/>
    </sheetView>
  </sheetViews>
  <sheetFormatPr defaultRowHeight="14.4"/>
  <cols>
    <col min="2" max="2" width="16.33203125" bestFit="1" customWidth="1"/>
    <col min="3" max="3" width="54.5546875" bestFit="1" customWidth="1"/>
    <col min="4" max="5" width="23.109375" bestFit="1" customWidth="1"/>
  </cols>
  <sheetData>
    <row r="1" spans="2:5" ht="18">
      <c r="B1" s="975" t="str">
        <f>IF('Control Sheet'!$C$3&gt;0,'Control Sheet'!$C$3,'Control Sheet'!$B$3)</f>
        <v>Saptaranga Research and Organic Private Limited</v>
      </c>
      <c r="C1" s="975"/>
      <c r="D1" s="975"/>
      <c r="E1" s="975"/>
    </row>
    <row r="2" spans="2:5">
      <c r="B2" s="976" t="str">
        <f>IF('Control Sheet'!$C$4&gt;0,'Control Sheet'!$C$4,'Control Sheet'!$B$4)</f>
        <v xml:space="preserve">Plot No 45, </v>
      </c>
      <c r="C2" s="976"/>
      <c r="D2" s="976"/>
      <c r="E2" s="976"/>
    </row>
    <row r="3" spans="2:5">
      <c r="B3" s="976" t="str">
        <f>IF('Control Sheet'!$C$5&gt;0,'Control Sheet'!$C$5,'Control Sheet'!$B$5)</f>
        <v>Ravindra Nagar P.M.G. Society</v>
      </c>
      <c r="C3" s="976"/>
      <c r="D3" s="976"/>
      <c r="E3" s="976"/>
    </row>
    <row r="4" spans="2:5">
      <c r="B4" s="976" t="str">
        <f>IF('Control Sheet'!$C$6&gt;0,'Control Sheet'!$C$6,'Control Sheet'!$B$6)</f>
        <v>Nagpur MH 440022 IN</v>
      </c>
      <c r="C4" s="976"/>
      <c r="D4" s="976"/>
      <c r="E4" s="976"/>
    </row>
    <row r="5" spans="2:5">
      <c r="B5" s="605"/>
      <c r="C5" s="605"/>
      <c r="D5" s="605"/>
      <c r="E5" s="605"/>
    </row>
    <row r="6" spans="2:5">
      <c r="B6" s="985" t="str">
        <f>IF('Control Sheet'!$C$7&gt;0,CONCATENATE(" CASH FLOW STATEMENT FOR YEAR ENDED"," ",TEXT('Control Sheet'!$C$7,"DD-MMM-YYYY"))," CASH FLOW STATEMENT FOR YEAR ENDED &lt;Date&gt;")</f>
        <v xml:space="preserve"> CASH FLOW STATEMENT FOR YEAR ENDED 31-Mar-2023</v>
      </c>
      <c r="C6" s="985"/>
      <c r="D6" s="985"/>
      <c r="E6" s="985"/>
    </row>
    <row r="7" spans="2:5" ht="15" thickBot="1">
      <c r="B7" s="759"/>
      <c r="C7" s="760"/>
      <c r="D7" s="760"/>
      <c r="E7" s="761" t="str">
        <f>IF('Control Sheet'!$D$18="Specify in Cell E16",'Support Sheet'!$G$10,'Control Sheet'!$C$18)</f>
        <v>In Rs. hundreds</v>
      </c>
    </row>
    <row r="8" spans="2:5">
      <c r="B8" s="990" t="s">
        <v>0</v>
      </c>
      <c r="C8" s="991"/>
      <c r="D8" s="59" t="s">
        <v>32</v>
      </c>
      <c r="E8" s="59" t="s">
        <v>32</v>
      </c>
    </row>
    <row r="9" spans="2:5" ht="15" thickBot="1">
      <c r="B9" s="992"/>
      <c r="C9" s="993"/>
      <c r="D9" s="612">
        <f>IF('Control Sheet'!$C$7&gt;0,'Control Sheet'!$C$7,'Control Sheet'!$B$7)</f>
        <v>45016</v>
      </c>
      <c r="E9" s="613">
        <f>IF('Control Sheet'!$C$8&gt;0,'Control Sheet'!$C$8,'Control Sheet'!$B$8)</f>
        <v>44651</v>
      </c>
    </row>
    <row r="10" spans="2:5">
      <c r="B10" s="74" t="s">
        <v>63</v>
      </c>
      <c r="C10" s="401" t="s">
        <v>75</v>
      </c>
      <c r="D10" s="762"/>
      <c r="E10" s="763"/>
    </row>
    <row r="11" spans="2:5">
      <c r="B11" s="72"/>
      <c r="C11" s="402" t="s">
        <v>76</v>
      </c>
      <c r="D11" s="75">
        <f>PL!D33</f>
        <v>-5401.4460999999992</v>
      </c>
      <c r="E11" s="76">
        <f>PL!E33</f>
        <v>-22.740000000000009</v>
      </c>
    </row>
    <row r="12" spans="2:5">
      <c r="B12" s="116" t="s">
        <v>81</v>
      </c>
      <c r="C12" s="403"/>
      <c r="D12" s="262"/>
      <c r="E12" s="76"/>
    </row>
    <row r="13" spans="2:5">
      <c r="B13" s="72"/>
      <c r="C13" s="402" t="s">
        <v>64</v>
      </c>
      <c r="D13" s="75">
        <f>PL!D24</f>
        <v>0</v>
      </c>
      <c r="E13" s="76">
        <f>PL!E24</f>
        <v>0</v>
      </c>
    </row>
    <row r="14" spans="2:5">
      <c r="B14" s="72"/>
      <c r="C14" s="402" t="s">
        <v>65</v>
      </c>
      <c r="D14" s="75">
        <f>-'PL Notes'!E20</f>
        <v>-144</v>
      </c>
      <c r="E14" s="76">
        <f>-'PL Notes'!F20</f>
        <v>0</v>
      </c>
    </row>
    <row r="15" spans="2:5">
      <c r="B15" s="72"/>
      <c r="C15" s="402" t="s">
        <v>66</v>
      </c>
      <c r="D15" s="75">
        <f>PL!D23</f>
        <v>57.4422</v>
      </c>
      <c r="E15" s="76">
        <f>PL!E23</f>
        <v>0</v>
      </c>
    </row>
    <row r="16" spans="2:5">
      <c r="B16" s="72"/>
      <c r="C16" s="402" t="s">
        <v>353</v>
      </c>
      <c r="D16" s="75">
        <f>-'PL Notes'!E21</f>
        <v>0</v>
      </c>
      <c r="E16" s="76">
        <f>-'PL Notes'!F21</f>
        <v>0</v>
      </c>
    </row>
    <row r="17" spans="2:5">
      <c r="B17" s="72"/>
      <c r="C17" s="402" t="s">
        <v>693</v>
      </c>
      <c r="D17" s="75">
        <f>-'PL Notes'!E22</f>
        <v>0</v>
      </c>
      <c r="E17" s="76">
        <f>-'PL Notes'!F22</f>
        <v>0</v>
      </c>
    </row>
    <row r="18" spans="2:5">
      <c r="B18" s="72"/>
      <c r="C18" s="402" t="s">
        <v>694</v>
      </c>
      <c r="D18" s="398">
        <f>'PL Notes'!E23</f>
        <v>0</v>
      </c>
      <c r="E18" s="399">
        <f>'PL Notes'!F23</f>
        <v>0</v>
      </c>
    </row>
    <row r="19" spans="2:5">
      <c r="B19" s="72"/>
      <c r="C19" s="402" t="s">
        <v>695</v>
      </c>
      <c r="D19" s="75">
        <f>-'PL Notes'!E23</f>
        <v>0</v>
      </c>
      <c r="E19" s="76">
        <f>-'PL Notes'!F23</f>
        <v>0</v>
      </c>
    </row>
    <row r="20" spans="2:5">
      <c r="B20" s="72"/>
      <c r="C20" s="403" t="s">
        <v>82</v>
      </c>
      <c r="D20" s="77">
        <f>SUM(D11:D19)</f>
        <v>-5488.0038999999988</v>
      </c>
      <c r="E20" s="78">
        <f>SUM(E11:E19)</f>
        <v>-22.740000000000009</v>
      </c>
    </row>
    <row r="21" spans="2:5">
      <c r="B21" s="116" t="s">
        <v>81</v>
      </c>
      <c r="C21" s="402"/>
      <c r="D21" s="75"/>
      <c r="E21" s="76"/>
    </row>
    <row r="22" spans="2:5">
      <c r="B22" s="73"/>
      <c r="C22" s="402" t="s">
        <v>77</v>
      </c>
      <c r="D22" s="398">
        <v>0</v>
      </c>
      <c r="E22" s="399">
        <v>0</v>
      </c>
    </row>
    <row r="23" spans="2:5">
      <c r="B23" s="73"/>
      <c r="C23" s="402" t="s">
        <v>78</v>
      </c>
      <c r="D23" s="75">
        <f>'PL Notes'!E100</f>
        <v>0</v>
      </c>
      <c r="E23" s="76">
        <f>'PL Notes'!F100</f>
        <v>0</v>
      </c>
    </row>
    <row r="24" spans="2:5">
      <c r="B24" s="72"/>
      <c r="C24" s="402" t="s">
        <v>80</v>
      </c>
      <c r="D24" s="75">
        <f>SUM(BS!E29:E30)-SUM(BS!F29:F30)</f>
        <v>-36.136900000000004</v>
      </c>
      <c r="E24" s="76">
        <f>SUM(BS!F29:F30)-'Share Capital and WIP info'!D93</f>
        <v>95</v>
      </c>
    </row>
    <row r="25" spans="2:5">
      <c r="B25" s="72"/>
      <c r="C25" s="402" t="s">
        <v>699</v>
      </c>
      <c r="D25" s="75">
        <f>BS!E31-BS!F31</f>
        <v>2495.8919999999998</v>
      </c>
      <c r="E25" s="399">
        <v>0</v>
      </c>
    </row>
    <row r="26" spans="2:5">
      <c r="B26" s="72"/>
      <c r="C26" s="402" t="s">
        <v>696</v>
      </c>
      <c r="D26" s="75">
        <f>BS!F53-BS!E53</f>
        <v>-479.08620000000002</v>
      </c>
      <c r="E26" s="399">
        <v>0</v>
      </c>
    </row>
    <row r="27" spans="2:5">
      <c r="B27" s="72"/>
      <c r="C27" s="402" t="s">
        <v>697</v>
      </c>
      <c r="D27" s="75">
        <f>BS!F50-BS!E50</f>
        <v>0</v>
      </c>
      <c r="E27" s="399">
        <v>0</v>
      </c>
    </row>
    <row r="28" spans="2:5">
      <c r="B28" s="72"/>
      <c r="C28" s="402" t="s">
        <v>698</v>
      </c>
      <c r="D28" s="75">
        <f>BS!F49-BS!E49</f>
        <v>0</v>
      </c>
      <c r="E28" s="399">
        <v>0</v>
      </c>
    </row>
    <row r="29" spans="2:5">
      <c r="B29" s="72"/>
      <c r="C29" s="402" t="s">
        <v>700</v>
      </c>
      <c r="D29" s="75">
        <f>BS!F52-BS!E52</f>
        <v>0</v>
      </c>
      <c r="E29" s="399">
        <v>0</v>
      </c>
    </row>
    <row r="30" spans="2:5">
      <c r="B30" s="72"/>
      <c r="C30" s="402" t="s">
        <v>701</v>
      </c>
      <c r="D30" s="75">
        <f>BS!F45-BS!E45</f>
        <v>0</v>
      </c>
      <c r="E30" s="399">
        <v>0</v>
      </c>
    </row>
    <row r="31" spans="2:5">
      <c r="B31" s="72"/>
      <c r="C31" s="402" t="s">
        <v>710</v>
      </c>
      <c r="D31" s="75">
        <f>BS!E24-BS!F24</f>
        <v>0</v>
      </c>
      <c r="E31" s="399">
        <v>0</v>
      </c>
    </row>
    <row r="32" spans="2:5">
      <c r="B32" s="72"/>
      <c r="C32" s="402" t="s">
        <v>711</v>
      </c>
      <c r="D32" s="75">
        <f>BS!E22-BS!F22</f>
        <v>0</v>
      </c>
      <c r="E32" s="399">
        <v>0</v>
      </c>
    </row>
    <row r="33" spans="2:5">
      <c r="B33" s="72"/>
      <c r="C33" s="402" t="s">
        <v>712</v>
      </c>
      <c r="D33" s="75">
        <f>('BS Notes'!G106-'BS Notes'!G104)-('BS Notes'!H106-'BS Notes'!H104)</f>
        <v>177</v>
      </c>
      <c r="E33" s="399"/>
    </row>
    <row r="34" spans="2:5">
      <c r="B34" s="72"/>
      <c r="C34" s="402" t="s">
        <v>79</v>
      </c>
      <c r="D34" s="75">
        <f>'BS Notes'!G104-'BS Notes'!H104</f>
        <v>0</v>
      </c>
      <c r="E34" s="399">
        <v>0</v>
      </c>
    </row>
    <row r="35" spans="2:5">
      <c r="B35" s="72"/>
      <c r="C35" s="402" t="s">
        <v>68</v>
      </c>
      <c r="D35" s="398"/>
      <c r="E35" s="399">
        <v>0</v>
      </c>
    </row>
    <row r="36" spans="2:5">
      <c r="B36" s="72"/>
      <c r="C36" s="403" t="s">
        <v>83</v>
      </c>
      <c r="D36" s="77">
        <f>SUM(D22:D35)</f>
        <v>2157.6688999999997</v>
      </c>
      <c r="E36" s="78">
        <f>SUM(E22:E35)</f>
        <v>95</v>
      </c>
    </row>
    <row r="37" spans="2:5">
      <c r="B37" s="64"/>
      <c r="C37" s="65"/>
      <c r="D37" s="79"/>
      <c r="E37" s="80"/>
    </row>
    <row r="38" spans="2:5">
      <c r="B38" s="66" t="s">
        <v>69</v>
      </c>
      <c r="C38" s="404" t="s">
        <v>84</v>
      </c>
      <c r="D38" s="81"/>
      <c r="E38" s="82"/>
    </row>
    <row r="39" spans="2:5">
      <c r="B39" s="64"/>
      <c r="C39" s="65" t="s">
        <v>85</v>
      </c>
      <c r="D39" s="79">
        <f>-'PPE &amp; Intangibles '!E36</f>
        <v>0</v>
      </c>
      <c r="E39" s="80">
        <f>-'PPE &amp; Intangibles '!F36</f>
        <v>0</v>
      </c>
    </row>
    <row r="40" spans="2:5">
      <c r="B40" s="64"/>
      <c r="C40" s="65" t="s">
        <v>86</v>
      </c>
      <c r="D40" s="400">
        <v>0</v>
      </c>
      <c r="E40" s="405">
        <v>0</v>
      </c>
    </row>
    <row r="41" spans="2:5">
      <c r="B41" s="64"/>
      <c r="C41" s="65" t="s">
        <v>87</v>
      </c>
      <c r="D41" s="79">
        <f>'PPE &amp; Intangibles '!F36</f>
        <v>0</v>
      </c>
      <c r="E41" s="80">
        <f>'PPE &amp; Intangibles '!G36</f>
        <v>0</v>
      </c>
    </row>
    <row r="42" spans="2:5">
      <c r="B42" s="64"/>
      <c r="C42" s="65" t="s">
        <v>65</v>
      </c>
      <c r="D42" s="79">
        <f>'PL Notes'!E20</f>
        <v>144</v>
      </c>
      <c r="E42" s="80">
        <f>'PL Notes'!F20</f>
        <v>0</v>
      </c>
    </row>
    <row r="43" spans="2:5">
      <c r="B43" s="64"/>
      <c r="C43" s="65" t="s">
        <v>353</v>
      </c>
      <c r="D43" s="79">
        <f>'PL Notes'!E22</f>
        <v>0</v>
      </c>
      <c r="E43" s="80">
        <f>'PL Notes'!F22</f>
        <v>0</v>
      </c>
    </row>
    <row r="44" spans="2:5">
      <c r="B44" s="64"/>
      <c r="C44" s="402" t="s">
        <v>693</v>
      </c>
      <c r="D44" s="79">
        <f>'PL Notes'!E22</f>
        <v>0</v>
      </c>
      <c r="E44" s="80">
        <f>'PL Notes'!F22</f>
        <v>0</v>
      </c>
    </row>
    <row r="45" spans="2:5">
      <c r="B45" s="64"/>
      <c r="C45" s="402" t="s">
        <v>695</v>
      </c>
      <c r="D45" s="79">
        <f>'PL Notes'!E23</f>
        <v>0</v>
      </c>
      <c r="E45" s="80">
        <f>'PL Notes'!F23</f>
        <v>0</v>
      </c>
    </row>
    <row r="46" spans="2:5">
      <c r="B46" s="64"/>
      <c r="C46" s="404" t="s">
        <v>88</v>
      </c>
      <c r="D46" s="83">
        <f>SUM(D39:D45)</f>
        <v>144</v>
      </c>
      <c r="E46" s="84">
        <f>SUM(E39:E45)</f>
        <v>0</v>
      </c>
    </row>
    <row r="47" spans="2:5">
      <c r="B47" s="64"/>
      <c r="C47" s="65" t="s">
        <v>89</v>
      </c>
      <c r="D47" s="79"/>
      <c r="E47" s="80"/>
    </row>
    <row r="48" spans="2:5">
      <c r="B48" s="66" t="s">
        <v>70</v>
      </c>
      <c r="C48" s="404" t="s">
        <v>90</v>
      </c>
      <c r="D48" s="79"/>
      <c r="E48" s="80"/>
    </row>
    <row r="49" spans="2:5">
      <c r="B49" s="66"/>
      <c r="C49" s="65" t="s">
        <v>71</v>
      </c>
      <c r="D49" s="79">
        <f>BS!E21-BS!F21</f>
        <v>10080</v>
      </c>
      <c r="E49" s="405">
        <v>0</v>
      </c>
    </row>
    <row r="50" spans="2:5">
      <c r="B50" s="66"/>
      <c r="C50" s="65" t="s">
        <v>91</v>
      </c>
      <c r="D50" s="79">
        <f>BS!E27-BS!F27</f>
        <v>179</v>
      </c>
      <c r="E50" s="405">
        <v>0</v>
      </c>
    </row>
    <row r="51" spans="2:5">
      <c r="B51" s="66"/>
      <c r="C51" s="65" t="s">
        <v>72</v>
      </c>
      <c r="D51" s="79">
        <f>PL!D23</f>
        <v>57.4422</v>
      </c>
      <c r="E51" s="80">
        <f>PL!E23</f>
        <v>0</v>
      </c>
    </row>
    <row r="52" spans="2:5">
      <c r="B52" s="66"/>
      <c r="C52" s="65" t="s">
        <v>713</v>
      </c>
      <c r="D52" s="79">
        <f>BS!E23-BS!F23</f>
        <v>0</v>
      </c>
      <c r="E52" s="405">
        <v>0</v>
      </c>
    </row>
    <row r="53" spans="2:5">
      <c r="B53" s="64"/>
      <c r="C53" s="404" t="s">
        <v>92</v>
      </c>
      <c r="D53" s="83">
        <f>SUM(D49:D52)</f>
        <v>10316.4422</v>
      </c>
      <c r="E53" s="84">
        <f>SUM(E49:E52)</f>
        <v>0</v>
      </c>
    </row>
    <row r="54" spans="2:5">
      <c r="B54" s="67"/>
      <c r="C54" s="68" t="s">
        <v>89</v>
      </c>
      <c r="D54" s="85"/>
      <c r="E54" s="86"/>
    </row>
    <row r="55" spans="2:5">
      <c r="B55" s="66" t="s">
        <v>73</v>
      </c>
      <c r="C55" s="402" t="s">
        <v>93</v>
      </c>
      <c r="D55" s="79">
        <f>D36+D46+D53</f>
        <v>12618.111099999998</v>
      </c>
      <c r="E55" s="80">
        <f>E36+E46+E53</f>
        <v>95</v>
      </c>
    </row>
    <row r="56" spans="2:5">
      <c r="B56" s="64"/>
      <c r="C56" s="65" t="s">
        <v>94</v>
      </c>
      <c r="D56" s="79">
        <f>BS!F51</f>
        <v>172.26</v>
      </c>
      <c r="E56" s="405"/>
    </row>
    <row r="57" spans="2:5" ht="15" thickBot="1">
      <c r="B57" s="69"/>
      <c r="C57" s="70" t="s">
        <v>95</v>
      </c>
      <c r="D57" s="87">
        <f>SUM(D55:D56)</f>
        <v>12790.371099999998</v>
      </c>
      <c r="E57" s="88">
        <f>SUM(E55:E56)</f>
        <v>95</v>
      </c>
    </row>
    <row r="58" spans="2:5">
      <c r="B58" s="89"/>
      <c r="C58" s="65"/>
      <c r="D58" s="90"/>
      <c r="E58" s="90"/>
    </row>
    <row r="59" spans="2:5">
      <c r="B59" s="972" t="s">
        <v>1</v>
      </c>
      <c r="C59" s="972"/>
      <c r="D59" s="972"/>
      <c r="E59" s="972"/>
    </row>
    <row r="60" spans="2:5">
      <c r="B60" s="91">
        <v>1</v>
      </c>
      <c r="C60" s="989" t="s">
        <v>74</v>
      </c>
      <c r="D60" s="989"/>
      <c r="E60" s="989"/>
    </row>
    <row r="61" spans="2:5" ht="29.25" customHeight="1">
      <c r="B61" s="91">
        <v>2</v>
      </c>
      <c r="C61" s="989" t="s">
        <v>182</v>
      </c>
      <c r="D61" s="989"/>
      <c r="E61" s="989"/>
    </row>
    <row r="62" spans="2:5" ht="60" customHeight="1">
      <c r="B62" s="91">
        <v>3</v>
      </c>
      <c r="C62" s="989" t="s">
        <v>96</v>
      </c>
      <c r="D62" s="989"/>
      <c r="E62" s="989"/>
    </row>
    <row r="63" spans="2:5" ht="24.75" customHeight="1">
      <c r="B63" s="89">
        <v>4</v>
      </c>
      <c r="C63" s="989" t="s">
        <v>97</v>
      </c>
      <c r="D63" s="989"/>
      <c r="E63" s="989"/>
    </row>
    <row r="64" spans="2:5">
      <c r="B64" s="71"/>
      <c r="C64" s="71"/>
      <c r="D64" s="71"/>
      <c r="E64" s="71"/>
    </row>
    <row r="65" spans="2:5">
      <c r="B65" s="974" t="s">
        <v>17</v>
      </c>
      <c r="C65" s="974"/>
      <c r="D65" s="11"/>
      <c r="E65" s="11"/>
    </row>
    <row r="66" spans="2:5">
      <c r="B66" s="972" t="s">
        <v>27</v>
      </c>
      <c r="C66" s="972"/>
      <c r="D66" s="21" t="str">
        <f>_xlfn.CONCAT("For ",IF('Control Sheet'!$C$3&gt;0,'Control Sheet'!$C$3,'Control Sheet'!$B$3))</f>
        <v>For Saptaranga Research and Organic Private Limited</v>
      </c>
      <c r="E66" s="57"/>
    </row>
    <row r="67" spans="2:5">
      <c r="B67" s="973" t="s">
        <v>18</v>
      </c>
      <c r="C67" s="973"/>
      <c r="D67" s="18"/>
      <c r="E67" s="57"/>
    </row>
    <row r="68" spans="2:5">
      <c r="B68" s="15"/>
      <c r="C68" s="13"/>
      <c r="D68" s="11"/>
      <c r="E68" s="57"/>
    </row>
    <row r="69" spans="2:5">
      <c r="B69" s="15"/>
      <c r="C69" s="13"/>
      <c r="D69" s="11"/>
      <c r="E69" s="57"/>
    </row>
    <row r="70" spans="2:5">
      <c r="B70" s="15"/>
      <c r="C70" s="13"/>
      <c r="D70" s="18"/>
      <c r="E70" s="57"/>
    </row>
    <row r="71" spans="2:5">
      <c r="B71" s="21" t="str">
        <f>IF('Control Sheet'!$C$9&gt;0,'Control Sheet'!$C$9,'Control Sheet'!$B$9)</f>
        <v>CA. Ashutosh Joshi</v>
      </c>
      <c r="C71" s="21"/>
      <c r="D71" s="2" t="str">
        <f>IF('Control Sheet'!$C$13&gt;0,'Control Sheet'!$C$13,'Control Sheet'!$B$13)</f>
        <v>Shrutika Kailash Bagul</v>
      </c>
      <c r="E71" s="2" t="str">
        <f>IF('Control Sheet'!$C$15&gt;0,'Control Sheet'!$C$15,'Control Sheet'!$B$15)</f>
        <v>Kalindi Ramesh Dhakulkar</v>
      </c>
    </row>
    <row r="72" spans="2:5">
      <c r="B72" s="972" t="s">
        <v>19</v>
      </c>
      <c r="C72" s="972"/>
      <c r="D72" s="23" t="s">
        <v>20</v>
      </c>
      <c r="E72" s="23" t="s">
        <v>20</v>
      </c>
    </row>
    <row r="73" spans="2:5">
      <c r="B73" s="21" t="str">
        <f>IF('Control Sheet'!$C$10&gt;0,'Control Sheet'!$C$10,'Control Sheet'!$B$10)</f>
        <v>038193</v>
      </c>
      <c r="C73" s="21"/>
      <c r="D73" s="2" t="str">
        <f>_xlfn.CONCAT("DIN: ",IF('Control Sheet'!$C$14&gt;0,TEXT('Control Sheet'!$C$14,"00000000"),'Control Sheet'!$B$14))</f>
        <v>DIN: 09390033</v>
      </c>
      <c r="E73" s="2" t="str">
        <f>_xlfn.CONCAT("DIN: ",IF('Control Sheet'!$C$16&gt;0,TEXT('Control Sheet'!$C$16,"00000000"),'Control Sheet'!$B$16))</f>
        <v>DIN: 09390034</v>
      </c>
    </row>
    <row r="74" spans="2:5">
      <c r="B74" s="24"/>
      <c r="C74" s="24"/>
      <c r="D74" s="2"/>
      <c r="E74" s="57"/>
    </row>
    <row r="75" spans="2:5">
      <c r="B75" s="22" t="str">
        <f>CONCATENATE("UDIN : ",'Control Sheet'!$C$19)</f>
        <v xml:space="preserve">UDIN : </v>
      </c>
      <c r="C75" s="11" t="s">
        <v>21</v>
      </c>
      <c r="D75" s="11"/>
      <c r="E75" s="57"/>
    </row>
    <row r="76" spans="2:5">
      <c r="B76" s="21" t="str">
        <f>IF('Control Sheet'!$C$11&gt;0,'Control Sheet'!$C$11,'Control Sheet'!$B$11)</f>
        <v>Nagpur</v>
      </c>
      <c r="C76" s="11"/>
      <c r="D76" s="11"/>
      <c r="E76" s="57"/>
    </row>
    <row r="77" spans="2:5">
      <c r="B77" s="610">
        <f>IF('Control Sheet'!$C$12&gt;0,'Control Sheet'!$C$12,'Control Sheet'!$B$12)</f>
        <v>45174</v>
      </c>
      <c r="C77" s="11"/>
      <c r="D77" s="11"/>
      <c r="E77" s="57"/>
    </row>
  </sheetData>
  <mergeCells count="15">
    <mergeCell ref="C63:E63"/>
    <mergeCell ref="B65:C65"/>
    <mergeCell ref="B66:C66"/>
    <mergeCell ref="B67:C67"/>
    <mergeCell ref="B72:C72"/>
    <mergeCell ref="B1:E1"/>
    <mergeCell ref="B6:E6"/>
    <mergeCell ref="C60:E60"/>
    <mergeCell ref="C61:E61"/>
    <mergeCell ref="C62:E62"/>
    <mergeCell ref="B2:E2"/>
    <mergeCell ref="B8:C9"/>
    <mergeCell ref="B59:E59"/>
    <mergeCell ref="B3:E3"/>
    <mergeCell ref="B4:E4"/>
  </mergeCells>
  <pageMargins left="0.7" right="0.7" top="0.75" bottom="0.75" header="0.3" footer="0.3"/>
  <pageSetup paperSize="9" scale="61" fitToWidth="0" orientation="portrait" verticalDpi="300" r:id="rId1"/>
  <rowBreaks count="1" manualBreakCount="1">
    <brk id="77" max="5"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89AD5-75E4-4351-9D20-60C0D6E10C91}">
  <sheetPr>
    <tabColor theme="1"/>
    <pageSetUpPr fitToPage="1"/>
  </sheetPr>
  <dimension ref="A1:AD75"/>
  <sheetViews>
    <sheetView showGridLines="0" view="pageBreakPreview" topLeftCell="B1" zoomScale="98" zoomScaleNormal="100" zoomScaleSheetLayoutView="98" workbookViewId="0">
      <selection activeCell="G8" sqref="G8"/>
    </sheetView>
  </sheetViews>
  <sheetFormatPr defaultRowHeight="14.4"/>
  <cols>
    <col min="2" max="2" width="54.88671875" customWidth="1"/>
    <col min="3" max="3" width="18.44140625" bestFit="1" customWidth="1"/>
    <col min="4" max="4" width="17.6640625" bestFit="1" customWidth="1"/>
    <col min="5" max="5" width="18.5546875" customWidth="1"/>
    <col min="6" max="7" width="23.109375" bestFit="1" customWidth="1"/>
    <col min="8" max="26" width="0" hidden="1" customWidth="1"/>
    <col min="27" max="27" width="12.5546875" bestFit="1" customWidth="1"/>
    <col min="28" max="28" width="36.88671875" bestFit="1" customWidth="1"/>
    <col min="29" max="29" width="15.33203125" bestFit="1" customWidth="1"/>
    <col min="30" max="30" width="7.109375" bestFit="1" customWidth="1"/>
  </cols>
  <sheetData>
    <row r="1" spans="2:30" ht="18">
      <c r="B1" s="975" t="str">
        <f>IF('Control Sheet'!$C$3&gt;0,'Control Sheet'!$C$3,'Control Sheet'!$B$3)</f>
        <v>Saptaranga Research and Organic Private Limited</v>
      </c>
      <c r="C1" s="975"/>
      <c r="D1" s="975"/>
      <c r="E1" s="975"/>
      <c r="F1" s="975"/>
      <c r="G1" s="975"/>
    </row>
    <row r="2" spans="2:30">
      <c r="B2" s="976" t="str">
        <f>IF('Control Sheet'!$C$4&gt;0,'Control Sheet'!$C$4,'Control Sheet'!$B$4)</f>
        <v xml:space="preserve">Plot No 45, </v>
      </c>
      <c r="C2" s="976"/>
      <c r="D2" s="976"/>
      <c r="E2" s="976"/>
      <c r="F2" s="976"/>
      <c r="G2" s="976"/>
    </row>
    <row r="3" spans="2:30">
      <c r="B3" s="976" t="str">
        <f>IF('Control Sheet'!$C$5&gt;0,'Control Sheet'!$C$5,'Control Sheet'!$B$5)</f>
        <v>Ravindra Nagar P.M.G. Society</v>
      </c>
      <c r="C3" s="976"/>
      <c r="D3" s="976"/>
      <c r="E3" s="976"/>
      <c r="F3" s="976"/>
      <c r="G3" s="976"/>
    </row>
    <row r="4" spans="2:30">
      <c r="B4" s="976" t="str">
        <f>IF('Control Sheet'!$C$6&gt;0,'Control Sheet'!$C$6,'Control Sheet'!$B$6)</f>
        <v>Nagpur MH 440022 IN</v>
      </c>
      <c r="C4" s="976"/>
      <c r="D4" s="976"/>
      <c r="E4" s="976"/>
      <c r="F4" s="976"/>
      <c r="G4" s="976"/>
    </row>
    <row r="5" spans="2:30">
      <c r="B5" s="605"/>
      <c r="C5" s="605"/>
      <c r="D5" s="605"/>
      <c r="E5" s="605"/>
      <c r="F5" s="605"/>
      <c r="G5" s="614"/>
    </row>
    <row r="6" spans="2:30" ht="15.75" customHeight="1">
      <c r="B6" s="985" t="str">
        <f>IF('Control Sheet'!$C$7&gt;0,CONCATENATE("NOTES ANNEXED TO AND FORMING PART OF ACOUNTS FOR THE YEAR ENDING"," ",TEXT('Control Sheet'!$C$7,"DD-MMM-YYYY")),"NOTES ANNEXED TO AND FORMING PART OF ACOUNTS FOR THE YEAR ENDING &lt;Date&gt;")</f>
        <v>NOTES ANNEXED TO AND FORMING PART OF ACOUNTS FOR THE YEAR ENDING 31-Mar-2023</v>
      </c>
      <c r="C6" s="985"/>
      <c r="D6" s="985"/>
      <c r="E6" s="985"/>
      <c r="F6" s="985"/>
      <c r="G6" s="985"/>
    </row>
    <row r="7" spans="2:30" ht="15.75" customHeight="1">
      <c r="B7" s="33"/>
      <c r="C7" s="33"/>
      <c r="D7" s="33"/>
      <c r="E7" s="33"/>
      <c r="F7" s="33"/>
      <c r="G7" s="614"/>
    </row>
    <row r="8" spans="2:30" ht="16.2" thickBot="1">
      <c r="B8" s="615"/>
      <c r="C8" s="615"/>
      <c r="D8" s="615"/>
      <c r="E8" s="99"/>
      <c r="F8" s="99"/>
      <c r="G8" s="915" t="str">
        <f>IF('Control Sheet'!$D$18="Specify in Cell E16",'Support Sheet'!$G$10,'Control Sheet'!$C$18)</f>
        <v>In Rs. hundreds</v>
      </c>
    </row>
    <row r="9" spans="2:30">
      <c r="B9" s="1005" t="s">
        <v>107</v>
      </c>
      <c r="C9" s="1006"/>
      <c r="D9" s="1006"/>
      <c r="E9" s="292"/>
      <c r="F9" s="249" t="s">
        <v>2</v>
      </c>
      <c r="G9" s="244" t="s">
        <v>2</v>
      </c>
    </row>
    <row r="10" spans="2:30" ht="15" thickBot="1">
      <c r="B10" s="1007"/>
      <c r="C10" s="1008"/>
      <c r="D10" s="1008"/>
      <c r="E10" s="293"/>
      <c r="F10" s="617">
        <f>IF('Control Sheet'!$C$7&gt;0,'Control Sheet'!$C$7,TEXT('Control Sheet'!$B$7,"DD-MM-YYYY"))</f>
        <v>45016</v>
      </c>
      <c r="G10" s="618">
        <f>IF('Control Sheet'!$C$8&gt;0,'Control Sheet'!$C$8,'Control Sheet'!$B$8)</f>
        <v>44651</v>
      </c>
    </row>
    <row r="11" spans="2:30">
      <c r="B11" s="120" t="s">
        <v>116</v>
      </c>
      <c r="C11" s="121"/>
      <c r="D11" s="121"/>
      <c r="E11" s="320"/>
      <c r="F11" s="123"/>
      <c r="G11" s="245"/>
    </row>
    <row r="12" spans="2:30">
      <c r="B12" s="97" t="str">
        <f>IF('Share Capital and WIP info'!$C$5&gt;0,CONCATENATE('Share Capital and WIP info'!$C$5," Equity Shares of Rs. ",'Share Capital and WIP info'!$C$7," each."),"&lt;Numebr of Authorised Shares&gt; Equity Shares of Rs. &lt;Face Value per Share&gt; each.*")</f>
        <v>10000 Equity Shares of Rs. 10 each.</v>
      </c>
      <c r="C12" s="202"/>
      <c r="D12" s="202"/>
      <c r="E12" s="258"/>
      <c r="F12" s="443">
        <f>('Share Capital and WIP info'!$C$5*'Share Capital and WIP info'!$C$7)/'Support Sheet'!$G$10</f>
        <v>1000</v>
      </c>
      <c r="G12" s="444">
        <f>('Share Capital and WIP info'!$C$6*'Share Capital and WIP info'!$C$7)/'Support Sheet'!$G$10</f>
        <v>1000</v>
      </c>
    </row>
    <row r="13" spans="2:30" ht="15" thickBot="1">
      <c r="B13" s="97" t="str">
        <f>IF('Share Capital and WIP info'!$C$6&gt;0,CONCATENATE("(Previous Year : ",'Share Capital and WIP info'!$C$6," Equity Shares of Rs. ",'Share Capital and WIP info'!$C$7," each.",")"),"(Previous Year &lt;Number of Authorized Shares&gt; Equity Shares of Rs. &lt;Face Value per Share&gt; each).")</f>
        <v>(Previous Year : 10000 Equity Shares of Rs. 10 each.)</v>
      </c>
      <c r="C13" s="98"/>
      <c r="D13" s="98"/>
      <c r="E13" s="190"/>
      <c r="F13" s="445"/>
      <c r="G13" s="446"/>
    </row>
    <row r="14" spans="2:30" ht="15" thickTop="1">
      <c r="B14" s="94"/>
      <c r="C14" s="98"/>
      <c r="D14" s="98"/>
      <c r="E14" s="190"/>
      <c r="F14" s="125"/>
      <c r="G14" s="246"/>
    </row>
    <row r="15" spans="2:30">
      <c r="B15" s="97" t="s">
        <v>111</v>
      </c>
      <c r="C15" s="96"/>
      <c r="D15" s="96"/>
      <c r="E15" s="246"/>
      <c r="F15" s="125"/>
      <c r="G15" s="246"/>
      <c r="AA15" s="227" t="s">
        <v>451</v>
      </c>
      <c r="AB15" s="227" t="s">
        <v>452</v>
      </c>
      <c r="AC15" s="227" t="s">
        <v>453</v>
      </c>
      <c r="AD15" s="227" t="s">
        <v>456</v>
      </c>
    </row>
    <row r="16" spans="2:30">
      <c r="B16" s="97" t="str">
        <f>IF('Share Capital and WIP info'!$C$8&gt;0,CONCATENATE('Share Capital and WIP info'!$C$8," Equity Shares of Rs. ",'Share Capital and WIP info'!$C$7," each."),"&lt;Numebr of Issued Shares&gt; Equity Shares of Rs. &lt;Face Value per Share&gt; each.*")</f>
        <v>1000 Equity Shares of Rs. 10 each.</v>
      </c>
      <c r="C16" s="96"/>
      <c r="D16" s="96"/>
      <c r="E16" s="246"/>
      <c r="F16" s="51">
        <f>SUMIFS('Trial Balance'!$D:$D,'Trial Balance'!$F:$F,'Share Capital'!$AA16,'Trial Balance'!$G:$G,'Share Capital'!$AB16,'Trial Balance'!$H:$H,'Share Capital'!$AC16,'Trial Balance'!$I:$I,'Share Capital'!$AD16)/'Support Sheet'!$G$10</f>
        <v>100</v>
      </c>
      <c r="G16" s="117">
        <f>SUMIFS('Trial Balance'!$E:$E,'Trial Balance'!$F:$F,'Share Capital'!$AA16,'Trial Balance'!$G:$G,'Share Capital'!$AB16,'Trial Balance'!$H:$H,'Share Capital'!$AC16,'Trial Balance'!$I:$I,'Share Capital'!$AD16)/'Support Sheet'!$G$10</f>
        <v>100</v>
      </c>
      <c r="AA16" t="s">
        <v>485</v>
      </c>
      <c r="AB16" s="49" t="s">
        <v>484</v>
      </c>
      <c r="AC16">
        <v>0</v>
      </c>
      <c r="AD16">
        <v>0</v>
      </c>
    </row>
    <row r="17" spans="1:10">
      <c r="B17" s="97" t="str">
        <f>IF('Share Capital and WIP info'!$C$9&gt;0,CONCATENATE("(Previous Year : ",'Share Capital and WIP info'!$C$9," Equity Shares of Rs. ",'Share Capital and WIP info'!$C$7," each.",")"),"(Previous Year &lt;Number of Issued Shares&gt; Equity Shares of Rs. &lt;Face Value per Share&gt; each).")</f>
        <v>(Previous Year : 1000 Equity Shares of Rs. 10 each.)</v>
      </c>
      <c r="C17" s="96"/>
      <c r="D17" s="96"/>
      <c r="E17" s="246"/>
      <c r="F17" s="124"/>
      <c r="G17" s="190"/>
    </row>
    <row r="18" spans="1:10" ht="15" thickBot="1">
      <c r="B18" s="321"/>
      <c r="C18" s="322"/>
      <c r="D18" s="322"/>
      <c r="E18" s="323"/>
      <c r="F18" s="126"/>
      <c r="G18" s="247"/>
    </row>
    <row r="19" spans="1:10" ht="15" thickBot="1">
      <c r="B19" s="999" t="s">
        <v>14</v>
      </c>
      <c r="C19" s="1000"/>
      <c r="D19" s="1001"/>
      <c r="E19" s="319"/>
      <c r="F19" s="127"/>
      <c r="G19" s="248"/>
    </row>
    <row r="20" spans="1:10">
      <c r="B20" s="141" t="s">
        <v>108</v>
      </c>
      <c r="C20" s="98"/>
      <c r="D20" s="98"/>
      <c r="E20" s="128"/>
      <c r="F20" s="96"/>
      <c r="G20" s="614"/>
    </row>
    <row r="21" spans="1:10">
      <c r="B21" s="619" t="str">
        <f>IF('Share Capital and WIP info'!$C$7&gt;0,CONCATENATE("The Company has only one class of equity share having par value of Rs. ",'Share Capital and WIP info'!$C$7," each."),"* The Company has only one class of equity share having par value of Rs. &lt;Enter Amount&gt; each.")</f>
        <v>The Company has only one class of equity share having par value of Rs. 10 each.</v>
      </c>
      <c r="C21" s="620"/>
      <c r="D21" s="620"/>
      <c r="E21" s="621"/>
      <c r="F21" s="622"/>
      <c r="G21" s="614"/>
    </row>
    <row r="22" spans="1:10">
      <c r="B22" s="95" t="s">
        <v>113</v>
      </c>
      <c r="C22" s="623"/>
      <c r="D22" s="623"/>
      <c r="E22" s="624"/>
      <c r="F22" s="132"/>
      <c r="G22" s="614"/>
    </row>
    <row r="23" spans="1:10" ht="15" thickBot="1">
      <c r="B23" s="98"/>
      <c r="C23" s="625"/>
      <c r="D23" s="625"/>
      <c r="E23" s="625"/>
      <c r="F23" s="132"/>
      <c r="G23" s="614"/>
    </row>
    <row r="24" spans="1:10" ht="15" thickBot="1">
      <c r="B24" s="626" t="s">
        <v>112</v>
      </c>
      <c r="C24" s="627"/>
      <c r="D24" s="627"/>
      <c r="E24" s="627"/>
      <c r="F24" s="627"/>
      <c r="G24" s="628"/>
    </row>
    <row r="25" spans="1:10">
      <c r="A25" s="136"/>
      <c r="B25" s="1002" t="s">
        <v>109</v>
      </c>
      <c r="C25" s="614"/>
      <c r="D25" s="1003" t="str">
        <f>IF('Control Sheet'!$C$7&gt;0,CONCATENATE("As on"," ",TEXT('Control Sheet'!$C$7,"DD-MMM-YYYY"))," &lt;CY Balance Sheet Date&gt;")</f>
        <v>As on 31-Mar-2023</v>
      </c>
      <c r="E25" s="1004"/>
      <c r="F25" s="1003" t="str">
        <f>IF('Control Sheet'!$C$8&gt;0,CONCATENATE("As on"," ",TEXT('Control Sheet'!$C$8,"DD-MMM-YYYY"))," &lt;CY Balance Sheet Date&gt;")</f>
        <v>As on 31-Mar-2022</v>
      </c>
      <c r="G25" s="1004"/>
    </row>
    <row r="26" spans="1:10" ht="28.8">
      <c r="A26" s="136"/>
      <c r="B26" s="1002"/>
      <c r="C26" s="614"/>
      <c r="D26" s="137" t="s">
        <v>114</v>
      </c>
      <c r="E26" s="138" t="s">
        <v>115</v>
      </c>
      <c r="F26" s="137" t="s">
        <v>114</v>
      </c>
      <c r="G26" s="138" t="s">
        <v>115</v>
      </c>
    </row>
    <row r="27" spans="1:10">
      <c r="B27" s="629" t="str">
        <f>IF('Share Capital and WIP info'!$C$7&gt;0,CONCATENATE("Equity Share Of Rs. ",'Share Capital and WIP info'!$C$7," Each Fully Paid Up Held By"),"Equity Share Of Rs. &lt;Enter Amout&gt; Each Fully Paid Up Held By")</f>
        <v>Equity Share Of Rs. 10 Each Fully Paid Up Held By</v>
      </c>
      <c r="C27" s="630"/>
      <c r="D27" s="131"/>
      <c r="E27" s="130"/>
      <c r="F27" s="129"/>
      <c r="G27" s="130"/>
      <c r="J27" s="98"/>
    </row>
    <row r="28" spans="1:10">
      <c r="B28" s="631" t="str">
        <f>IF('Share Capital and WIP info'!$C16=0,"&lt;Name of the Persons&gt;",'Share Capital and WIP info'!C16)</f>
        <v>Shrutika Kailash Bagul</v>
      </c>
      <c r="C28" s="632"/>
      <c r="D28" s="633">
        <f>IF(B28='Share Capital and WIP info'!C16,'Share Capital and WIP info'!D16,"&lt;xxxx&gt;")</f>
        <v>700</v>
      </c>
      <c r="E28" s="736">
        <f>IFERROR(D28/'Share Capital and WIP info'!$C$8,0)</f>
        <v>0.7</v>
      </c>
      <c r="F28" s="633">
        <f>IF(B28='Share Capital and WIP info'!C16,'Share Capital and WIP info'!E16,"&lt;xxxx&gt;")</f>
        <v>700</v>
      </c>
      <c r="G28" s="736">
        <f>IFERROR(F28/'Share Capital and WIP info'!$C$9,0)</f>
        <v>0.7</v>
      </c>
    </row>
    <row r="29" spans="1:10">
      <c r="B29" s="631" t="str">
        <f>IF('Share Capital and WIP info'!$C17=0,"&lt;Name of the Persons&gt;",'Share Capital and WIP info'!C17)</f>
        <v>Kalindi Ramesh Dhakulkar</v>
      </c>
      <c r="C29" s="632"/>
      <c r="D29" s="633">
        <f>IF(B29='Share Capital and WIP info'!C17,'Share Capital and WIP info'!D17,"&lt;xxxx&gt;")</f>
        <v>280</v>
      </c>
      <c r="E29" s="736">
        <f>IFERROR(D29/'Share Capital and WIP info'!$C$8,0)</f>
        <v>0.28000000000000003</v>
      </c>
      <c r="F29" s="633">
        <f>IF(B29='Share Capital and WIP info'!C17,'Share Capital and WIP info'!E17,"&lt;xxxx&gt;")</f>
        <v>300</v>
      </c>
      <c r="G29" s="736">
        <f>IFERROR(F29/'Share Capital and WIP info'!$C$9,0)</f>
        <v>0.3</v>
      </c>
    </row>
    <row r="30" spans="1:10">
      <c r="B30" s="631" t="str">
        <f>IF('Share Capital and WIP info'!$C18=0,"&lt;Name of the Persons&gt;",'Share Capital and WIP info'!C18)</f>
        <v>&lt;Name of the Persons&gt;</v>
      </c>
      <c r="C30" s="632"/>
      <c r="D30" s="633" t="str">
        <f>IF(B30='Share Capital and WIP info'!C18,'Share Capital and WIP info'!D18,"&lt;xxxx&gt;")</f>
        <v>&lt;xxxx&gt;</v>
      </c>
      <c r="E30" s="736">
        <f>IFERROR(D30/'Share Capital and WIP info'!$C$8,0)</f>
        <v>0</v>
      </c>
      <c r="F30" s="633" t="str">
        <f>IF(B30='Share Capital and WIP info'!C18,'Share Capital and WIP info'!E18,"&lt;xxxx&gt;")</f>
        <v>&lt;xxxx&gt;</v>
      </c>
      <c r="G30" s="736">
        <f>IFERROR(F30/'Share Capital and WIP info'!$C$9,0)</f>
        <v>0</v>
      </c>
    </row>
    <row r="31" spans="1:10">
      <c r="B31" s="631" t="str">
        <f>IF('Share Capital and WIP info'!$C19=0,"&lt;Name of the Persons&gt;",'Share Capital and WIP info'!C19)</f>
        <v>&lt;Name of the Persons&gt;</v>
      </c>
      <c r="C31" s="632"/>
      <c r="D31" s="633" t="str">
        <f>IF(B31='Share Capital and WIP info'!C19,'Share Capital and WIP info'!D19,"&lt;xxxx&gt;")</f>
        <v>&lt;xxxx&gt;</v>
      </c>
      <c r="E31" s="736">
        <f>IFERROR(D31/'Share Capital and WIP info'!$C$8,0)</f>
        <v>0</v>
      </c>
      <c r="F31" s="633" t="str">
        <f>IF(B31='Share Capital and WIP info'!C19,'Share Capital and WIP info'!E19,"&lt;xxxx&gt;")</f>
        <v>&lt;xxxx&gt;</v>
      </c>
      <c r="G31" s="736">
        <f>IFERROR(F31/'Share Capital and WIP info'!$C$9,0)</f>
        <v>0</v>
      </c>
    </row>
    <row r="32" spans="1:10">
      <c r="B32" s="631" t="str">
        <f>IF('Share Capital and WIP info'!$C20=0,"&lt;Name of the Persons&gt;",'Share Capital and WIP info'!C20)</f>
        <v>&lt;Name of the Persons&gt;</v>
      </c>
      <c r="C32" s="632"/>
      <c r="D32" s="633" t="str">
        <f>IF(B32='Share Capital and WIP info'!C20,'Share Capital and WIP info'!D20,"&lt;xxxx&gt;")</f>
        <v>&lt;xxxx&gt;</v>
      </c>
      <c r="E32" s="736">
        <f>IFERROR(D32/'Share Capital and WIP info'!$C$8,0)</f>
        <v>0</v>
      </c>
      <c r="F32" s="633" t="str">
        <f>IF(B32='Share Capital and WIP info'!C20,'Share Capital and WIP info'!E20,"&lt;xxxx&gt;")</f>
        <v>&lt;xxxx&gt;</v>
      </c>
      <c r="G32" s="736">
        <f>IFERROR(F32/'Share Capital and WIP info'!$C$9,0)</f>
        <v>0</v>
      </c>
    </row>
    <row r="33" spans="2:7">
      <c r="B33" s="631" t="str">
        <f>IF('Share Capital and WIP info'!$C21=0,"&lt;Name of the Persons&gt;",'Share Capital and WIP info'!C21)</f>
        <v>&lt;Name of the Persons&gt;</v>
      </c>
      <c r="C33" s="632"/>
      <c r="D33" s="633" t="str">
        <f>IF(B33='Share Capital and WIP info'!C21,'Share Capital and WIP info'!D21,"&lt;xxxx&gt;")</f>
        <v>&lt;xxxx&gt;</v>
      </c>
      <c r="E33" s="736">
        <f>IFERROR(D33/'Share Capital and WIP info'!$C$8,0)</f>
        <v>0</v>
      </c>
      <c r="F33" s="633" t="str">
        <f>IF(B33='Share Capital and WIP info'!C21,'Share Capital and WIP info'!E21,"&lt;xxxx&gt;")</f>
        <v>&lt;xxxx&gt;</v>
      </c>
      <c r="G33" s="736">
        <f>IFERROR(F33/'Share Capital and WIP info'!$C$9,0)</f>
        <v>0</v>
      </c>
    </row>
    <row r="34" spans="2:7">
      <c r="B34" s="631" t="str">
        <f>IF('Share Capital and WIP info'!$C22=0,"&lt;Name of the Persons&gt;",'Share Capital and WIP info'!C22)</f>
        <v>&lt;Name of the Persons&gt;</v>
      </c>
      <c r="C34" s="632"/>
      <c r="D34" s="633" t="str">
        <f>IF(B34='Share Capital and WIP info'!C22,'Share Capital and WIP info'!D22,"&lt;xxxx&gt;")</f>
        <v>&lt;xxxx&gt;</v>
      </c>
      <c r="E34" s="736">
        <f>IFERROR(D34/'Share Capital and WIP info'!$C$8,0)</f>
        <v>0</v>
      </c>
      <c r="F34" s="633" t="str">
        <f>IF(B34='Share Capital and WIP info'!C22,'Share Capital and WIP info'!E22,"&lt;xxxx&gt;")</f>
        <v>&lt;xxxx&gt;</v>
      </c>
      <c r="G34" s="736">
        <f>IFERROR(F34/'Share Capital and WIP info'!$C$9,0)</f>
        <v>0</v>
      </c>
    </row>
    <row r="35" spans="2:7">
      <c r="B35" s="631" t="str">
        <f>IF('Share Capital and WIP info'!$C23=0,"&lt;Name of the Persons&gt;",'Share Capital and WIP info'!C23)</f>
        <v>&lt;Name of the Persons&gt;</v>
      </c>
      <c r="C35" s="632"/>
      <c r="D35" s="633" t="str">
        <f>IF(B35='Share Capital and WIP info'!C23,'Share Capital and WIP info'!D23,"&lt;xxxx&gt;")</f>
        <v>&lt;xxxx&gt;</v>
      </c>
      <c r="E35" s="736">
        <f>IFERROR(D35/'Share Capital and WIP info'!$C$8,0)</f>
        <v>0</v>
      </c>
      <c r="F35" s="633" t="str">
        <f>IF(B35='Share Capital and WIP info'!C23,'Share Capital and WIP info'!E23,"&lt;xxxx&gt;")</f>
        <v>&lt;xxxx&gt;</v>
      </c>
      <c r="G35" s="736">
        <f>IFERROR(F35/'Share Capital and WIP info'!$C$9,0)</f>
        <v>0</v>
      </c>
    </row>
    <row r="36" spans="2:7">
      <c r="B36" s="631" t="str">
        <f>IF('Share Capital and WIP info'!$C24=0,"&lt;Name of the Persons&gt;",'Share Capital and WIP info'!C24)</f>
        <v>&lt;Name of the Persons&gt;</v>
      </c>
      <c r="C36" s="632"/>
      <c r="D36" s="633" t="str">
        <f>IF(B36='Share Capital and WIP info'!C24,'Share Capital and WIP info'!D24,"&lt;xxxx&gt;")</f>
        <v>&lt;xxxx&gt;</v>
      </c>
      <c r="E36" s="736">
        <f>IFERROR(D36/'Share Capital and WIP info'!$C$8,0)</f>
        <v>0</v>
      </c>
      <c r="F36" s="633" t="str">
        <f>IF(B36='Share Capital and WIP info'!C24,'Share Capital and WIP info'!E24,"&lt;xxxx&gt;")</f>
        <v>&lt;xxxx&gt;</v>
      </c>
      <c r="G36" s="736">
        <f>IFERROR(F36/'Share Capital and WIP info'!$C$9,0)</f>
        <v>0</v>
      </c>
    </row>
    <row r="37" spans="2:7">
      <c r="B37" s="631" t="str">
        <f>IF('Share Capital and WIP info'!$C25=0,"&lt;Name of the Persons&gt;",'Share Capital and WIP info'!C25)</f>
        <v>&lt;Name of the Persons&gt;</v>
      </c>
      <c r="C37" s="632"/>
      <c r="D37" s="633" t="str">
        <f>IF(B37='Share Capital and WIP info'!C25,'Share Capital and WIP info'!D25,"&lt;xxxx&gt;")</f>
        <v>&lt;xxxx&gt;</v>
      </c>
      <c r="E37" s="736">
        <f>IFERROR(D37/'Share Capital and WIP info'!$C$8,0)</f>
        <v>0</v>
      </c>
      <c r="F37" s="633" t="str">
        <f>IF(B37='Share Capital and WIP info'!C25,'Share Capital and WIP info'!E25,"&lt;xxxx&gt;")</f>
        <v>&lt;xxxx&gt;</v>
      </c>
      <c r="G37" s="736">
        <f>IFERROR(F37/'Share Capital and WIP info'!$C$9,0)</f>
        <v>0</v>
      </c>
    </row>
    <row r="38" spans="2:7" ht="15" thickBot="1">
      <c r="B38" s="634" t="s">
        <v>110</v>
      </c>
      <c r="C38" s="635"/>
      <c r="D38" s="636"/>
      <c r="E38" s="637"/>
      <c r="F38" s="636"/>
      <c r="G38" s="637"/>
    </row>
    <row r="39" spans="2:7">
      <c r="B39" s="638"/>
      <c r="C39" s="638"/>
      <c r="D39" s="132"/>
      <c r="E39" s="638"/>
      <c r="F39" s="132"/>
      <c r="G39" s="614"/>
    </row>
    <row r="40" spans="2:7">
      <c r="B40" s="133"/>
      <c r="C40" s="133"/>
      <c r="D40" s="133"/>
      <c r="E40" s="133"/>
      <c r="F40" s="133"/>
      <c r="G40" s="614"/>
    </row>
    <row r="41" spans="2:7" ht="15" thickBot="1">
      <c r="B41" s="133"/>
      <c r="C41" s="133"/>
      <c r="D41" s="133"/>
      <c r="E41" s="133"/>
      <c r="F41" s="133"/>
      <c r="G41" s="614"/>
    </row>
    <row r="42" spans="2:7" ht="15" thickBot="1">
      <c r="B42" s="140" t="s">
        <v>117</v>
      </c>
      <c r="C42" s="139"/>
      <c r="D42" s="139"/>
      <c r="E42" s="139"/>
      <c r="F42" s="139"/>
      <c r="G42" s="628"/>
    </row>
    <row r="43" spans="2:7" ht="15" thickBot="1">
      <c r="B43" s="639" t="s">
        <v>0</v>
      </c>
      <c r="C43" s="640"/>
      <c r="D43" s="641" t="s">
        <v>99</v>
      </c>
      <c r="E43" s="641" t="s">
        <v>770</v>
      </c>
      <c r="F43" s="641" t="s">
        <v>771</v>
      </c>
      <c r="G43" s="641" t="s">
        <v>100</v>
      </c>
    </row>
    <row r="44" spans="2:7">
      <c r="B44" s="642" t="s">
        <v>118</v>
      </c>
      <c r="C44" s="643"/>
      <c r="D44" s="644"/>
      <c r="E44" s="134"/>
      <c r="F44" s="645"/>
      <c r="G44" s="123"/>
    </row>
    <row r="45" spans="2:7">
      <c r="B45" s="97" t="str">
        <f>IF('Share Capital and WIP info'!$C$7&gt;0,CONCATENATE("Equity Share Of Rs. ",'Share Capital and WIP info'!$C$7," Each Fully Paid Up"),"Equity Share Of Rs. &lt;Enter Amout&gt; Each Fully Paid Up")</f>
        <v>Equity Share Of Rs. 10 Each Fully Paid Up</v>
      </c>
      <c r="C45" s="96"/>
      <c r="D45" s="646"/>
      <c r="E45" s="134"/>
      <c r="F45" s="645"/>
      <c r="G45" s="123"/>
    </row>
    <row r="46" spans="2:7">
      <c r="B46" s="94" t="s">
        <v>89</v>
      </c>
      <c r="C46" s="98"/>
      <c r="D46" s="646"/>
      <c r="E46" s="134"/>
      <c r="F46" s="645"/>
      <c r="G46" s="123"/>
    </row>
    <row r="47" spans="2:7" ht="16.2">
      <c r="B47" s="647" t="str">
        <f>IF('Control Sheet'!$C$7&gt;0,CONCATENATE("Year ended"," ",TEXT('Control Sheet'!$C$7,"DD-MMM-YYYY")),"Year ended &lt;Balance Sheet Date&gt;")</f>
        <v>Year ended 31-Mar-2023</v>
      </c>
      <c r="C47" s="610"/>
      <c r="D47" s="646"/>
      <c r="E47" s="134"/>
      <c r="F47" s="645"/>
      <c r="G47" s="123"/>
    </row>
    <row r="48" spans="2:7">
      <c r="B48" s="648" t="s">
        <v>119</v>
      </c>
      <c r="C48" s="649"/>
      <c r="D48" s="646">
        <f>G52</f>
        <v>1000</v>
      </c>
      <c r="E48" s="650">
        <f>'Share Capital and WIP info'!$C$55</f>
        <v>0</v>
      </c>
      <c r="F48" s="645">
        <f>'Share Capital and WIP info'!$C$56</f>
        <v>0</v>
      </c>
      <c r="G48" s="123">
        <f>D48+E48-F48</f>
        <v>1000</v>
      </c>
    </row>
    <row r="49" spans="2:7">
      <c r="B49" s="648" t="str">
        <f>CONCATENATE("- Amount (",'Control Sheet'!$C$18,")")</f>
        <v>- Amount (In Rs. hundreds)</v>
      </c>
      <c r="C49" s="651"/>
      <c r="D49" s="646">
        <f>G16</f>
        <v>100</v>
      </c>
      <c r="E49" s="650">
        <f>(E48*'Share Capital and WIP info'!$C$7)/'Support Sheet'!$G$10</f>
        <v>0</v>
      </c>
      <c r="F49" s="650">
        <f>(F48*'Share Capital and WIP info'!$C$7)/'Support Sheet'!$G$10</f>
        <v>0</v>
      </c>
      <c r="G49" s="123">
        <f>D49+E49-F49</f>
        <v>100</v>
      </c>
    </row>
    <row r="50" spans="2:7">
      <c r="B50" s="94" t="s">
        <v>89</v>
      </c>
      <c r="C50" s="98"/>
      <c r="D50" s="646"/>
      <c r="E50" s="134"/>
      <c r="F50" s="645"/>
      <c r="G50" s="123"/>
    </row>
    <row r="51" spans="2:7" ht="16.2">
      <c r="B51" s="652" t="str">
        <f>IF('Control Sheet'!$C$8&gt;0,CONCATENATE("Year ended"," ",TEXT('Control Sheet'!$C$8,"DD-MMM-YYYY")),"Year ended  &lt;PY Balance Sheet Date&gt;")</f>
        <v>Year ended 31-Mar-2022</v>
      </c>
      <c r="C51" s="653"/>
      <c r="D51" s="646"/>
      <c r="E51" s="134"/>
      <c r="F51" s="645"/>
      <c r="G51" s="123"/>
    </row>
    <row r="52" spans="2:7">
      <c r="B52" s="648" t="s">
        <v>119</v>
      </c>
      <c r="C52" s="649"/>
      <c r="D52" s="646">
        <f>'Share Capital and WIP info'!C10</f>
        <v>0</v>
      </c>
      <c r="E52" s="654">
        <f>'Share Capital and WIP info'!$C$53</f>
        <v>1000</v>
      </c>
      <c r="F52" s="655">
        <f>'Share Capital and WIP info'!$C$54</f>
        <v>0</v>
      </c>
      <c r="G52" s="123">
        <f>D52+E52-F52</f>
        <v>1000</v>
      </c>
    </row>
    <row r="53" spans="2:7" ht="15" thickBot="1">
      <c r="B53" s="656" t="str">
        <f>CONCATENATE("- Amount (",'Control Sheet'!$C$18,")")</f>
        <v>- Amount (In Rs. hundreds)</v>
      </c>
      <c r="C53" s="657"/>
      <c r="D53" s="658">
        <f>(D52*'Share Capital and WIP info'!$C$7)/'Support Sheet'!$G$10</f>
        <v>0</v>
      </c>
      <c r="E53" s="659">
        <f>(E52*'Share Capital and WIP info'!$C$7)/'Support Sheet'!$G$10</f>
        <v>100</v>
      </c>
      <c r="F53" s="659">
        <f>(F52*'Share Capital and WIP info'!$C$7)/'Support Sheet'!$G$10</f>
        <v>0</v>
      </c>
      <c r="G53" s="660">
        <f>D53+E53-F53</f>
        <v>100</v>
      </c>
    </row>
    <row r="54" spans="2:7">
      <c r="B54" s="614"/>
      <c r="C54" s="614"/>
      <c r="D54" s="614"/>
      <c r="E54" s="614"/>
      <c r="F54" s="614"/>
      <c r="G54" s="614"/>
    </row>
    <row r="55" spans="2:7" ht="15" thickBot="1">
      <c r="B55" s="614"/>
      <c r="C55" s="614"/>
      <c r="D55" s="614"/>
      <c r="E55" s="614"/>
      <c r="F55" s="614"/>
      <c r="G55" s="614"/>
    </row>
    <row r="56" spans="2:7" ht="15" thickBot="1">
      <c r="B56" s="140" t="s">
        <v>449</v>
      </c>
      <c r="C56" s="661"/>
      <c r="D56" s="661"/>
      <c r="E56" s="661"/>
      <c r="F56" s="661"/>
      <c r="G56" s="628"/>
    </row>
    <row r="57" spans="2:7">
      <c r="B57" s="996" t="s">
        <v>205</v>
      </c>
      <c r="C57" s="998" t="str">
        <f>IF('Control Sheet'!$C$7&gt;0,CONCATENATE("As on"," ",TEXT('Control Sheet'!$C$7,"DD-MMM-YYYY"))," &lt;CY Balance Sheet Date&gt;")</f>
        <v>As on 31-Mar-2023</v>
      </c>
      <c r="D57" s="998"/>
      <c r="E57" s="998" t="str">
        <f>IF('Control Sheet'!$C$8&gt;0,CONCATENATE("As on"," ",TEXT('Control Sheet'!$C$8,"DD-MMM-YYYY"))," &lt;CY Balance Sheet Date&gt;")</f>
        <v>As on 31-Mar-2022</v>
      </c>
      <c r="F57" s="998"/>
      <c r="G57" s="994" t="s">
        <v>450</v>
      </c>
    </row>
    <row r="58" spans="2:7" ht="15" thickBot="1">
      <c r="B58" s="997"/>
      <c r="C58" s="871" t="s">
        <v>206</v>
      </c>
      <c r="D58" s="872" t="s">
        <v>207</v>
      </c>
      <c r="E58" s="871" t="s">
        <v>206</v>
      </c>
      <c r="F58" s="872" t="s">
        <v>207</v>
      </c>
      <c r="G58" s="995"/>
    </row>
    <row r="59" spans="2:7">
      <c r="B59" s="662" t="str">
        <f>IF('Share Capital and WIP info'!C30&gt;0,'Share Capital and WIP info'!C30,"&lt;Name of the Promoter&gt;")</f>
        <v>Shrutika Kailash Bagul</v>
      </c>
      <c r="C59" s="873">
        <f>IF($B59='Share Capital and WIP info'!C30,'Share Capital and WIP info'!D30,0)</f>
        <v>700</v>
      </c>
      <c r="D59" s="873">
        <f>IFERROR(C59/'Share Capital and WIP info'!$C$8,0)</f>
        <v>0.7</v>
      </c>
      <c r="E59" s="873">
        <f>IF($B59='Share Capital and WIP info'!C30,'Share Capital and WIP info'!E30,0)</f>
        <v>700</v>
      </c>
      <c r="F59" s="873">
        <f>IFERROR(E59/'Share Capital and WIP info'!$C$9,0)</f>
        <v>0.7</v>
      </c>
      <c r="G59" s="874">
        <f>IFERROR((D59-F59)/F59,0)</f>
        <v>0</v>
      </c>
    </row>
    <row r="60" spans="2:7">
      <c r="B60" s="662" t="str">
        <f>IF('Share Capital and WIP info'!C31&gt;0,'Share Capital and WIP info'!C31,"&lt;Name of the Promoter&gt;")</f>
        <v>Kalindi Ramesh Dhakulkar</v>
      </c>
      <c r="C60" s="875">
        <f>IF($B60='Share Capital and WIP info'!C31,'Share Capital and WIP info'!D31,0)</f>
        <v>280</v>
      </c>
      <c r="D60" s="875">
        <f>IFERROR(C60/'Share Capital and WIP info'!$C$8,0)</f>
        <v>0.28000000000000003</v>
      </c>
      <c r="E60" s="875">
        <f>IF($B60='Share Capital and WIP info'!C31,'Share Capital and WIP info'!E31,0)</f>
        <v>300</v>
      </c>
      <c r="F60" s="875">
        <f>IFERROR(E60/'Share Capital and WIP info'!$C$9,0)</f>
        <v>0.3</v>
      </c>
      <c r="G60" s="876">
        <f t="shared" ref="G60:G68" si="0">IFERROR((D60-F60)/F60,0)</f>
        <v>-6.6666666666666541E-2</v>
      </c>
    </row>
    <row r="61" spans="2:7">
      <c r="B61" s="662" t="str">
        <f>IF('Share Capital and WIP info'!C32&gt;0,'Share Capital and WIP info'!C32,"&lt;Name of the Promoter&gt;")</f>
        <v>&lt;Name of the Promoter&gt;</v>
      </c>
      <c r="C61" s="875">
        <f>IF($B61='Share Capital and WIP info'!C32,'Share Capital and WIP info'!D32,0)</f>
        <v>0</v>
      </c>
      <c r="D61" s="875">
        <f>IFERROR(C61/'Share Capital and WIP info'!$C$8,0)</f>
        <v>0</v>
      </c>
      <c r="E61" s="875">
        <f>IF($B61='Share Capital and WIP info'!C32,'Share Capital and WIP info'!E32,0)</f>
        <v>0</v>
      </c>
      <c r="F61" s="875">
        <f>IFERROR(E61/'Share Capital and WIP info'!$C$9,0)</f>
        <v>0</v>
      </c>
      <c r="G61" s="876">
        <f t="shared" si="0"/>
        <v>0</v>
      </c>
    </row>
    <row r="62" spans="2:7">
      <c r="B62" s="662" t="str">
        <f>IF('Share Capital and WIP info'!C33&gt;0,'Share Capital and WIP info'!C33,"&lt;Name of the Promoter&gt;")</f>
        <v>&lt;Name of the Promoter&gt;</v>
      </c>
      <c r="C62" s="875">
        <f>IF($B62='Share Capital and WIP info'!C33,'Share Capital and WIP info'!D33,0)</f>
        <v>0</v>
      </c>
      <c r="D62" s="875">
        <f>IFERROR(C62/'Share Capital and WIP info'!$C$8,0)</f>
        <v>0</v>
      </c>
      <c r="E62" s="875">
        <f>IF($B62='Share Capital and WIP info'!C33,'Share Capital and WIP info'!E33,0)</f>
        <v>0</v>
      </c>
      <c r="F62" s="875">
        <f>IFERROR(E62/'Share Capital and WIP info'!$C$9,0)</f>
        <v>0</v>
      </c>
      <c r="G62" s="876">
        <f t="shared" si="0"/>
        <v>0</v>
      </c>
    </row>
    <row r="63" spans="2:7">
      <c r="B63" s="662" t="str">
        <f>IF('Share Capital and WIP info'!C34&gt;0,'Share Capital and WIP info'!C34,"&lt;Name of the Promoter&gt;")</f>
        <v>&lt;Name of the Promoter&gt;</v>
      </c>
      <c r="C63" s="875">
        <f>IF($B63='Share Capital and WIP info'!C34,'Share Capital and WIP info'!D34,0)</f>
        <v>0</v>
      </c>
      <c r="D63" s="875">
        <f>IFERROR(C63/'Share Capital and WIP info'!$C$8,0)</f>
        <v>0</v>
      </c>
      <c r="E63" s="875">
        <f>IF($B63='Share Capital and WIP info'!C34,'Share Capital and WIP info'!E34,0)</f>
        <v>0</v>
      </c>
      <c r="F63" s="875">
        <f>IFERROR(E63/'Share Capital and WIP info'!$C$9,0)</f>
        <v>0</v>
      </c>
      <c r="G63" s="876">
        <f t="shared" si="0"/>
        <v>0</v>
      </c>
    </row>
    <row r="64" spans="2:7">
      <c r="B64" s="662" t="str">
        <f>IF('Share Capital and WIP info'!C35&gt;0,'Share Capital and WIP info'!C35,"&lt;Name of the Promoter&gt;")</f>
        <v>&lt;Name of the Promoter&gt;</v>
      </c>
      <c r="C64" s="875">
        <f>IF($B64='Share Capital and WIP info'!C35,'Share Capital and WIP info'!D35,0)</f>
        <v>0</v>
      </c>
      <c r="D64" s="875">
        <f>IFERROR(C64/'Share Capital and WIP info'!$C$8,0)</f>
        <v>0</v>
      </c>
      <c r="E64" s="875">
        <f>IF($B64='Share Capital and WIP info'!C35,'Share Capital and WIP info'!E35,0)</f>
        <v>0</v>
      </c>
      <c r="F64" s="875">
        <f>IFERROR(E64/'Share Capital and WIP info'!$C$9,0)</f>
        <v>0</v>
      </c>
      <c r="G64" s="876">
        <f t="shared" si="0"/>
        <v>0</v>
      </c>
    </row>
    <row r="65" spans="2:7">
      <c r="B65" s="662" t="str">
        <f>IF('Share Capital and WIP info'!C36&gt;0,'Share Capital and WIP info'!C36,"&lt;Name of the Promoter&gt;")</f>
        <v>&lt;Name of the Promoter&gt;</v>
      </c>
      <c r="C65" s="875">
        <f>IF($B65='Share Capital and WIP info'!C36,'Share Capital and WIP info'!D36,0)</f>
        <v>0</v>
      </c>
      <c r="D65" s="875">
        <f>IFERROR(C65/'Share Capital and WIP info'!$C$8,0)</f>
        <v>0</v>
      </c>
      <c r="E65" s="875">
        <f>IF($B65='Share Capital and WIP info'!C36,'Share Capital and WIP info'!E36,0)</f>
        <v>0</v>
      </c>
      <c r="F65" s="875">
        <f>IFERROR(E65/'Share Capital and WIP info'!$C$9,0)</f>
        <v>0</v>
      </c>
      <c r="G65" s="876">
        <f t="shared" si="0"/>
        <v>0</v>
      </c>
    </row>
    <row r="66" spans="2:7">
      <c r="B66" s="662" t="str">
        <f>IF('Share Capital and WIP info'!C37&gt;0,'Share Capital and WIP info'!C37,"&lt;Name of the Promoter&gt;")</f>
        <v>&lt;Name of the Promoter&gt;</v>
      </c>
      <c r="C66" s="875">
        <f>IF($B66='Share Capital and WIP info'!C37,'Share Capital and WIP info'!D37,0)</f>
        <v>0</v>
      </c>
      <c r="D66" s="875">
        <f>IFERROR(C66/'Share Capital and WIP info'!$C$8,0)</f>
        <v>0</v>
      </c>
      <c r="E66" s="875">
        <f>IF($B66='Share Capital and WIP info'!C37,'Share Capital and WIP info'!E37,0)</f>
        <v>0</v>
      </c>
      <c r="F66" s="875">
        <f>IFERROR(E66/'Share Capital and WIP info'!$C$9,0)</f>
        <v>0</v>
      </c>
      <c r="G66" s="876">
        <f t="shared" si="0"/>
        <v>0</v>
      </c>
    </row>
    <row r="67" spans="2:7">
      <c r="B67" s="662" t="str">
        <f>IF('Share Capital and WIP info'!C38&gt;0,'Share Capital and WIP info'!C38,"&lt;Name of the Promoter&gt;")</f>
        <v>&lt;Name of the Promoter&gt;</v>
      </c>
      <c r="C67" s="875">
        <f>IF($B67='Share Capital and WIP info'!C38,'Share Capital and WIP info'!D38,0)</f>
        <v>0</v>
      </c>
      <c r="D67" s="875">
        <f>IFERROR(C67/'Share Capital and WIP info'!$C$8,0)</f>
        <v>0</v>
      </c>
      <c r="E67" s="875">
        <f>IF($B67='Share Capital and WIP info'!C38,'Share Capital and WIP info'!E38,0)</f>
        <v>0</v>
      </c>
      <c r="F67" s="875">
        <f>IFERROR(E67/'Share Capital and WIP info'!$C$9,0)</f>
        <v>0</v>
      </c>
      <c r="G67" s="876">
        <f t="shared" si="0"/>
        <v>0</v>
      </c>
    </row>
    <row r="68" spans="2:7" ht="15" thickBot="1">
      <c r="B68" s="663" t="str">
        <f>IF('Share Capital and WIP info'!C39&gt;0,'Share Capital and WIP info'!C39,"&lt;Name of the Promoter&gt;")</f>
        <v>&lt;Name of the Promoter&gt;</v>
      </c>
      <c r="C68" s="877">
        <f>IF($B68='Share Capital and WIP info'!C39,'Share Capital and WIP info'!D39,0)</f>
        <v>0</v>
      </c>
      <c r="D68" s="877">
        <f>IFERROR(C68/'Share Capital and WIP info'!$C$8,0)</f>
        <v>0</v>
      </c>
      <c r="E68" s="877">
        <f>IF($B68='Share Capital and WIP info'!C39,'Share Capital and WIP info'!E39,0)</f>
        <v>0</v>
      </c>
      <c r="F68" s="877">
        <f>IFERROR(E68/'Share Capital and WIP info'!$C$9,0)</f>
        <v>0</v>
      </c>
      <c r="G68" s="878">
        <f t="shared" si="0"/>
        <v>0</v>
      </c>
    </row>
    <row r="69" spans="2:7">
      <c r="B69" s="614"/>
      <c r="C69" s="614"/>
      <c r="D69" s="614"/>
      <c r="E69" s="614"/>
      <c r="F69" s="614"/>
      <c r="G69" s="614"/>
    </row>
    <row r="70" spans="2:7">
      <c r="B70" s="614" t="s">
        <v>210</v>
      </c>
      <c r="C70" s="614"/>
      <c r="D70" s="614"/>
      <c r="E70" s="614"/>
      <c r="F70" s="614"/>
      <c r="G70" s="614"/>
    </row>
    <row r="71" spans="2:7">
      <c r="B71" s="614" t="s">
        <v>211</v>
      </c>
      <c r="C71" s="614"/>
      <c r="D71" s="614"/>
      <c r="E71" s="614"/>
      <c r="F71" s="614"/>
      <c r="G71" s="614"/>
    </row>
    <row r="72" spans="2:7">
      <c r="B72" s="614" t="s">
        <v>212</v>
      </c>
      <c r="C72" s="614"/>
      <c r="D72" s="614"/>
      <c r="E72" s="614"/>
      <c r="F72" s="614"/>
      <c r="G72" s="614"/>
    </row>
    <row r="73" spans="2:7">
      <c r="B73" s="614"/>
      <c r="C73" s="614"/>
      <c r="D73" s="614"/>
      <c r="E73" s="614"/>
      <c r="F73" s="614"/>
      <c r="G73" s="614"/>
    </row>
    <row r="74" spans="2:7">
      <c r="B74" s="614"/>
      <c r="C74" s="614"/>
      <c r="D74" s="614"/>
      <c r="E74" s="614"/>
      <c r="F74" s="614"/>
      <c r="G74" s="614"/>
    </row>
    <row r="75" spans="2:7">
      <c r="B75" s="614"/>
      <c r="C75" s="614"/>
      <c r="D75" s="614"/>
      <c r="E75" s="614"/>
      <c r="F75" s="614"/>
      <c r="G75" s="614"/>
    </row>
  </sheetData>
  <mergeCells count="14">
    <mergeCell ref="G57:G58"/>
    <mergeCell ref="B1:G1"/>
    <mergeCell ref="B2:G2"/>
    <mergeCell ref="B3:G3"/>
    <mergeCell ref="B4:G4"/>
    <mergeCell ref="B6:G6"/>
    <mergeCell ref="B57:B58"/>
    <mergeCell ref="C57:D57"/>
    <mergeCell ref="E57:F57"/>
    <mergeCell ref="B19:D19"/>
    <mergeCell ref="B25:B26"/>
    <mergeCell ref="D25:E25"/>
    <mergeCell ref="F25:G25"/>
    <mergeCell ref="B9:D10"/>
  </mergeCells>
  <pageMargins left="0.70866141732283472" right="0.70866141732283472" top="0.74803149606299213" bottom="0.74803149606299213" header="0.31496062992125984" footer="0.31496062992125984"/>
  <pageSetup paperSize="9" scale="56" fitToHeight="0"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A2370-5B0A-49BF-ABE6-0E9E0784A9D4}">
  <dimension ref="B2:F11"/>
  <sheetViews>
    <sheetView showGridLines="0" view="pageBreakPreview" zoomScaleNormal="100" zoomScaleSheetLayoutView="100" workbookViewId="0">
      <selection activeCell="B9" sqref="B9:B11"/>
    </sheetView>
  </sheetViews>
  <sheetFormatPr defaultRowHeight="14.4"/>
  <cols>
    <col min="2" max="2" width="17.109375" customWidth="1"/>
    <col min="3" max="3" width="28.88671875" bestFit="1" customWidth="1"/>
    <col min="4" max="4" width="18.44140625" bestFit="1" customWidth="1"/>
    <col min="5" max="5" width="17.6640625" bestFit="1" customWidth="1"/>
  </cols>
  <sheetData>
    <row r="2" spans="2:6" ht="15" thickBot="1"/>
    <row r="3" spans="2:6" ht="43.8" thickBot="1">
      <c r="B3" s="213" t="s">
        <v>203</v>
      </c>
      <c r="C3" s="214" t="s">
        <v>204</v>
      </c>
      <c r="D3" s="214"/>
      <c r="E3" s="215"/>
    </row>
    <row r="4" spans="2:6">
      <c r="B4" s="221" t="s">
        <v>134</v>
      </c>
      <c r="C4" s="216" t="s">
        <v>205</v>
      </c>
      <c r="D4" s="218" t="s">
        <v>206</v>
      </c>
      <c r="E4" s="210" t="s">
        <v>207</v>
      </c>
    </row>
    <row r="5" spans="2:6">
      <c r="B5" s="222">
        <v>1</v>
      </c>
      <c r="C5" s="217" t="s">
        <v>208</v>
      </c>
      <c r="D5" s="219" t="s">
        <v>209</v>
      </c>
      <c r="E5" s="211" t="s">
        <v>209</v>
      </c>
    </row>
    <row r="6" spans="2:6" ht="15" thickBot="1">
      <c r="B6" s="223" t="s">
        <v>106</v>
      </c>
      <c r="C6" s="217"/>
      <c r="D6" s="219"/>
      <c r="E6" s="211"/>
    </row>
    <row r="7" spans="2:6" ht="15" thickBot="1">
      <c r="B7" s="1009" t="s">
        <v>14</v>
      </c>
      <c r="C7" s="1010"/>
      <c r="D7" s="220"/>
      <c r="E7" s="209"/>
    </row>
    <row r="9" spans="2:6">
      <c r="B9" t="s">
        <v>210</v>
      </c>
    </row>
    <row r="10" spans="2:6">
      <c r="B10" s="250" t="s">
        <v>211</v>
      </c>
      <c r="C10" s="250"/>
      <c r="D10" s="250"/>
      <c r="E10" s="250"/>
      <c r="F10" s="250"/>
    </row>
    <row r="11" spans="2:6">
      <c r="B11" s="250" t="s">
        <v>212</v>
      </c>
      <c r="C11" s="250"/>
      <c r="D11" s="250"/>
      <c r="E11" s="250"/>
      <c r="F11" s="250"/>
    </row>
  </sheetData>
  <mergeCells count="1">
    <mergeCell ref="B7:C7"/>
  </mergeCells>
  <pageMargins left="0.7" right="0.7" top="0.75" bottom="0.75" header="0.3" footer="0.3"/>
  <pageSetup paperSize="9" scale="7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B457-5F12-4E79-B6E3-34FD0C9028B8}">
  <sheetPr>
    <tabColor theme="1"/>
    <pageSetUpPr fitToPage="1"/>
  </sheetPr>
  <dimension ref="A1:AD146"/>
  <sheetViews>
    <sheetView showGridLines="0" view="pageBreakPreview" topLeftCell="B1" zoomScaleNormal="100" zoomScaleSheetLayoutView="100" workbookViewId="0">
      <selection activeCell="B1" sqref="B1:H1"/>
    </sheetView>
  </sheetViews>
  <sheetFormatPr defaultRowHeight="14.4"/>
  <cols>
    <col min="2" max="2" width="8.5546875" bestFit="1" customWidth="1"/>
    <col min="3" max="3" width="45.33203125" bestFit="1" customWidth="1"/>
    <col min="4" max="4" width="14.88671875" bestFit="1" customWidth="1"/>
    <col min="5" max="5" width="11.44140625" bestFit="1" customWidth="1"/>
    <col min="6" max="6" width="14.6640625" customWidth="1"/>
    <col min="7" max="7" width="18.6640625" customWidth="1"/>
    <col min="8" max="8" width="17.5546875" bestFit="1" customWidth="1"/>
    <col min="9" max="11" width="0" hidden="1" customWidth="1"/>
    <col min="12" max="12" width="0" style="299" hidden="1" customWidth="1"/>
    <col min="13" max="25" width="0" hidden="1" customWidth="1"/>
    <col min="26" max="26" width="9.109375" hidden="1" customWidth="1"/>
    <col min="27" max="27" width="21.109375" bestFit="1" customWidth="1"/>
    <col min="28" max="28" width="33.44140625" bestFit="1" customWidth="1"/>
    <col min="29" max="29" width="15.109375" bestFit="1" customWidth="1"/>
  </cols>
  <sheetData>
    <row r="1" spans="2:30" ht="18">
      <c r="B1" s="975" t="str">
        <f>IF('Control Sheet'!$C$3&gt;0,'Control Sheet'!$C$3,'Control Sheet'!$B$3)</f>
        <v>Saptaranga Research and Organic Private Limited</v>
      </c>
      <c r="C1" s="975"/>
      <c r="D1" s="975"/>
      <c r="E1" s="975"/>
      <c r="F1" s="975"/>
      <c r="G1" s="975"/>
      <c r="H1" s="975"/>
      <c r="L1"/>
    </row>
    <row r="2" spans="2:30">
      <c r="B2" s="1014" t="str">
        <f>IF('Control Sheet'!$C$4&gt;0,'Control Sheet'!$C$4,'Control Sheet'!$B$4)</f>
        <v xml:space="preserve">Plot No 45, </v>
      </c>
      <c r="C2" s="1014"/>
      <c r="D2" s="1014"/>
      <c r="E2" s="1014"/>
      <c r="F2" s="1014"/>
      <c r="G2" s="1014"/>
      <c r="H2" s="1014"/>
      <c r="L2"/>
    </row>
    <row r="3" spans="2:30">
      <c r="B3" s="1014" t="str">
        <f>IF('Control Sheet'!$C$5&gt;0,'Control Sheet'!$C$5,'Control Sheet'!$B$5)</f>
        <v>Ravindra Nagar P.M.G. Society</v>
      </c>
      <c r="C3" s="1014"/>
      <c r="D3" s="1014"/>
      <c r="E3" s="1014"/>
      <c r="F3" s="1014"/>
      <c r="G3" s="1014"/>
      <c r="H3" s="1014"/>
      <c r="L3"/>
    </row>
    <row r="4" spans="2:30">
      <c r="B4" s="1014" t="str">
        <f>IF('Control Sheet'!$C$6&gt;0,'Control Sheet'!$C$6,'Control Sheet'!$B$6)</f>
        <v>Nagpur MH 440022 IN</v>
      </c>
      <c r="C4" s="1014"/>
      <c r="D4" s="1014"/>
      <c r="E4" s="1014"/>
      <c r="F4" s="1014"/>
      <c r="G4" s="1014"/>
      <c r="H4" s="1014"/>
      <c r="L4"/>
    </row>
    <row r="5" spans="2:30" ht="15" customHeight="1">
      <c r="B5" s="604"/>
      <c r="C5" s="604"/>
      <c r="D5" s="604"/>
      <c r="E5" s="604"/>
      <c r="F5" s="604"/>
      <c r="G5" s="604"/>
      <c r="H5" s="604"/>
      <c r="L5"/>
    </row>
    <row r="6" spans="2:30">
      <c r="B6" s="985" t="str">
        <f>IF('Control Sheet'!$C$7&gt;0,CONCATENATE("NOTES ANNEXED TO AND FORMING PART OF ACOUNTS FOR THE YEAR ENDING"," ",TEXT('Control Sheet'!$C$7,"DD-MMM-YYYY")),"NOTES ANNEXED TO AND FORMING PART OF ACOUNTS FOR THE YEAR ENDING &lt;Date&gt;")</f>
        <v>NOTES ANNEXED TO AND FORMING PART OF ACOUNTS FOR THE YEAR ENDING 31-Mar-2023</v>
      </c>
      <c r="C6" s="985"/>
      <c r="D6" s="985"/>
      <c r="E6" s="985"/>
      <c r="F6" s="985"/>
      <c r="G6" s="985"/>
      <c r="H6" s="985"/>
      <c r="L6"/>
    </row>
    <row r="7" spans="2:30">
      <c r="B7" s="33"/>
      <c r="C7" s="33"/>
      <c r="D7" s="33"/>
      <c r="E7" s="33"/>
      <c r="F7" s="33"/>
      <c r="G7" s="33"/>
      <c r="H7" s="33"/>
      <c r="L7"/>
    </row>
    <row r="8" spans="2:30" ht="15" thickBot="1">
      <c r="B8" s="49"/>
      <c r="C8" s="99"/>
      <c r="D8" s="49"/>
      <c r="E8" s="49"/>
      <c r="F8" s="49"/>
      <c r="G8" s="1013" t="str">
        <f>IF('Control Sheet'!$D$18="Specify in Cell E16",'Support Sheet'!$G$10,'Control Sheet'!$C$18)</f>
        <v>In Rs. hundreds</v>
      </c>
      <c r="H8" s="1013"/>
      <c r="L8"/>
    </row>
    <row r="9" spans="2:30">
      <c r="B9" s="100" t="s">
        <v>490</v>
      </c>
      <c r="C9" s="101"/>
      <c r="D9" s="102"/>
      <c r="E9" s="102"/>
      <c r="F9" s="102"/>
      <c r="G9" s="115" t="str">
        <f>IF('Control Sheet'!$C$7&gt;0,CONCATENATE("As on"," ",TEXT('Control Sheet'!$C$7,"DD-MMM-YYYY"))," &lt;CY Balance Sheet Date&gt;")</f>
        <v>As on 31-Mar-2023</v>
      </c>
      <c r="H9" s="115" t="str">
        <f>IF('Control Sheet'!$C$8&gt;0,CONCATENATE("As on"," ",TEXT('Control Sheet'!$C$8,"DD-MMM-YYYY"))," &lt;CY Balance Sheet Date&gt;")</f>
        <v>As on 31-Mar-2022</v>
      </c>
      <c r="L9"/>
      <c r="AA9" s="227" t="s">
        <v>451</v>
      </c>
      <c r="AB9" s="227" t="s">
        <v>452</v>
      </c>
      <c r="AC9" s="227" t="s">
        <v>453</v>
      </c>
      <c r="AD9" s="227" t="s">
        <v>456</v>
      </c>
    </row>
    <row r="10" spans="2:30">
      <c r="B10" s="294" t="str">
        <f>'Support Sheet'!C2</f>
        <v>(i)</v>
      </c>
      <c r="C10" s="49" t="s">
        <v>215</v>
      </c>
      <c r="D10" s="99"/>
      <c r="E10" s="99"/>
      <c r="F10" s="99"/>
      <c r="G10" s="499">
        <f>SUMIFS('Trial Balance'!$D:$D,'Trial Balance'!$F:$F,'BS Notes'!$AA10,'Trial Balance'!$G:$G,'BS Notes'!$AB10,'Trial Balance'!$H:$H,'BS Notes'!$AC10,'Trial Balance'!$I:$I,'BS Notes'!$AD10)/'Support Sheet'!$G$10</f>
        <v>0</v>
      </c>
      <c r="H10" s="500">
        <f>SUMIFS('Trial Balance'!$E:$E,'Trial Balance'!$F:$F,'BS Notes'!$AA10,'Trial Balance'!$G:$G,'BS Notes'!$AB10,'Trial Balance'!$H:$H,'BS Notes'!$AC10,'Trial Balance'!$I:$I,'BS Notes'!$AD10)/'Support Sheet'!$G$10</f>
        <v>0</v>
      </c>
      <c r="L10"/>
      <c r="AA10" t="s">
        <v>454</v>
      </c>
      <c r="AB10" t="s">
        <v>215</v>
      </c>
      <c r="AC10">
        <v>0</v>
      </c>
      <c r="AD10">
        <v>0</v>
      </c>
    </row>
    <row r="11" spans="2:30">
      <c r="B11" s="294" t="str">
        <f>'Support Sheet'!C3</f>
        <v>(ii)</v>
      </c>
      <c r="C11" s="49" t="s">
        <v>213</v>
      </c>
      <c r="D11" s="99"/>
      <c r="E11" s="99"/>
      <c r="F11" s="99"/>
      <c r="G11" s="499">
        <f>SUMIFS('Trial Balance'!$D:$D,'Trial Balance'!$F:$F,'BS Notes'!$AA11,'Trial Balance'!$G:$G,'BS Notes'!$AB11,'Trial Balance'!$H:$H,'BS Notes'!$AC11,'Trial Balance'!$I:$I,'BS Notes'!$AD11)/'Support Sheet'!$G$10</f>
        <v>0</v>
      </c>
      <c r="H11" s="500">
        <f>SUMIFS('Trial Balance'!$E:$E,'Trial Balance'!$F:$F,'BS Notes'!$AA11,'Trial Balance'!$G:$G,'BS Notes'!$AB11,'Trial Balance'!$H:$H,'BS Notes'!$AC11,'Trial Balance'!$I:$I,'BS Notes'!$AD11)/'Support Sheet'!$G$10</f>
        <v>0</v>
      </c>
      <c r="L11"/>
      <c r="AA11" t="s">
        <v>454</v>
      </c>
      <c r="AB11" t="s">
        <v>213</v>
      </c>
      <c r="AC11">
        <v>0</v>
      </c>
      <c r="AD11">
        <v>0</v>
      </c>
    </row>
    <row r="12" spans="2:30">
      <c r="B12" s="294" t="str">
        <f>'Support Sheet'!C4</f>
        <v>(iii)</v>
      </c>
      <c r="C12" s="49" t="s">
        <v>216</v>
      </c>
      <c r="D12" s="99"/>
      <c r="E12" s="99"/>
      <c r="F12" s="99"/>
      <c r="G12" s="499">
        <f>SUMIFS('Trial Balance'!$D:$D,'Trial Balance'!$F:$F,'BS Notes'!$AA12,'Trial Balance'!$G:$G,'BS Notes'!$AB12,'Trial Balance'!$H:$H,'BS Notes'!$AC12,'Trial Balance'!$I:$I,'BS Notes'!$AD12)/'Support Sheet'!$G$10</f>
        <v>0</v>
      </c>
      <c r="H12" s="500">
        <f>SUMIFS('Trial Balance'!$E:$E,'Trial Balance'!$F:$F,'BS Notes'!$AA12,'Trial Balance'!$G:$G,'BS Notes'!$AB12,'Trial Balance'!$H:$H,'BS Notes'!$AC12,'Trial Balance'!$I:$I,'BS Notes'!$AD12)/'Support Sheet'!$G$10</f>
        <v>0</v>
      </c>
      <c r="L12"/>
      <c r="AA12" t="s">
        <v>454</v>
      </c>
      <c r="AB12" t="s">
        <v>216</v>
      </c>
      <c r="AC12">
        <v>0</v>
      </c>
      <c r="AD12">
        <v>0</v>
      </c>
    </row>
    <row r="13" spans="2:30">
      <c r="B13" s="294" t="str">
        <f>'Support Sheet'!C5</f>
        <v>(iv)</v>
      </c>
      <c r="C13" s="49" t="s">
        <v>217</v>
      </c>
      <c r="D13" s="99"/>
      <c r="E13" s="99"/>
      <c r="F13" s="99"/>
      <c r="G13" s="499">
        <f>SUMIFS('Trial Balance'!$D:$D,'Trial Balance'!$F:$F,'BS Notes'!$AA13,'Trial Balance'!$G:$G,'BS Notes'!$AB13,'Trial Balance'!$H:$H,'BS Notes'!$AC13,'Trial Balance'!$I:$I,'BS Notes'!$AD13)/'Support Sheet'!$G$10</f>
        <v>0</v>
      </c>
      <c r="H13" s="500">
        <f>SUMIFS('Trial Balance'!$E:$E,'Trial Balance'!$F:$F,'BS Notes'!$AA13,'Trial Balance'!$G:$G,'BS Notes'!$AB13,'Trial Balance'!$H:$H,'BS Notes'!$AC13,'Trial Balance'!$I:$I,'BS Notes'!$AD13)/'Support Sheet'!$G$10</f>
        <v>0</v>
      </c>
      <c r="L13"/>
      <c r="AA13" t="s">
        <v>454</v>
      </c>
      <c r="AB13" s="49" t="s">
        <v>217</v>
      </c>
      <c r="AC13">
        <v>0</v>
      </c>
      <c r="AD13">
        <v>0</v>
      </c>
    </row>
    <row r="14" spans="2:30">
      <c r="B14" s="294" t="str">
        <f>'Support Sheet'!C6</f>
        <v>(v)</v>
      </c>
      <c r="C14" s="49" t="s">
        <v>218</v>
      </c>
      <c r="D14" s="99"/>
      <c r="E14" s="99"/>
      <c r="F14" s="99"/>
      <c r="G14" s="499">
        <f>SUMIFS('Trial Balance'!$D:$D,'Trial Balance'!$F:$F,'BS Notes'!$AA14,'Trial Balance'!$G:$G,'BS Notes'!$AB14,'Trial Balance'!$H:$H,'BS Notes'!$AC14,'Trial Balance'!$I:$I,'BS Notes'!$AD14)/'Support Sheet'!$G$10</f>
        <v>0</v>
      </c>
      <c r="H14" s="500">
        <f>SUMIFS('Trial Balance'!$E:$E,'Trial Balance'!$F:$F,'BS Notes'!$AA14,'Trial Balance'!$G:$G,'BS Notes'!$AB14,'Trial Balance'!$H:$H,'BS Notes'!$AC14,'Trial Balance'!$I:$I,'BS Notes'!$AD14)/'Support Sheet'!$G$10</f>
        <v>0</v>
      </c>
      <c r="L14"/>
      <c r="AA14" t="s">
        <v>454</v>
      </c>
      <c r="AB14" s="49" t="s">
        <v>218</v>
      </c>
      <c r="AC14">
        <v>0</v>
      </c>
      <c r="AD14">
        <v>0</v>
      </c>
    </row>
    <row r="15" spans="2:30">
      <c r="B15" s="294" t="str">
        <f>'Support Sheet'!C7</f>
        <v>(vi)</v>
      </c>
      <c r="C15" s="49" t="s">
        <v>219</v>
      </c>
      <c r="D15" s="99"/>
      <c r="E15" s="99"/>
      <c r="F15" s="99"/>
      <c r="G15" s="499">
        <f>SUMIFS('Trial Balance'!$D:$D,'Trial Balance'!$F:$F,'BS Notes'!$AA15,'Trial Balance'!$G:$G,'BS Notes'!$AB15,'Trial Balance'!$H:$H,'BS Notes'!$AC15,'Trial Balance'!$I:$I,'BS Notes'!$AD15)/'Support Sheet'!$G$10</f>
        <v>0</v>
      </c>
      <c r="H15" s="500">
        <f>SUMIFS('Trial Balance'!$E:$E,'Trial Balance'!$F:$F,'BS Notes'!$AA15,'Trial Balance'!$G:$G,'BS Notes'!$AB15,'Trial Balance'!$H:$H,'BS Notes'!$AC15,'Trial Balance'!$I:$I,'BS Notes'!$AD15)/'Support Sheet'!$G$10</f>
        <v>0</v>
      </c>
      <c r="L15"/>
      <c r="AA15" t="s">
        <v>454</v>
      </c>
      <c r="AB15" s="49" t="s">
        <v>219</v>
      </c>
      <c r="AC15">
        <v>0</v>
      </c>
      <c r="AD15">
        <v>0</v>
      </c>
    </row>
    <row r="16" spans="2:30" ht="28.8">
      <c r="B16" s="328" t="str">
        <f>'Support Sheet'!C8</f>
        <v>(vii)</v>
      </c>
      <c r="C16" s="664" t="s">
        <v>220</v>
      </c>
      <c r="D16" s="99"/>
      <c r="E16" s="99"/>
      <c r="F16" s="99"/>
      <c r="G16" s="499">
        <f>SUMIFS('Trial Balance'!$D:$D,'Trial Balance'!$F:$F,'BS Notes'!$AA16,'Trial Balance'!$G:$G,'BS Notes'!$AB16,'Trial Balance'!$H:$H,'BS Notes'!$AC16,'Trial Balance'!$I:$I,'BS Notes'!$AD16)/'Support Sheet'!$G$10</f>
        <v>0</v>
      </c>
      <c r="H16" s="500">
        <f>SUMIFS('Trial Balance'!$E:$E,'Trial Balance'!$F:$F,'BS Notes'!$AA16,'Trial Balance'!$G:$G,'BS Notes'!$AB16,'Trial Balance'!$H:$H,'BS Notes'!$AC16,'Trial Balance'!$I:$I,'BS Notes'!$AD16)/'Support Sheet'!$G$10</f>
        <v>0</v>
      </c>
      <c r="L16"/>
      <c r="AA16" t="s">
        <v>454</v>
      </c>
      <c r="AB16" t="str">
        <f>C16</f>
        <v>Other Reserves-(specify the nature and purpose of each reserve and the amount in respect thereof)</v>
      </c>
      <c r="AC16">
        <v>0</v>
      </c>
      <c r="AD16">
        <v>0</v>
      </c>
    </row>
    <row r="17" spans="2:30">
      <c r="B17" s="294" t="str">
        <f>'Support Sheet'!C9</f>
        <v>(viii)</v>
      </c>
      <c r="C17" s="266" t="s">
        <v>98</v>
      </c>
      <c r="D17" s="99"/>
      <c r="E17" s="99"/>
      <c r="F17" s="99"/>
      <c r="G17" s="499"/>
      <c r="H17" s="500"/>
      <c r="L17"/>
    </row>
    <row r="18" spans="2:30">
      <c r="B18" s="45"/>
      <c r="C18" s="99" t="s">
        <v>99</v>
      </c>
      <c r="D18" s="99"/>
      <c r="E18" s="99"/>
      <c r="F18" s="99"/>
      <c r="G18" s="499">
        <f>SUMIFS('Trial Balance'!$D:$D,'Trial Balance'!$F:$F,'BS Notes'!$AA18,'Trial Balance'!$G:$G,'BS Notes'!$AB18,'Trial Balance'!$H:$H,'BS Notes'!$AC18,'Trial Balance'!$I:$I,'BS Notes'!$AD18)/'Support Sheet'!$G$10</f>
        <v>-22.74</v>
      </c>
      <c r="H18" s="500">
        <f>SUMIFS('Trial Balance'!$E:$E,'Trial Balance'!$F:$F,'BS Notes'!$AA18,'Trial Balance'!$G:$G,'BS Notes'!$AB18,'Trial Balance'!$H:$H,'BS Notes'!$AC18,'Trial Balance'!$I:$I,'BS Notes'!$AD18)/'Support Sheet'!$G$10</f>
        <v>0</v>
      </c>
      <c r="L18"/>
      <c r="AA18" t="s">
        <v>454</v>
      </c>
      <c r="AB18" s="49" t="s">
        <v>812</v>
      </c>
      <c r="AC18">
        <v>0</v>
      </c>
      <c r="AD18">
        <v>0</v>
      </c>
    </row>
    <row r="19" spans="2:30" ht="28.8">
      <c r="B19" s="251" t="s">
        <v>214</v>
      </c>
      <c r="C19" s="225" t="s">
        <v>221</v>
      </c>
      <c r="D19" s="99"/>
      <c r="E19" s="99"/>
      <c r="F19" s="99"/>
      <c r="G19" s="499">
        <f>PL!D43</f>
        <v>-5401.4460999999992</v>
      </c>
      <c r="H19" s="500">
        <f>PL!E43</f>
        <v>-22.740000000000009</v>
      </c>
      <c r="L19"/>
    </row>
    <row r="20" spans="2:30">
      <c r="B20" s="251" t="s">
        <v>214</v>
      </c>
      <c r="C20" s="614" t="s">
        <v>283</v>
      </c>
      <c r="D20" s="99"/>
      <c r="E20" s="99"/>
      <c r="F20" s="99"/>
      <c r="G20" s="499"/>
      <c r="H20" s="500"/>
      <c r="L20"/>
    </row>
    <row r="21" spans="2:30">
      <c r="B21" s="251" t="s">
        <v>282</v>
      </c>
      <c r="C21" s="225" t="s">
        <v>871</v>
      </c>
      <c r="D21" s="99"/>
      <c r="E21" s="99"/>
      <c r="F21" s="99"/>
      <c r="G21" s="499"/>
      <c r="H21" s="500"/>
      <c r="L21"/>
    </row>
    <row r="22" spans="2:30">
      <c r="B22" s="251"/>
      <c r="C22" s="226" t="s">
        <v>100</v>
      </c>
      <c r="D22" s="99"/>
      <c r="E22" s="99"/>
      <c r="F22" s="99"/>
      <c r="G22" s="499">
        <f>G18+G19+G20-G21</f>
        <v>-5424.186099999999</v>
      </c>
      <c r="H22" s="500">
        <f>H18+H19+H20-H21</f>
        <v>-22.740000000000009</v>
      </c>
      <c r="L22"/>
    </row>
    <row r="23" spans="2:30" ht="15" thickBot="1">
      <c r="B23" s="1011" t="s">
        <v>14</v>
      </c>
      <c r="C23" s="1012"/>
      <c r="D23" s="1012"/>
      <c r="E23" s="105"/>
      <c r="F23" s="106"/>
      <c r="G23" s="501">
        <f>SUM(G10:G16,G22)</f>
        <v>-5424.186099999999</v>
      </c>
      <c r="H23" s="502">
        <f>SUM(H10:H16,H22)</f>
        <v>-22.740000000000009</v>
      </c>
      <c r="L23"/>
    </row>
    <row r="24" spans="2:30" ht="15" thickBot="1">
      <c r="B24" s="49"/>
      <c r="C24" s="49"/>
      <c r="D24" s="99"/>
      <c r="E24" s="99"/>
      <c r="F24" s="99"/>
      <c r="G24" s="189"/>
      <c r="H24" s="189"/>
      <c r="L24"/>
    </row>
    <row r="25" spans="2:30">
      <c r="B25" s="100" t="s">
        <v>491</v>
      </c>
      <c r="C25" s="101"/>
      <c r="D25" s="102"/>
      <c r="E25" s="102"/>
      <c r="F25" s="102"/>
      <c r="G25" s="503" t="str">
        <f>IF('Control Sheet'!$C$7&gt;0,CONCATENATE("As on"," ",TEXT('Control Sheet'!$C$7,"DD-MMM-YYYY"))," &lt;CY Balance Sheet Date&gt;")</f>
        <v>As on 31-Mar-2023</v>
      </c>
      <c r="H25" s="503" t="str">
        <f>IF('Control Sheet'!$C$8&gt;0,CONCATENATE("As on"," ",TEXT('Control Sheet'!$C$8,"DD-MMM-YYYY"))," &lt;CY Balance Sheet Date&gt;")</f>
        <v>As on 31-Mar-2022</v>
      </c>
      <c r="L25" s="231" t="s">
        <v>236</v>
      </c>
      <c r="AA25" s="227" t="s">
        <v>451</v>
      </c>
      <c r="AB25" s="227" t="s">
        <v>452</v>
      </c>
      <c r="AC25" s="227" t="s">
        <v>453</v>
      </c>
      <c r="AD25" s="227" t="s">
        <v>456</v>
      </c>
    </row>
    <row r="26" spans="2:30">
      <c r="B26" s="224"/>
      <c r="C26" s="266" t="s">
        <v>382</v>
      </c>
      <c r="D26" s="99"/>
      <c r="E26" s="99"/>
      <c r="F26" s="99"/>
      <c r="G26" s="504"/>
      <c r="H26" s="505"/>
      <c r="L26" s="49" t="s">
        <v>230</v>
      </c>
    </row>
    <row r="27" spans="2:30">
      <c r="B27" s="294" t="str">
        <f>'Support Sheet'!C2</f>
        <v>(i)</v>
      </c>
      <c r="C27" s="49" t="s">
        <v>222</v>
      </c>
      <c r="D27" s="49"/>
      <c r="E27" s="49"/>
      <c r="F27" s="49"/>
      <c r="G27" s="499">
        <f>SUMIFS('Trial Balance'!$D:$D,'Trial Balance'!$F:$F,'BS Notes'!$AA27,'Trial Balance'!$G:$G,'BS Notes'!$AB27,'Trial Balance'!$H:$H,'BS Notes'!$AC27,'Trial Balance'!$I:$I,'BS Notes'!$AD27)/'Support Sheet'!$G$10</f>
        <v>0</v>
      </c>
      <c r="H27" s="500">
        <f>SUMIFS('Trial Balance'!$E:$E,'Trial Balance'!$F:$F,'BS Notes'!$AA27,'Trial Balance'!$G:$G,'BS Notes'!$AB27,'Trial Balance'!$H:$H,'BS Notes'!$AC27,'Trial Balance'!$I:$I,'BS Notes'!$AD27)/'Support Sheet'!$G$10</f>
        <v>0</v>
      </c>
      <c r="L27" s="49" t="s">
        <v>231</v>
      </c>
      <c r="AA27" t="s">
        <v>236</v>
      </c>
      <c r="AB27" t="s">
        <v>222</v>
      </c>
      <c r="AC27">
        <v>0</v>
      </c>
      <c r="AD27" t="s">
        <v>457</v>
      </c>
    </row>
    <row r="28" spans="2:30">
      <c r="B28" s="294" t="str">
        <f>'Support Sheet'!C3</f>
        <v>(ii)</v>
      </c>
      <c r="C28" s="49" t="s">
        <v>223</v>
      </c>
      <c r="D28" s="49"/>
      <c r="E28" s="49"/>
      <c r="F28" s="49"/>
      <c r="G28" s="506"/>
      <c r="H28" s="507"/>
      <c r="L28" t="s">
        <v>380</v>
      </c>
    </row>
    <row r="29" spans="2:30">
      <c r="B29" s="294"/>
      <c r="C29" s="49" t="s">
        <v>224</v>
      </c>
      <c r="D29" s="49"/>
      <c r="E29" s="49"/>
      <c r="F29" s="49"/>
      <c r="G29" s="499">
        <f>SUMIFS('Trial Balance'!$D:$D,'Trial Balance'!$F:$F,'BS Notes'!$AA29,'Trial Balance'!$G:$G,'BS Notes'!$AB29,'Trial Balance'!$H:$H,'BS Notes'!$AC29,'Trial Balance'!$I:$I,'BS Notes'!$AD29)/'Support Sheet'!$G$10</f>
        <v>0</v>
      </c>
      <c r="H29" s="500">
        <f>SUMIFS('Trial Balance'!$E:$E,'Trial Balance'!$F:$F,'BS Notes'!$AA29,'Trial Balance'!$G:$G,'BS Notes'!$AB29,'Trial Balance'!$H:$H,'BS Notes'!$AC29,'Trial Balance'!$I:$I,'BS Notes'!$AD29)/'Support Sheet'!$G$10</f>
        <v>0</v>
      </c>
      <c r="L29" t="s">
        <v>381</v>
      </c>
      <c r="AA29" t="s">
        <v>236</v>
      </c>
      <c r="AB29" t="s">
        <v>223</v>
      </c>
      <c r="AC29" t="s">
        <v>458</v>
      </c>
      <c r="AD29" t="s">
        <v>457</v>
      </c>
    </row>
    <row r="30" spans="2:30">
      <c r="B30" s="294"/>
      <c r="C30" s="49" t="s">
        <v>225</v>
      </c>
      <c r="D30" s="49"/>
      <c r="E30" s="49"/>
      <c r="F30" s="49"/>
      <c r="G30" s="499">
        <f>SUMIFS('Trial Balance'!$D:$D,'Trial Balance'!$F:$F,'BS Notes'!$AA30,'Trial Balance'!$G:$G,'BS Notes'!$AB30,'Trial Balance'!$H:$H,'BS Notes'!$AC30,'Trial Balance'!$I:$I,'BS Notes'!$AD30)/'Support Sheet'!$G$10</f>
        <v>0</v>
      </c>
      <c r="H30" s="500">
        <f>SUMIFS('Trial Balance'!$E:$E,'Trial Balance'!$F:$F,'BS Notes'!$AA30,'Trial Balance'!$G:$G,'BS Notes'!$AB30,'Trial Balance'!$H:$H,'BS Notes'!$AC30,'Trial Balance'!$I:$I,'BS Notes'!$AD30)/'Support Sheet'!$G$10</f>
        <v>0</v>
      </c>
      <c r="L30" t="s">
        <v>233</v>
      </c>
      <c r="AA30" t="s">
        <v>236</v>
      </c>
      <c r="AB30" t="s">
        <v>223</v>
      </c>
      <c r="AC30" t="s">
        <v>459</v>
      </c>
      <c r="AD30" t="s">
        <v>457</v>
      </c>
    </row>
    <row r="31" spans="2:30">
      <c r="B31" s="294" t="str">
        <f>'Support Sheet'!C4</f>
        <v>(iii)</v>
      </c>
      <c r="C31" s="49" t="s">
        <v>103</v>
      </c>
      <c r="D31" s="49"/>
      <c r="E31" s="49"/>
      <c r="F31" s="49"/>
      <c r="G31" s="499">
        <f>SUMIFS('Trial Balance'!$D:$D,'Trial Balance'!$F:$F,'BS Notes'!$AA31,'Trial Balance'!$G:$G,'BS Notes'!$AB31,'Trial Balance'!$H:$H,'BS Notes'!$AC31,'Trial Balance'!$I:$I,'BS Notes'!$AD31)/'Support Sheet'!$G$10</f>
        <v>0</v>
      </c>
      <c r="H31" s="500">
        <f>SUMIFS('Trial Balance'!$E:$E,'Trial Balance'!$F:$F,'BS Notes'!$AA31,'Trial Balance'!$G:$G,'BS Notes'!$AB31,'Trial Balance'!$H:$H,'BS Notes'!$AC31,'Trial Balance'!$I:$I,'BS Notes'!$AD31)/'Support Sheet'!$G$10</f>
        <v>0</v>
      </c>
      <c r="L31" t="s">
        <v>234</v>
      </c>
      <c r="AA31" t="s">
        <v>236</v>
      </c>
      <c r="AB31" t="s">
        <v>103</v>
      </c>
      <c r="AC31">
        <v>0</v>
      </c>
      <c r="AD31" t="s">
        <v>457</v>
      </c>
    </row>
    <row r="32" spans="2:30">
      <c r="B32" s="45"/>
      <c r="C32" s="266" t="s">
        <v>383</v>
      </c>
      <c r="D32" s="49"/>
      <c r="E32" s="49"/>
      <c r="F32" s="49"/>
      <c r="G32" s="499">
        <f>SUMIFS('Trial Balance'!$D:$D,'Trial Balance'!$F:$F,'BS Notes'!$AA32,'Trial Balance'!$G:$G,'BS Notes'!$AB32,'Trial Balance'!$H:$H,'BS Notes'!$AC32,'Trial Balance'!$I:$I,'BS Notes'!$AD32)/'Support Sheet'!$G$10</f>
        <v>0</v>
      </c>
      <c r="H32" s="500">
        <f>SUMIFS('Trial Balance'!$E:$E,'Trial Balance'!$F:$F,'BS Notes'!$AA32,'Trial Balance'!$G:$G,'BS Notes'!$AB32,'Trial Balance'!$H:$H,'BS Notes'!$AC32,'Trial Balance'!$I:$I,'BS Notes'!$AD32)/'Support Sheet'!$G$10</f>
        <v>0</v>
      </c>
      <c r="L32" t="s">
        <v>235</v>
      </c>
    </row>
    <row r="33" spans="1:30">
      <c r="B33" s="294" t="str">
        <f>'Support Sheet'!C5</f>
        <v>(iv)</v>
      </c>
      <c r="C33" s="49" t="s">
        <v>222</v>
      </c>
      <c r="D33" s="49"/>
      <c r="E33" s="49"/>
      <c r="F33" s="49"/>
      <c r="G33" s="499">
        <f>SUMIFS('Trial Balance'!$D:$D,'Trial Balance'!$F:$F,'BS Notes'!$AA33,'Trial Balance'!$G:$G,'BS Notes'!$AB33,'Trial Balance'!$H:$H,'BS Notes'!$AC33,'Trial Balance'!$I:$I,'BS Notes'!$AD33)/'Support Sheet'!$G$10</f>
        <v>10080</v>
      </c>
      <c r="H33" s="500">
        <f>SUMIFS('Trial Balance'!$E:$E,'Trial Balance'!$F:$F,'BS Notes'!$AA33,'Trial Balance'!$G:$G,'BS Notes'!$AB33,'Trial Balance'!$H:$H,'BS Notes'!$AC33,'Trial Balance'!$I:$I,'BS Notes'!$AD33)/'Support Sheet'!$G$10</f>
        <v>0</v>
      </c>
      <c r="L33"/>
      <c r="AA33" t="s">
        <v>236</v>
      </c>
      <c r="AB33" t="s">
        <v>222</v>
      </c>
      <c r="AD33" t="s">
        <v>460</v>
      </c>
    </row>
    <row r="34" spans="1:30">
      <c r="B34" s="294" t="str">
        <f>'Support Sheet'!C6</f>
        <v>(v)</v>
      </c>
      <c r="C34" s="49" t="s">
        <v>223</v>
      </c>
      <c r="D34" s="49"/>
      <c r="E34" s="49"/>
      <c r="F34" s="49"/>
      <c r="G34" s="499"/>
      <c r="H34" s="500"/>
      <c r="L34"/>
    </row>
    <row r="35" spans="1:30">
      <c r="B35" s="45"/>
      <c r="C35" s="49" t="s">
        <v>224</v>
      </c>
      <c r="D35" s="49"/>
      <c r="E35" s="49"/>
      <c r="F35" s="49"/>
      <c r="G35" s="499">
        <f>SUMIFS('Trial Balance'!$D:$D,'Trial Balance'!$F:$F,'BS Notes'!$AA35,'Trial Balance'!$G:$G,'BS Notes'!$AB35,'Trial Balance'!$H:$H,'BS Notes'!$AC35,'Trial Balance'!$I:$I,'BS Notes'!$AD35)/'Support Sheet'!$G$10</f>
        <v>0</v>
      </c>
      <c r="H35" s="500">
        <f>SUMIFS('Trial Balance'!$E:$E,'Trial Balance'!$F:$F,'BS Notes'!$AA35,'Trial Balance'!$G:$G,'BS Notes'!$AB35,'Trial Balance'!$H:$H,'BS Notes'!$AC35,'Trial Balance'!$I:$I,'BS Notes'!$AD35)/'Support Sheet'!$G$10</f>
        <v>0</v>
      </c>
      <c r="L35"/>
      <c r="AA35" t="s">
        <v>236</v>
      </c>
      <c r="AB35" t="s">
        <v>223</v>
      </c>
      <c r="AC35" t="s">
        <v>458</v>
      </c>
      <c r="AD35" t="s">
        <v>460</v>
      </c>
    </row>
    <row r="36" spans="1:30">
      <c r="B36" s="45"/>
      <c r="C36" s="49" t="s">
        <v>225</v>
      </c>
      <c r="D36" s="49"/>
      <c r="E36" s="49"/>
      <c r="F36" s="49"/>
      <c r="G36" s="499">
        <f>SUMIFS('Trial Balance'!$D:$D,'Trial Balance'!$F:$F,'BS Notes'!$AA36,'Trial Balance'!$G:$G,'BS Notes'!$AB36,'Trial Balance'!$H:$H,'BS Notes'!$AC36,'Trial Balance'!$I:$I,'BS Notes'!$AD36)/'Support Sheet'!$G$10</f>
        <v>0</v>
      </c>
      <c r="H36" s="500">
        <f>SUMIFS('Trial Balance'!$E:$E,'Trial Balance'!$F:$F,'BS Notes'!$AA36,'Trial Balance'!$G:$G,'BS Notes'!$AB36,'Trial Balance'!$H:$H,'BS Notes'!$AC36,'Trial Balance'!$I:$I,'BS Notes'!$AD36)/'Support Sheet'!$G$10</f>
        <v>0</v>
      </c>
      <c r="L36"/>
      <c r="AA36" t="s">
        <v>236</v>
      </c>
      <c r="AB36" t="s">
        <v>223</v>
      </c>
      <c r="AC36" t="s">
        <v>459</v>
      </c>
      <c r="AD36" t="s">
        <v>460</v>
      </c>
    </row>
    <row r="37" spans="1:30">
      <c r="A37" s="228"/>
      <c r="B37" s="294" t="str">
        <f>'Support Sheet'!C7</f>
        <v>(vi)</v>
      </c>
      <c r="C37" s="49" t="s">
        <v>103</v>
      </c>
      <c r="D37" s="49"/>
      <c r="E37" s="49"/>
      <c r="F37" s="49"/>
      <c r="G37" s="499">
        <f>SUMIFS('Trial Balance'!$D:$D,'Trial Balance'!$F:$F,'BS Notes'!$AA37,'Trial Balance'!$G:$G,'BS Notes'!$AB37,'Trial Balance'!$H:$H,'BS Notes'!$AC37,'Trial Balance'!$I:$I,'BS Notes'!$AD37)/'Support Sheet'!$G$10</f>
        <v>0</v>
      </c>
      <c r="H37" s="500">
        <f>SUMIFS('Trial Balance'!$E:$E,'Trial Balance'!$F:$F,'BS Notes'!$AA37,'Trial Balance'!$G:$G,'BS Notes'!$AB37,'Trial Balance'!$H:$H,'BS Notes'!$AC37,'Trial Balance'!$I:$I,'BS Notes'!$AD37)/'Support Sheet'!$G$10</f>
        <v>0</v>
      </c>
      <c r="L37"/>
      <c r="AA37" t="s">
        <v>236</v>
      </c>
      <c r="AB37" t="s">
        <v>103</v>
      </c>
      <c r="AC37">
        <v>0</v>
      </c>
      <c r="AD37" t="s">
        <v>460</v>
      </c>
    </row>
    <row r="38" spans="1:30">
      <c r="B38" s="294" t="str">
        <f>'Support Sheet'!C8</f>
        <v>(vii)</v>
      </c>
      <c r="C38" s="49" t="s">
        <v>226</v>
      </c>
      <c r="D38" s="49"/>
      <c r="E38" s="49"/>
      <c r="F38" s="49"/>
      <c r="G38" s="499">
        <f>SUMIFS('Trial Balance'!$D:$D,'Trial Balance'!$F:$F,'BS Notes'!$AA38,'Trial Balance'!$G:$G,'BS Notes'!$AB38,'Trial Balance'!$H:$H,'BS Notes'!$AC38,'Trial Balance'!$I:$I,'BS Notes'!$AD38)/'Support Sheet'!$G$10</f>
        <v>0</v>
      </c>
      <c r="H38" s="500">
        <f>SUMIFS('Trial Balance'!$E:$E,'Trial Balance'!$F:$F,'BS Notes'!$AA38,'Trial Balance'!$G:$G,'BS Notes'!$AB38,'Trial Balance'!$H:$H,'BS Notes'!$AC38,'Trial Balance'!$I:$I,'BS Notes'!$AD38)/'Support Sheet'!$G$10</f>
        <v>0</v>
      </c>
      <c r="L38"/>
      <c r="AA38" t="s">
        <v>236</v>
      </c>
      <c r="AB38" s="49" t="s">
        <v>226</v>
      </c>
      <c r="AC38">
        <v>0</v>
      </c>
      <c r="AD38">
        <v>0</v>
      </c>
    </row>
    <row r="39" spans="1:30">
      <c r="B39" s="294" t="str">
        <f>'Support Sheet'!C9</f>
        <v>(viii)</v>
      </c>
      <c r="C39" s="49" t="s">
        <v>227</v>
      </c>
      <c r="D39" s="49"/>
      <c r="E39" s="49"/>
      <c r="F39" s="49"/>
      <c r="G39" s="499">
        <f>SUMIFS('Trial Balance'!$D:$D,'Trial Balance'!$F:$F,'BS Notes'!$AA39,'Trial Balance'!$G:$G,'BS Notes'!$AB39,'Trial Balance'!$H:$H,'BS Notes'!$AC39,'Trial Balance'!$I:$I,'BS Notes'!$AD39)/'Support Sheet'!$G$10</f>
        <v>0</v>
      </c>
      <c r="H39" s="500">
        <f>SUMIFS('Trial Balance'!$E:$E,'Trial Balance'!$F:$F,'BS Notes'!$AA39,'Trial Balance'!$G:$G,'BS Notes'!$AB39,'Trial Balance'!$H:$H,'BS Notes'!$AC39,'Trial Balance'!$I:$I,'BS Notes'!$AD39)/'Support Sheet'!$G$10</f>
        <v>0</v>
      </c>
      <c r="L39"/>
      <c r="AA39" t="s">
        <v>236</v>
      </c>
      <c r="AB39" s="49" t="s">
        <v>227</v>
      </c>
      <c r="AC39">
        <v>0</v>
      </c>
      <c r="AD39">
        <v>0</v>
      </c>
    </row>
    <row r="40" spans="1:30">
      <c r="B40" s="294" t="str">
        <f>'Support Sheet'!C10</f>
        <v>(ix)</v>
      </c>
      <c r="C40" s="49" t="s">
        <v>228</v>
      </c>
      <c r="D40" s="49"/>
      <c r="E40" s="49"/>
      <c r="F40" s="49"/>
      <c r="G40" s="499">
        <f>SUMIFS('Trial Balance'!$D:$D,'Trial Balance'!$F:$F,'BS Notes'!$AA40,'Trial Balance'!$G:$G,'BS Notes'!$AB40,'Trial Balance'!$H:$H,'BS Notes'!$AC40,'Trial Balance'!$I:$I,'BS Notes'!$AD40)/'Support Sheet'!$G$10</f>
        <v>0</v>
      </c>
      <c r="H40" s="500">
        <f>SUMIFS('Trial Balance'!$E:$E,'Trial Balance'!$F:$F,'BS Notes'!$AA40,'Trial Balance'!$G:$G,'BS Notes'!$AB40,'Trial Balance'!$H:$H,'BS Notes'!$AC40,'Trial Balance'!$I:$I,'BS Notes'!$AD40)/'Support Sheet'!$G$10</f>
        <v>0</v>
      </c>
      <c r="L40"/>
      <c r="AA40" t="s">
        <v>236</v>
      </c>
      <c r="AB40" s="49" t="s">
        <v>228</v>
      </c>
      <c r="AC40">
        <v>0</v>
      </c>
      <c r="AD40">
        <v>0</v>
      </c>
    </row>
    <row r="41" spans="1:30">
      <c r="B41" s="294" t="str">
        <f>'Support Sheet'!C11</f>
        <v>(x)</v>
      </c>
      <c r="C41" s="49" t="s">
        <v>244</v>
      </c>
      <c r="D41" s="49"/>
      <c r="E41" s="49"/>
      <c r="F41" s="49"/>
      <c r="G41" s="499">
        <f>SUMIFS('Trial Balance'!$D:$D,'Trial Balance'!$F:$F,'BS Notes'!$AA41,'Trial Balance'!$G:$G,'BS Notes'!$AB41,'Trial Balance'!$H:$H,'BS Notes'!$AC41,'Trial Balance'!$I:$I,'BS Notes'!$AD41)/'Support Sheet'!$G$10</f>
        <v>0</v>
      </c>
      <c r="H41" s="500">
        <f>SUMIFS('Trial Balance'!$E:$E,'Trial Balance'!$F:$F,'BS Notes'!$AA41,'Trial Balance'!$G:$G,'BS Notes'!$AB41,'Trial Balance'!$H:$H,'BS Notes'!$AC41,'Trial Balance'!$I:$I,'BS Notes'!$AD41)/'Support Sheet'!$G$10</f>
        <v>0</v>
      </c>
      <c r="L41"/>
      <c r="AA41" t="s">
        <v>236</v>
      </c>
      <c r="AB41" s="49" t="str">
        <f>C41</f>
        <v>Other Loans And Advances (Specify Nature)</v>
      </c>
      <c r="AC41">
        <v>0</v>
      </c>
      <c r="AD41">
        <v>0</v>
      </c>
    </row>
    <row r="42" spans="1:30" ht="15" thickBot="1">
      <c r="B42" s="1011" t="s">
        <v>14</v>
      </c>
      <c r="C42" s="1012"/>
      <c r="D42" s="1012"/>
      <c r="E42" s="105"/>
      <c r="F42" s="106"/>
      <c r="G42" s="501">
        <f>SUM(G27:G41)</f>
        <v>10080</v>
      </c>
      <c r="H42" s="502">
        <f>SUM(H27:H41)</f>
        <v>0</v>
      </c>
      <c r="L42"/>
    </row>
    <row r="43" spans="1:30" ht="15" thickBot="1">
      <c r="B43" s="336"/>
      <c r="C43" s="104"/>
      <c r="D43" s="104"/>
      <c r="E43" s="104"/>
      <c r="F43" s="104"/>
      <c r="G43" s="508"/>
      <c r="H43" s="509"/>
      <c r="L43"/>
    </row>
    <row r="44" spans="1:30">
      <c r="B44" s="100" t="s">
        <v>492</v>
      </c>
      <c r="C44" s="101"/>
      <c r="D44" s="102"/>
      <c r="E44" s="102"/>
      <c r="F44" s="102"/>
      <c r="G44" s="503" t="str">
        <f>IF('Control Sheet'!$C$7&gt;0,CONCATENATE("As on"," ",TEXT('Control Sheet'!$C$7,"DD-MMM-YYYY"))," &lt;CY Balance Sheet Date&gt;")</f>
        <v>As on 31-Mar-2023</v>
      </c>
      <c r="H44" s="503" t="str">
        <f>IF('Control Sheet'!$C$8&gt;0,CONCATENATE("As on"," ",TEXT('Control Sheet'!$C$8,"DD-MMM-YYYY"))," &lt;CY Balance Sheet Date&gt;")</f>
        <v>As on 31-Mar-2022</v>
      </c>
      <c r="L44"/>
      <c r="AA44" s="227" t="s">
        <v>451</v>
      </c>
      <c r="AB44" s="227" t="s">
        <v>452</v>
      </c>
      <c r="AC44" s="227" t="s">
        <v>453</v>
      </c>
      <c r="AD44" s="227" t="s">
        <v>456</v>
      </c>
    </row>
    <row r="45" spans="1:30">
      <c r="B45" s="294" t="str">
        <f>'Support Sheet'!C2</f>
        <v>(i)</v>
      </c>
      <c r="C45" s="48" t="s">
        <v>101</v>
      </c>
      <c r="D45" s="99"/>
      <c r="E45" s="99"/>
      <c r="F45" s="99"/>
      <c r="G45" s="499">
        <f>SUMIFS('Trial Balance'!$D:$D,'Trial Balance'!$F:$F,'BS Notes'!$AA45,'Trial Balance'!$G:$G,'BS Notes'!$AB45,'Trial Balance'!$H:$H,'BS Notes'!$AC45,'Trial Balance'!$I:$I,'BS Notes'!$AD45)/'Support Sheet'!$G$10</f>
        <v>0</v>
      </c>
      <c r="H45" s="500">
        <f>SUMIFS('Trial Balance'!$E:$E,'Trial Balance'!$F:$F,'BS Notes'!$AA45,'Trial Balance'!$G:$G,'BS Notes'!$AB45,'Trial Balance'!$H:$H,'BS Notes'!$AC45,'Trial Balance'!$I:$I,'BS Notes'!$AD45)/'Support Sheet'!$G$10</f>
        <v>0</v>
      </c>
      <c r="L45"/>
      <c r="AA45" s="48" t="s">
        <v>728</v>
      </c>
      <c r="AB45" s="48" t="s">
        <v>101</v>
      </c>
      <c r="AC45">
        <v>0</v>
      </c>
      <c r="AD45">
        <v>0</v>
      </c>
    </row>
    <row r="46" spans="1:30" ht="15" thickBot="1">
      <c r="B46" s="1011" t="s">
        <v>14</v>
      </c>
      <c r="C46" s="1012"/>
      <c r="D46" s="1012"/>
      <c r="E46" s="105"/>
      <c r="F46" s="106"/>
      <c r="G46" s="501">
        <f>SUM(G45)</f>
        <v>0</v>
      </c>
      <c r="H46" s="502">
        <f>SUM(H45)</f>
        <v>0</v>
      </c>
      <c r="L46"/>
    </row>
    <row r="47" spans="1:30" ht="15" thickBot="1">
      <c r="B47" s="226"/>
      <c r="C47" s="104"/>
      <c r="D47" s="104"/>
      <c r="E47" s="104"/>
      <c r="F47" s="104"/>
      <c r="G47" s="510"/>
      <c r="H47" s="510"/>
      <c r="L47"/>
    </row>
    <row r="48" spans="1:30">
      <c r="B48" s="100" t="s">
        <v>493</v>
      </c>
      <c r="C48" s="101"/>
      <c r="D48" s="102"/>
      <c r="E48" s="102"/>
      <c r="F48" s="102"/>
      <c r="G48" s="503" t="str">
        <f>IF('Control Sheet'!$C$7&gt;0,CONCATENATE("As on"," ",TEXT('Control Sheet'!$C$7,"DD-MMM-YYYY"))," &lt;CY Balance Sheet Date&gt;")</f>
        <v>As on 31-Mar-2023</v>
      </c>
      <c r="H48" s="503" t="str">
        <f>IF('Control Sheet'!$C$8&gt;0,CONCATENATE("As on"," ",TEXT('Control Sheet'!$C$8,"DD-MMM-YYYY"))," &lt;CY Balance Sheet Date&gt;")</f>
        <v>As on 31-Mar-2022</v>
      </c>
      <c r="L48"/>
      <c r="AA48" s="227" t="s">
        <v>451</v>
      </c>
      <c r="AB48" s="227" t="s">
        <v>452</v>
      </c>
      <c r="AC48" s="227" t="s">
        <v>453</v>
      </c>
      <c r="AD48" s="227" t="s">
        <v>456</v>
      </c>
    </row>
    <row r="49" spans="2:30">
      <c r="B49" s="294" t="str">
        <f>'Support Sheet'!C2</f>
        <v>(i)</v>
      </c>
      <c r="C49" s="49" t="s">
        <v>237</v>
      </c>
      <c r="D49" s="49"/>
      <c r="E49" s="49"/>
      <c r="F49" s="49"/>
      <c r="G49" s="499">
        <f>SUMIFS('Trial Balance'!$D:$D,'Trial Balance'!$F:$F,'BS Notes'!$AA49,'Trial Balance'!$G:$G,'BS Notes'!$AB49,'Trial Balance'!$H:$H,'BS Notes'!$AC49,'Trial Balance'!$I:$I,'BS Notes'!$AD49)/'Support Sheet'!$G$10</f>
        <v>0</v>
      </c>
      <c r="H49" s="500">
        <f>SUMIFS('Trial Balance'!$E:$E,'Trial Balance'!$F:$F,'BS Notes'!$AA49,'Trial Balance'!$G:$G,'BS Notes'!$AB49,'Trial Balance'!$H:$H,'BS Notes'!$AC49,'Trial Balance'!$I:$I,'BS Notes'!$AD49)/'Support Sheet'!$G$10</f>
        <v>0</v>
      </c>
      <c r="L49"/>
      <c r="AA49" t="s">
        <v>461</v>
      </c>
      <c r="AB49" s="49" t="str">
        <f>C49</f>
        <v>Trade Payables</v>
      </c>
      <c r="AC49">
        <v>0</v>
      </c>
      <c r="AD49">
        <v>0</v>
      </c>
    </row>
    <row r="50" spans="2:30">
      <c r="B50" s="294" t="str">
        <f>'Support Sheet'!C3</f>
        <v>(ii)</v>
      </c>
      <c r="C50" s="49" t="s">
        <v>238</v>
      </c>
      <c r="D50" s="49"/>
      <c r="E50" s="49"/>
      <c r="F50" s="49"/>
      <c r="G50" s="499">
        <f>SUMIFS('Trial Balance'!$D:$D,'Trial Balance'!$F:$F,'BS Notes'!$AA50,'Trial Balance'!$G:$G,'BS Notes'!$AB50,'Trial Balance'!$H:$H,'BS Notes'!$AC50,'Trial Balance'!$I:$I,'BS Notes'!$AD50)/'Support Sheet'!$G$10</f>
        <v>0</v>
      </c>
      <c r="H50" s="500">
        <f>SUMIFS('Trial Balance'!$E:$E,'Trial Balance'!$F:$F,'BS Notes'!$AA50,'Trial Balance'!$G:$G,'BS Notes'!$AB50,'Trial Balance'!$H:$H,'BS Notes'!$AC50,'Trial Balance'!$I:$I,'BS Notes'!$AD50)/'Support Sheet'!$G$10</f>
        <v>0</v>
      </c>
      <c r="L50"/>
      <c r="AA50" t="s">
        <v>461</v>
      </c>
      <c r="AB50" s="49" t="str">
        <f>C50</f>
        <v>Others</v>
      </c>
      <c r="AC50">
        <v>0</v>
      </c>
      <c r="AD50">
        <v>0</v>
      </c>
    </row>
    <row r="51" spans="2:30" ht="15" thickBot="1">
      <c r="B51" s="1011" t="s">
        <v>14</v>
      </c>
      <c r="C51" s="1012"/>
      <c r="D51" s="1012"/>
      <c r="E51" s="105"/>
      <c r="F51" s="106"/>
      <c r="G51" s="501">
        <f>SUM(G49:G50)</f>
        <v>0</v>
      </c>
      <c r="H51" s="511">
        <f>SUM(H49:H50)</f>
        <v>0</v>
      </c>
      <c r="L51"/>
    </row>
    <row r="52" spans="2:30" ht="15" thickBot="1">
      <c r="B52" s="226"/>
      <c r="C52" s="104"/>
      <c r="D52" s="104"/>
      <c r="E52" s="104"/>
      <c r="F52" s="104"/>
      <c r="G52" s="510"/>
      <c r="H52" s="510"/>
      <c r="L52"/>
    </row>
    <row r="53" spans="2:30">
      <c r="B53" s="100" t="s">
        <v>494</v>
      </c>
      <c r="C53" s="101"/>
      <c r="D53" s="102"/>
      <c r="E53" s="102"/>
      <c r="F53" s="102"/>
      <c r="G53" s="503" t="str">
        <f>IF('Control Sheet'!$C$7&gt;0,CONCATENATE("As on"," ",TEXT('Control Sheet'!$C$7,"DD-MMM-YYYY"))," &lt;CY Balance Sheet Date&gt;")</f>
        <v>As on 31-Mar-2023</v>
      </c>
      <c r="H53" s="503" t="str">
        <f>IF('Control Sheet'!$C$8&gt;0,CONCATENATE("As on"," ",TEXT('Control Sheet'!$C$8,"DD-MMM-YYYY"))," &lt;CY Balance Sheet Date&gt;")</f>
        <v>As on 31-Mar-2022</v>
      </c>
      <c r="L53"/>
      <c r="AA53" s="227" t="s">
        <v>451</v>
      </c>
      <c r="AB53" s="227" t="s">
        <v>452</v>
      </c>
      <c r="AC53" s="227" t="s">
        <v>453</v>
      </c>
      <c r="AD53" s="227" t="s">
        <v>456</v>
      </c>
    </row>
    <row r="54" spans="2:30">
      <c r="B54" s="294" t="str">
        <f>'Support Sheet'!C2</f>
        <v>(i)</v>
      </c>
      <c r="C54" s="49" t="s">
        <v>239</v>
      </c>
      <c r="D54" s="49"/>
      <c r="E54" s="49"/>
      <c r="F54" s="49"/>
      <c r="G54" s="499">
        <f>SUMIFS('Trial Balance'!$D:$D,'Trial Balance'!$F:$F,'BS Notes'!$AA54,'Trial Balance'!$G:$G,'BS Notes'!$AB54,'Trial Balance'!$H:$H,'BS Notes'!$AC54,'Trial Balance'!$I:$I,'BS Notes'!$AD54)/'Support Sheet'!$G$10</f>
        <v>0</v>
      </c>
      <c r="H54" s="500">
        <f>SUMIFS('Trial Balance'!$E:$E,'Trial Balance'!$F:$F,'BS Notes'!$AA54,'Trial Balance'!$G:$G,'BS Notes'!$AB54,'Trial Balance'!$H:$H,'BS Notes'!$AC54,'Trial Balance'!$I:$I,'BS Notes'!$AD54)/'Support Sheet'!$G$10</f>
        <v>0</v>
      </c>
      <c r="L54"/>
      <c r="AA54" t="s">
        <v>462</v>
      </c>
      <c r="AB54" s="49" t="s">
        <v>239</v>
      </c>
      <c r="AC54">
        <v>0</v>
      </c>
      <c r="AD54">
        <v>0</v>
      </c>
    </row>
    <row r="55" spans="2:30">
      <c r="B55" s="294" t="str">
        <f>'Support Sheet'!C3</f>
        <v>(ii)</v>
      </c>
      <c r="C55" s="49" t="s">
        <v>1011</v>
      </c>
      <c r="D55" s="49"/>
      <c r="E55" s="49"/>
      <c r="F55" s="49"/>
      <c r="G55" s="499">
        <f>SUMIFS('Trial Balance'!$D:$D,'Trial Balance'!$F:$F,'BS Notes'!$AA55,'Trial Balance'!$G:$G,'BS Notes'!$AB55,'Trial Balance'!$H:$H,'BS Notes'!$AC55,'Trial Balance'!$I:$I,'BS Notes'!$AD55)/'Support Sheet'!$G$10</f>
        <v>0</v>
      </c>
      <c r="H55" s="500">
        <f>SUMIFS('Trial Balance'!$E:$E,'Trial Balance'!$F:$F,'BS Notes'!$AA55,'Trial Balance'!$G:$G,'BS Notes'!$AB55,'Trial Balance'!$H:$H,'BS Notes'!$AC55,'Trial Balance'!$I:$I,'BS Notes'!$AD55)/'Support Sheet'!$G$10</f>
        <v>0</v>
      </c>
      <c r="L55"/>
      <c r="AA55" t="s">
        <v>462</v>
      </c>
      <c r="AB55" s="49" t="str">
        <f>C55</f>
        <v>Others Long Term Provision (Specify Nature)</v>
      </c>
      <c r="AC55">
        <v>0</v>
      </c>
      <c r="AD55">
        <v>0</v>
      </c>
    </row>
    <row r="56" spans="2:30" ht="15" thickBot="1">
      <c r="B56" s="1011" t="s">
        <v>14</v>
      </c>
      <c r="C56" s="1012"/>
      <c r="D56" s="1012"/>
      <c r="E56" s="105"/>
      <c r="F56" s="106"/>
      <c r="G56" s="501">
        <f>SUM(G54:G55)</f>
        <v>0</v>
      </c>
      <c r="H56" s="511">
        <f>SUM(H54:H55)</f>
        <v>0</v>
      </c>
      <c r="L56"/>
    </row>
    <row r="57" spans="2:30" ht="15" thickBot="1">
      <c r="B57" s="49"/>
      <c r="C57" s="49"/>
      <c r="D57" s="99"/>
      <c r="E57" s="99"/>
      <c r="F57" s="99"/>
      <c r="G57" s="189"/>
      <c r="H57" s="189"/>
      <c r="L57"/>
    </row>
    <row r="58" spans="2:30">
      <c r="B58" s="100" t="s">
        <v>495</v>
      </c>
      <c r="C58" s="101"/>
      <c r="D58" s="102"/>
      <c r="E58" s="102"/>
      <c r="F58" s="102"/>
      <c r="G58" s="503" t="str">
        <f>IF('Control Sheet'!$C$7&gt;0,CONCATENATE("As on"," ",TEXT('Control Sheet'!$C$7,"DD-MMM-YYYY"))," &lt;CY Balance Sheet Date&gt;")</f>
        <v>As on 31-Mar-2023</v>
      </c>
      <c r="H58" s="503" t="str">
        <f>IF('Control Sheet'!$C$8&gt;0,CONCATENATE("As on"," ",TEXT('Control Sheet'!$C$8,"DD-MMM-YYYY"))," &lt;CY Balance Sheet Date&gt;")</f>
        <v>As on 31-Mar-2022</v>
      </c>
      <c r="L58"/>
    </row>
    <row r="59" spans="2:30">
      <c r="B59" s="224"/>
      <c r="C59" s="266" t="s">
        <v>382</v>
      </c>
      <c r="D59" s="99"/>
      <c r="E59" s="99"/>
      <c r="F59" s="99"/>
      <c r="G59" s="504"/>
      <c r="H59" s="505"/>
      <c r="L59"/>
    </row>
    <row r="60" spans="2:30">
      <c r="B60" s="294" t="str">
        <f>'Support Sheet'!C2</f>
        <v>(i)</v>
      </c>
      <c r="C60" s="49" t="s">
        <v>240</v>
      </c>
      <c r="D60" s="99"/>
      <c r="E60" s="99"/>
      <c r="F60" s="99"/>
      <c r="G60" s="512"/>
      <c r="H60" s="513"/>
      <c r="L60" s="231" t="s">
        <v>249</v>
      </c>
      <c r="AA60" s="227" t="s">
        <v>451</v>
      </c>
      <c r="AB60" s="227" t="s">
        <v>452</v>
      </c>
      <c r="AC60" s="227" t="s">
        <v>453</v>
      </c>
      <c r="AD60" s="227" t="s">
        <v>456</v>
      </c>
    </row>
    <row r="61" spans="2:30">
      <c r="B61" s="294"/>
      <c r="C61" s="49" t="s">
        <v>241</v>
      </c>
      <c r="D61" s="99"/>
      <c r="E61" s="99"/>
      <c r="F61" s="99"/>
      <c r="G61" s="499">
        <f>SUMIFS('Trial Balance'!$D:$D,'Trial Balance'!$F:$F,'BS Notes'!$AA61,'Trial Balance'!$G:$G,'BS Notes'!$AB61,'Trial Balance'!$H:$H,'BS Notes'!$AC61,'Trial Balance'!$I:$I,'BS Notes'!$AD61)/'Support Sheet'!$G$10</f>
        <v>0</v>
      </c>
      <c r="H61" s="500">
        <f>SUMIFS('Trial Balance'!$E:$E,'Trial Balance'!$F:$F,'BS Notes'!$AA61,'Trial Balance'!$G:$G,'BS Notes'!$AB61,'Trial Balance'!$H:$H,'BS Notes'!$AC61,'Trial Balance'!$I:$I,'BS Notes'!$AD61)/'Support Sheet'!$G$10</f>
        <v>0</v>
      </c>
      <c r="L61" t="s">
        <v>245</v>
      </c>
      <c r="AA61" t="s">
        <v>91</v>
      </c>
      <c r="AB61" s="49" t="s">
        <v>240</v>
      </c>
      <c r="AC61" t="s">
        <v>458</v>
      </c>
      <c r="AD61" t="s">
        <v>457</v>
      </c>
    </row>
    <row r="62" spans="2:30">
      <c r="B62" s="294"/>
      <c r="C62" s="49" t="s">
        <v>242</v>
      </c>
      <c r="D62" s="99"/>
      <c r="E62" s="99"/>
      <c r="F62" s="99"/>
      <c r="G62" s="499">
        <f>SUMIFS('Trial Balance'!$D:$D,'Trial Balance'!$F:$F,'BS Notes'!$AA62,'Trial Balance'!$G:$G,'BS Notes'!$AB62,'Trial Balance'!$H:$H,'BS Notes'!$AC62,'Trial Balance'!$I:$I,'BS Notes'!$AD62)/'Support Sheet'!$G$10</f>
        <v>0</v>
      </c>
      <c r="H62" s="500">
        <f>SUMIFS('Trial Balance'!$E:$E,'Trial Balance'!$F:$F,'BS Notes'!$AA62,'Trial Balance'!$G:$G,'BS Notes'!$AB62,'Trial Balance'!$H:$H,'BS Notes'!$AC62,'Trial Balance'!$I:$I,'BS Notes'!$AD62)/'Support Sheet'!$G$10</f>
        <v>0</v>
      </c>
      <c r="L62" t="s">
        <v>246</v>
      </c>
      <c r="AA62" t="s">
        <v>91</v>
      </c>
      <c r="AB62" s="49" t="s">
        <v>240</v>
      </c>
      <c r="AC62" t="s">
        <v>459</v>
      </c>
      <c r="AD62" t="s">
        <v>457</v>
      </c>
    </row>
    <row r="63" spans="2:30">
      <c r="B63" s="294" t="str">
        <f>'Support Sheet'!C3</f>
        <v>(ii)</v>
      </c>
      <c r="C63" s="48" t="s">
        <v>103</v>
      </c>
      <c r="D63" s="99"/>
      <c r="E63" s="99"/>
      <c r="F63" s="99"/>
      <c r="G63" s="514"/>
      <c r="H63" s="515"/>
      <c r="L63" t="s">
        <v>247</v>
      </c>
      <c r="AA63" t="s">
        <v>91</v>
      </c>
      <c r="AB63" t="s">
        <v>103</v>
      </c>
      <c r="AC63">
        <v>0</v>
      </c>
      <c r="AD63" t="s">
        <v>457</v>
      </c>
    </row>
    <row r="64" spans="2:30">
      <c r="B64" s="294"/>
      <c r="C64" s="266" t="s">
        <v>383</v>
      </c>
      <c r="D64" s="99"/>
      <c r="E64" s="99"/>
      <c r="F64" s="99"/>
      <c r="G64" s="514"/>
      <c r="H64" s="515"/>
      <c r="L64" t="s">
        <v>248</v>
      </c>
    </row>
    <row r="65" spans="2:30">
      <c r="B65" s="294" t="str">
        <f>'Support Sheet'!C4</f>
        <v>(iii)</v>
      </c>
      <c r="C65" s="49" t="s">
        <v>240</v>
      </c>
      <c r="D65" s="99"/>
      <c r="E65" s="99"/>
      <c r="F65" s="99"/>
      <c r="G65" s="514"/>
      <c r="H65" s="515"/>
      <c r="L65"/>
    </row>
    <row r="66" spans="2:30">
      <c r="B66" s="294"/>
      <c r="C66" s="49" t="s">
        <v>241</v>
      </c>
      <c r="D66" s="99"/>
      <c r="E66" s="99"/>
      <c r="F66" s="99"/>
      <c r="G66" s="499">
        <f>SUMIFS('Trial Balance'!$D:$D,'Trial Balance'!$F:$F,'BS Notes'!$AA66,'Trial Balance'!$G:$G,'BS Notes'!$AB66,'Trial Balance'!$H:$H,'BS Notes'!$AC66,'Trial Balance'!$I:$I,'BS Notes'!$AD66)/'Support Sheet'!$G$10</f>
        <v>0</v>
      </c>
      <c r="H66" s="500">
        <f>SUMIFS('Trial Balance'!$E:$E,'Trial Balance'!$F:$F,'BS Notes'!$AA66,'Trial Balance'!$G:$G,'BS Notes'!$AB66,'Trial Balance'!$H:$H,'BS Notes'!$AC66,'Trial Balance'!$I:$I,'BS Notes'!$AD66)/'Support Sheet'!$G$10</f>
        <v>0</v>
      </c>
      <c r="L66"/>
      <c r="AA66" t="s">
        <v>91</v>
      </c>
      <c r="AB66" s="49" t="s">
        <v>240</v>
      </c>
      <c r="AC66" t="s">
        <v>458</v>
      </c>
      <c r="AD66" t="s">
        <v>460</v>
      </c>
    </row>
    <row r="67" spans="2:30">
      <c r="B67" s="294"/>
      <c r="C67" s="49" t="s">
        <v>242</v>
      </c>
      <c r="D67" s="99"/>
      <c r="E67" s="99"/>
      <c r="F67" s="99"/>
      <c r="G67" s="499">
        <f>SUMIFS('Trial Balance'!$D:$D,'Trial Balance'!$F:$F,'BS Notes'!$AA67,'Trial Balance'!$G:$G,'BS Notes'!$AB67,'Trial Balance'!$H:$H,'BS Notes'!$AC67,'Trial Balance'!$I:$I,'BS Notes'!$AD67)/'Support Sheet'!$G$10</f>
        <v>0</v>
      </c>
      <c r="H67" s="500">
        <f>SUMIFS('Trial Balance'!$E:$E,'Trial Balance'!$F:$F,'BS Notes'!$AA67,'Trial Balance'!$G:$G,'BS Notes'!$AB67,'Trial Balance'!$H:$H,'BS Notes'!$AC67,'Trial Balance'!$I:$I,'BS Notes'!$AD67)/'Support Sheet'!$G$10</f>
        <v>0</v>
      </c>
      <c r="L67"/>
      <c r="AA67" t="s">
        <v>91</v>
      </c>
      <c r="AB67" s="49" t="s">
        <v>240</v>
      </c>
      <c r="AC67" t="s">
        <v>459</v>
      </c>
      <c r="AD67" t="s">
        <v>460</v>
      </c>
    </row>
    <row r="68" spans="2:30">
      <c r="B68" s="294" t="str">
        <f>'Support Sheet'!C5</f>
        <v>(iv)</v>
      </c>
      <c r="C68" s="48" t="s">
        <v>103</v>
      </c>
      <c r="D68" s="99"/>
      <c r="E68" s="99"/>
      <c r="F68" s="99"/>
      <c r="G68" s="499">
        <f>SUMIFS('Trial Balance'!$D:$D,'Trial Balance'!$F:$F,'BS Notes'!$AA68,'Trial Balance'!$G:$G,'BS Notes'!$AB68,'Trial Balance'!$H:$H,'BS Notes'!$AC68,'Trial Balance'!$I:$I,'BS Notes'!$AD68)/'Support Sheet'!$G$10</f>
        <v>0</v>
      </c>
      <c r="H68" s="500">
        <f>SUMIFS('Trial Balance'!$E:$E,'Trial Balance'!$F:$F,'BS Notes'!$AA68,'Trial Balance'!$G:$G,'BS Notes'!$AB68,'Trial Balance'!$H:$H,'BS Notes'!$AC68,'Trial Balance'!$I:$I,'BS Notes'!$AD68)/'Support Sheet'!$G$10</f>
        <v>0</v>
      </c>
      <c r="L68"/>
      <c r="AA68" t="s">
        <v>91</v>
      </c>
      <c r="AB68" t="s">
        <v>103</v>
      </c>
      <c r="AC68">
        <v>0</v>
      </c>
      <c r="AD68" t="s">
        <v>460</v>
      </c>
    </row>
    <row r="69" spans="2:30">
      <c r="B69" s="294" t="str">
        <f>'Support Sheet'!C6</f>
        <v>(v)</v>
      </c>
      <c r="C69" s="48" t="s">
        <v>243</v>
      </c>
      <c r="D69" s="99"/>
      <c r="E69" s="99"/>
      <c r="F69" s="99"/>
      <c r="G69" s="499">
        <f>SUMIFS('Trial Balance'!$D:$D,'Trial Balance'!$F:$F,'BS Notes'!$AA69,'Trial Balance'!$G:$G,'BS Notes'!$AB69,'Trial Balance'!$H:$H,'BS Notes'!$AC69,'Trial Balance'!$I:$I,'BS Notes'!$AD69)/'Support Sheet'!$G$10</f>
        <v>179</v>
      </c>
      <c r="H69" s="500">
        <f>SUMIFS('Trial Balance'!$E:$E,'Trial Balance'!$F:$F,'BS Notes'!$AA69,'Trial Balance'!$G:$G,'BS Notes'!$AB69,'Trial Balance'!$H:$H,'BS Notes'!$AC69,'Trial Balance'!$I:$I,'BS Notes'!$AD69)/'Support Sheet'!$G$10</f>
        <v>0</v>
      </c>
      <c r="L69"/>
      <c r="AA69" t="s">
        <v>91</v>
      </c>
      <c r="AB69" s="49" t="s">
        <v>227</v>
      </c>
      <c r="AC69">
        <v>0</v>
      </c>
      <c r="AD69">
        <v>0</v>
      </c>
    </row>
    <row r="70" spans="2:30">
      <c r="B70" s="294" t="str">
        <f>'Support Sheet'!C7</f>
        <v>(vi)</v>
      </c>
      <c r="C70" s="48" t="s">
        <v>417</v>
      </c>
      <c r="D70" s="99"/>
      <c r="E70" s="99"/>
      <c r="F70" s="99"/>
      <c r="G70" s="499">
        <f>SUMIFS('Trial Balance'!$D:$D,'Trial Balance'!$F:$F,'BS Notes'!$AA70,'Trial Balance'!$G:$G,'BS Notes'!$AB70,'Trial Balance'!$H:$H,'BS Notes'!$AC70,'Trial Balance'!$I:$I,'BS Notes'!$AD70)/'Support Sheet'!$G$10</f>
        <v>0</v>
      </c>
      <c r="H70" s="500">
        <f>SUMIFS('Trial Balance'!$E:$E,'Trial Balance'!$F:$F,'BS Notes'!$AA70,'Trial Balance'!$G:$G,'BS Notes'!$AB70,'Trial Balance'!$H:$H,'BS Notes'!$AC70,'Trial Balance'!$I:$I,'BS Notes'!$AD70)/'Support Sheet'!$G$10</f>
        <v>0</v>
      </c>
      <c r="L70"/>
      <c r="AA70" t="s">
        <v>91</v>
      </c>
      <c r="AB70" s="48" t="s">
        <v>417</v>
      </c>
      <c r="AC70">
        <v>0</v>
      </c>
      <c r="AD70">
        <v>0</v>
      </c>
    </row>
    <row r="71" spans="2:30">
      <c r="B71" s="294" t="str">
        <f>'Support Sheet'!C8</f>
        <v>(vii)</v>
      </c>
      <c r="C71" s="48" t="s">
        <v>1015</v>
      </c>
      <c r="D71" s="99"/>
      <c r="E71" s="99"/>
      <c r="F71" s="99"/>
      <c r="G71" s="499">
        <f>SUMIFS('Trial Balance'!$D:$D,'Trial Balance'!$F:$F,'BS Notes'!$AA71,'Trial Balance'!$G:$G,'BS Notes'!$AB71,'Trial Balance'!$H:$H,'BS Notes'!$AC71,'Trial Balance'!$I:$I,'BS Notes'!$AD71)/'Support Sheet'!$G$10</f>
        <v>0</v>
      </c>
      <c r="H71" s="500">
        <f>SUMIFS('Trial Balance'!$E:$E,'Trial Balance'!$F:$F,'BS Notes'!$AA71,'Trial Balance'!$G:$G,'BS Notes'!$AB71,'Trial Balance'!$H:$H,'BS Notes'!$AC71,'Trial Balance'!$I:$I,'BS Notes'!$AD71)/'Support Sheet'!$G$10</f>
        <v>0</v>
      </c>
      <c r="L71"/>
      <c r="AA71" t="s">
        <v>91</v>
      </c>
      <c r="AB71" s="49" t="str">
        <f>C71</f>
        <v>Other Short Term Loans And Advances (Specify Nature)</v>
      </c>
      <c r="AC71">
        <v>0</v>
      </c>
      <c r="AD71">
        <v>0</v>
      </c>
    </row>
    <row r="72" spans="2:30" ht="15" thickBot="1">
      <c r="B72" s="1011" t="s">
        <v>14</v>
      </c>
      <c r="C72" s="1012"/>
      <c r="D72" s="1012"/>
      <c r="E72" s="105"/>
      <c r="F72" s="106"/>
      <c r="G72" s="114">
        <f>SUM(G59:G71)</f>
        <v>179</v>
      </c>
      <c r="H72" s="114">
        <f>SUM(H59:H71)</f>
        <v>0</v>
      </c>
      <c r="L72"/>
    </row>
    <row r="73" spans="2:30">
      <c r="B73" s="104"/>
      <c r="C73" s="104"/>
      <c r="D73" s="104"/>
      <c r="E73" s="104"/>
      <c r="F73" s="104"/>
      <c r="G73" s="118"/>
      <c r="H73" s="118"/>
      <c r="L73"/>
    </row>
    <row r="74" spans="2:30" ht="15" thickBot="1">
      <c r="B74" s="104"/>
      <c r="C74" s="104"/>
      <c r="D74" s="104"/>
      <c r="E74" s="104"/>
      <c r="F74" s="104"/>
      <c r="G74" s="118"/>
      <c r="H74" s="1013" t="str">
        <f>IF('Control Sheet'!$D$18="Specify in Cell E16",'Support Sheet'!$G$10,'Control Sheet'!$C$18)</f>
        <v>In Rs. hundreds</v>
      </c>
      <c r="I74" s="1013"/>
      <c r="L74"/>
    </row>
    <row r="75" spans="2:30" ht="15" thickBot="1">
      <c r="B75" s="267" t="s">
        <v>496</v>
      </c>
      <c r="C75" s="267"/>
      <c r="D75" s="1021" t="s">
        <v>372</v>
      </c>
      <c r="E75" s="1022"/>
      <c r="F75" s="1022"/>
      <c r="G75" s="1023"/>
      <c r="H75" s="1017" t="s">
        <v>14</v>
      </c>
      <c r="L75"/>
    </row>
    <row r="76" spans="2:30" ht="15" thickBot="1">
      <c r="B76" s="268"/>
      <c r="C76" s="269" t="str">
        <f>IF('Control Sheet'!$C$7&gt;0,CONCATENATE("As on"," ",TEXT('Control Sheet'!$C$7,"DD-MMM-YYYY"))," &lt;CY Balance Sheet Date&gt;")</f>
        <v>As on 31-Mar-2023</v>
      </c>
      <c r="D76" s="270" t="s">
        <v>373</v>
      </c>
      <c r="E76" s="270" t="s">
        <v>374</v>
      </c>
      <c r="F76" s="271" t="s">
        <v>375</v>
      </c>
      <c r="G76" s="272" t="s">
        <v>376</v>
      </c>
      <c r="H76" s="1018"/>
      <c r="L76"/>
    </row>
    <row r="77" spans="2:30">
      <c r="B77" s="295" t="str">
        <f>'Support Sheet'!C2</f>
        <v>(i)</v>
      </c>
      <c r="C77" s="273" t="s">
        <v>412</v>
      </c>
      <c r="D77" s="557">
        <f>SUMIFS(Table3[Current year Amount],Table3[Ageing],'BS Notes'!D$76,Table3[Type],'BS Notes'!$C77)/'Support Sheet'!$G$10</f>
        <v>0</v>
      </c>
      <c r="E77" s="557">
        <f>SUMIFS(Table3[Current year Amount],Table3[Ageing],'BS Notes'!E$76,Table3[Type],'BS Notes'!$C77)/'Support Sheet'!$G$10</f>
        <v>0</v>
      </c>
      <c r="F77" s="557">
        <f>SUMIFS(Table3[Current year Amount],Table3[Ageing],'BS Notes'!F$76,Table3[Type],'BS Notes'!$C77)/'Support Sheet'!$G$10</f>
        <v>0</v>
      </c>
      <c r="G77" s="557">
        <f>SUMIFS(Table3[Current year Amount],Table3[Ageing],'BS Notes'!G$76,Table3[Type],'BS Notes'!$C77)/'Support Sheet'!$G$10</f>
        <v>0</v>
      </c>
      <c r="H77" s="274">
        <f>SUM(D77:G77)</f>
        <v>0</v>
      </c>
      <c r="L77"/>
    </row>
    <row r="78" spans="2:30">
      <c r="B78" s="295" t="str">
        <f>'Support Sheet'!C3</f>
        <v>(ii)</v>
      </c>
      <c r="C78" s="273" t="s">
        <v>238</v>
      </c>
      <c r="D78" s="557">
        <f>SUMIFS(Table3[Current year Amount],Table3[Ageing],'BS Notes'!D$76,Table3[Type],'BS Notes'!$C78)/'Support Sheet'!$G$10</f>
        <v>58.863099999999996</v>
      </c>
      <c r="E78" s="557">
        <f>SUMIFS(Table3[Current year Amount],Table3[Ageing],'BS Notes'!E$76,Table3[Type],'BS Notes'!$C78)/'Support Sheet'!$G$10</f>
        <v>0</v>
      </c>
      <c r="F78" s="557">
        <f>SUMIFS(Table3[Current year Amount],Table3[Ageing],'BS Notes'!F$76,Table3[Type],'BS Notes'!$C78)/'Support Sheet'!$G$10</f>
        <v>0</v>
      </c>
      <c r="G78" s="557">
        <f>SUMIFS(Table3[Current year Amount],Table3[Ageing],'BS Notes'!G$76,Table3[Type],'BS Notes'!$C78)/'Support Sheet'!$G$10</f>
        <v>0</v>
      </c>
      <c r="H78" s="275">
        <f>SUM(D78:G78)</f>
        <v>58.863099999999996</v>
      </c>
      <c r="L78"/>
    </row>
    <row r="79" spans="2:30">
      <c r="B79" s="295" t="str">
        <f>'Support Sheet'!C4</f>
        <v>(iii)</v>
      </c>
      <c r="C79" s="273" t="s">
        <v>725</v>
      </c>
      <c r="D79" s="557">
        <f>SUMIFS(Table3[Current year Amount],Table3[Ageing],'BS Notes'!D$76,Table3[Type],'BS Notes'!$C79)/'Support Sheet'!$G$10</f>
        <v>0</v>
      </c>
      <c r="E79" s="557">
        <f>SUMIFS(Table3[Current year Amount],Table3[Ageing],'BS Notes'!E$76,Table3[Type],'BS Notes'!$C79)/'Support Sheet'!$G$10</f>
        <v>0</v>
      </c>
      <c r="F79" s="557">
        <f>SUMIFS(Table3[Current year Amount],Table3[Ageing],'BS Notes'!F$76,Table3[Type],'BS Notes'!$C79)/'Support Sheet'!$G$10</f>
        <v>0</v>
      </c>
      <c r="G79" s="557">
        <f>SUMIFS(Table3[Current year Amount],Table3[Ageing],'BS Notes'!G$76,Table3[Type],'BS Notes'!$C79)/'Support Sheet'!$G$10</f>
        <v>0</v>
      </c>
      <c r="H79" s="275">
        <f>SUM(D79:G79)</f>
        <v>0</v>
      </c>
      <c r="L79" s="231" t="s">
        <v>237</v>
      </c>
    </row>
    <row r="80" spans="2:30">
      <c r="B80" s="295" t="str">
        <f>'Support Sheet'!C5</f>
        <v>(iv)</v>
      </c>
      <c r="C80" s="273" t="s">
        <v>413</v>
      </c>
      <c r="D80" s="557">
        <f>SUMIFS(Table3[Current year Amount],Table3[Ageing],'BS Notes'!D$76,Table3[Type],'BS Notes'!$C80)/'Support Sheet'!$G$10</f>
        <v>0</v>
      </c>
      <c r="E80" s="557">
        <f>SUMIFS(Table3[Current year Amount],Table3[Ageing],'BS Notes'!E$76,Table3[Type],'BS Notes'!$C80)/'Support Sheet'!$G$10</f>
        <v>0</v>
      </c>
      <c r="F80" s="557">
        <f>SUMIFS(Table3[Current year Amount],Table3[Ageing],'BS Notes'!F$76,Table3[Type],'BS Notes'!$C80)/'Support Sheet'!$G$10</f>
        <v>0</v>
      </c>
      <c r="G80" s="557">
        <f>SUMIFS(Table3[Current year Amount],Table3[Ageing],'BS Notes'!G$76,Table3[Type],'BS Notes'!$C80)/'Support Sheet'!$G$10</f>
        <v>0</v>
      </c>
      <c r="H80" s="275">
        <f>SUM(D80:G80)</f>
        <v>0</v>
      </c>
      <c r="L80" t="s">
        <v>250</v>
      </c>
    </row>
    <row r="81" spans="2:30" ht="15" thickBot="1">
      <c r="B81" s="1019" t="s">
        <v>102</v>
      </c>
      <c r="C81" s="1020"/>
      <c r="D81" s="276"/>
      <c r="E81" s="276"/>
      <c r="F81" s="277"/>
      <c r="G81" s="277"/>
      <c r="H81" s="278">
        <f>SUM(H77:H80)</f>
        <v>58.863099999999996</v>
      </c>
      <c r="L81" t="s">
        <v>251</v>
      </c>
    </row>
    <row r="82" spans="2:30" ht="15" thickBot="1">
      <c r="B82" s="279"/>
      <c r="C82" s="665"/>
      <c r="D82" s="665"/>
      <c r="E82" s="665"/>
      <c r="F82" s="665"/>
      <c r="G82" s="665"/>
      <c r="H82" s="666"/>
      <c r="L82" t="s">
        <v>252</v>
      </c>
    </row>
    <row r="83" spans="2:30" ht="15" thickBot="1">
      <c r="B83" s="280"/>
      <c r="C83" s="281" t="str">
        <f>IF('Control Sheet'!$C$8&gt;0,CONCATENATE("As on"," ",TEXT('Control Sheet'!$C$8,"DD-MMM-YYYY"))," &lt;CY Balance Sheet Date&gt;")</f>
        <v>As on 31-Mar-2022</v>
      </c>
      <c r="D83" s="270" t="s">
        <v>373</v>
      </c>
      <c r="E83" s="270" t="s">
        <v>374</v>
      </c>
      <c r="F83" s="271" t="s">
        <v>375</v>
      </c>
      <c r="G83" s="272" t="s">
        <v>376</v>
      </c>
      <c r="H83" s="667" t="s">
        <v>14</v>
      </c>
      <c r="L83" t="s">
        <v>253</v>
      </c>
    </row>
    <row r="84" spans="2:30">
      <c r="B84" s="295" t="str">
        <f>'Support Sheet'!C2</f>
        <v>(i)</v>
      </c>
      <c r="C84" s="273" t="s">
        <v>412</v>
      </c>
      <c r="D84" s="557">
        <f>SUMIFS(Table3[Previous Year Amount],Table3[[Ageing ]],'BS Notes'!D$83,Table3[[Type ]],'BS Notes'!$C84)/'Support Sheet'!$G$10</f>
        <v>0</v>
      </c>
      <c r="E84" s="557">
        <f>SUMIFS(Table3[Previous Year Amount],Table3[[Ageing ]],'BS Notes'!E$83,Table3[[Type ]],'BS Notes'!$C84)/'Support Sheet'!$G$10</f>
        <v>0</v>
      </c>
      <c r="F84" s="557">
        <f>SUMIFS(Table3[Previous Year Amount],Table3[[Ageing ]],'BS Notes'!F$83,Table3[[Type ]],'BS Notes'!$C84)/'Support Sheet'!$G$10</f>
        <v>0</v>
      </c>
      <c r="G84" s="557">
        <f>SUMIFS(Table3[Previous Year Amount],Table3[[Ageing ]],'BS Notes'!G$83,Table3[[Type ]],'BS Notes'!$C84)/'Support Sheet'!$G$10</f>
        <v>0</v>
      </c>
      <c r="H84" s="275">
        <f>SUM(D84:G84)</f>
        <v>0</v>
      </c>
      <c r="L84" t="s">
        <v>254</v>
      </c>
    </row>
    <row r="85" spans="2:30">
      <c r="B85" s="295" t="str">
        <f>'Support Sheet'!C3</f>
        <v>(ii)</v>
      </c>
      <c r="C85" s="273" t="s">
        <v>238</v>
      </c>
      <c r="D85" s="557">
        <f>SUMIFS(Table3[Previous Year Amount],Table3[[Ageing ]],'BS Notes'!D$83,Table3[[Type ]],'BS Notes'!$C85)/'Support Sheet'!$G$10</f>
        <v>95</v>
      </c>
      <c r="E85" s="557">
        <f>SUMIFS(Table3[Previous Year Amount],Table3[[Ageing ]],'BS Notes'!E$83,Table3[[Type ]],'BS Notes'!$C85)/'Support Sheet'!$G$10</f>
        <v>0</v>
      </c>
      <c r="F85" s="557">
        <f>SUMIFS(Table3[Previous Year Amount],Table3[[Ageing ]],'BS Notes'!F$83,Table3[[Type ]],'BS Notes'!$C85)/'Support Sheet'!$G$10</f>
        <v>0</v>
      </c>
      <c r="G85" s="557">
        <f>SUMIFS(Table3[Previous Year Amount],Table3[[Ageing ]],'BS Notes'!G$83,Table3[[Type ]],'BS Notes'!$C85)/'Support Sheet'!$G$10</f>
        <v>0</v>
      </c>
      <c r="H85" s="275">
        <f>SUM(D85:G85)</f>
        <v>95</v>
      </c>
      <c r="L85" t="s">
        <v>255</v>
      </c>
    </row>
    <row r="86" spans="2:30">
      <c r="B86" s="295" t="str">
        <f>'Support Sheet'!C4</f>
        <v>(iii)</v>
      </c>
      <c r="C86" s="273" t="s">
        <v>725</v>
      </c>
      <c r="D86" s="557">
        <f>SUMIFS(Table3[Previous Year Amount],Table3[[Ageing ]],'BS Notes'!D$83,Table3[[Type ]],'BS Notes'!$C86)/'Support Sheet'!$G$10</f>
        <v>0</v>
      </c>
      <c r="E86" s="557">
        <f>SUMIFS(Table3[Previous Year Amount],Table3[[Ageing ]],'BS Notes'!E$83,Table3[[Type ]],'BS Notes'!$C86)/'Support Sheet'!$G$10</f>
        <v>0</v>
      </c>
      <c r="F86" s="557">
        <f>SUMIFS(Table3[Previous Year Amount],Table3[[Ageing ]],'BS Notes'!F$83,Table3[[Type ]],'BS Notes'!$C86)/'Support Sheet'!$G$10</f>
        <v>0</v>
      </c>
      <c r="G86" s="557">
        <f>SUMIFS(Table3[Previous Year Amount],Table3[[Ageing ]],'BS Notes'!G$83,Table3[[Type ]],'BS Notes'!$C86)/'Support Sheet'!$G$10</f>
        <v>0</v>
      </c>
      <c r="H86" s="275">
        <f>SUM(D86:G86)</f>
        <v>0</v>
      </c>
      <c r="L86" t="s">
        <v>256</v>
      </c>
    </row>
    <row r="87" spans="2:30">
      <c r="B87" s="295" t="str">
        <f>'Support Sheet'!C5</f>
        <v>(iv)</v>
      </c>
      <c r="C87" s="273" t="s">
        <v>413</v>
      </c>
      <c r="D87" s="557">
        <f>SUMIFS(Table3[Previous Year Amount],Table3[[Ageing ]],'BS Notes'!D$83,Table3[[Type ]],'BS Notes'!$C87)/'Support Sheet'!$G$10</f>
        <v>0</v>
      </c>
      <c r="E87" s="557">
        <f>SUMIFS(Table3[Previous Year Amount],Table3[[Ageing ]],'BS Notes'!E$83,Table3[[Type ]],'BS Notes'!$C87)/'Support Sheet'!$G$10</f>
        <v>0</v>
      </c>
      <c r="F87" s="557">
        <f>SUMIFS(Table3[Previous Year Amount],Table3[[Ageing ]],'BS Notes'!F$83,Table3[[Type ]],'BS Notes'!$C87)/'Support Sheet'!$G$10</f>
        <v>0</v>
      </c>
      <c r="G87" s="557">
        <f>SUMIFS(Table3[Previous Year Amount],Table3[[Ageing ]],'BS Notes'!G$83,Table3[[Type ]],'BS Notes'!$C87)/'Support Sheet'!$G$10</f>
        <v>0</v>
      </c>
      <c r="H87" s="275">
        <f>SUM(D87:G87)</f>
        <v>0</v>
      </c>
      <c r="L87"/>
    </row>
    <row r="88" spans="2:30" ht="15" thickBot="1">
      <c r="B88" s="1019" t="s">
        <v>102</v>
      </c>
      <c r="C88" s="1020"/>
      <c r="D88" s="276"/>
      <c r="E88" s="276"/>
      <c r="F88" s="277"/>
      <c r="G88" s="277"/>
      <c r="H88" s="278">
        <f>SUM(H84:H87)</f>
        <v>95</v>
      </c>
      <c r="L88"/>
    </row>
    <row r="89" spans="2:30" ht="15" thickBot="1">
      <c r="B89" s="49"/>
      <c r="C89" s="103"/>
      <c r="D89" s="99"/>
      <c r="E89" s="99"/>
      <c r="F89" s="99"/>
      <c r="G89" s="92"/>
      <c r="H89" s="92"/>
      <c r="L89"/>
    </row>
    <row r="90" spans="2:30">
      <c r="B90" s="100" t="s">
        <v>497</v>
      </c>
      <c r="C90" s="101"/>
      <c r="D90" s="102"/>
      <c r="E90" s="102"/>
      <c r="F90" s="102"/>
      <c r="G90" s="115" t="str">
        <f>IF('Control Sheet'!$C$7&gt;0,CONCATENATE("As on"," ",TEXT('Control Sheet'!$C$7,"DD-MMM-YYYY"))," &lt;CY Balance Sheet Date&gt;")</f>
        <v>As on 31-Mar-2023</v>
      </c>
      <c r="H90" s="115" t="str">
        <f>IF('Control Sheet'!$C$8&gt;0,CONCATENATE("As on"," ",TEXT('Control Sheet'!$C$8,"DD-MMM-YYYY"))," &lt;CY Balance Sheet Date&gt;")</f>
        <v>As on 31-Mar-2022</v>
      </c>
      <c r="L90"/>
      <c r="AA90" s="227" t="s">
        <v>451</v>
      </c>
      <c r="AB90" s="227" t="s">
        <v>452</v>
      </c>
      <c r="AC90" s="227" t="s">
        <v>453</v>
      </c>
      <c r="AD90" s="227" t="s">
        <v>456</v>
      </c>
    </row>
    <row r="91" spans="2:30">
      <c r="B91" s="294" t="str">
        <f>'Support Sheet'!C2</f>
        <v>(i)</v>
      </c>
      <c r="C91" s="225" t="s">
        <v>386</v>
      </c>
      <c r="D91" s="317"/>
      <c r="E91" s="49"/>
      <c r="F91" s="318"/>
      <c r="G91" s="499">
        <f>SUMIFS('Trial Balance'!$D:$D,'Trial Balance'!$F:$F,'BS Notes'!$AA91,'Trial Balance'!$G:$G,'BS Notes'!$AB91,'Trial Balance'!$H:$H,'BS Notes'!$AC91,'Trial Balance'!$I:$I,'BS Notes'!$AD91)/'Support Sheet'!$G$10</f>
        <v>0</v>
      </c>
      <c r="H91" s="500">
        <f>SUMIFS('Trial Balance'!$E:$E,'Trial Balance'!$F:$F,'BS Notes'!$AA91,'Trial Balance'!$G:$G,'BS Notes'!$AB91,'Trial Balance'!$H:$H,'BS Notes'!$AC91,'Trial Balance'!$I:$I,'BS Notes'!$AD91)/'Support Sheet'!$G$10</f>
        <v>0</v>
      </c>
      <c r="L91"/>
      <c r="AA91" t="s">
        <v>463</v>
      </c>
      <c r="AB91" s="49" t="str">
        <f>C91</f>
        <v>Current Maturities Of Finance Lease Obligations</v>
      </c>
      <c r="AC91">
        <v>0</v>
      </c>
      <c r="AD91">
        <v>0</v>
      </c>
    </row>
    <row r="92" spans="2:30">
      <c r="B92" s="294" t="str">
        <f>'Support Sheet'!C3</f>
        <v>(ii)</v>
      </c>
      <c r="C92" s="225" t="s">
        <v>387</v>
      </c>
      <c r="D92" s="49"/>
      <c r="E92" s="49"/>
      <c r="F92" s="108"/>
      <c r="G92" s="499">
        <f>SUMIFS('Trial Balance'!$D:$D,'Trial Balance'!$F:$F,'BS Notes'!$AA92,'Trial Balance'!$G:$G,'BS Notes'!$AB92,'Trial Balance'!$H:$H,'BS Notes'!$AC92,'Trial Balance'!$I:$I,'BS Notes'!$AD92)/'Support Sheet'!$G$10</f>
        <v>57.4422</v>
      </c>
      <c r="H92" s="500">
        <f>SUMIFS('Trial Balance'!$E:$E,'Trial Balance'!$F:$F,'BS Notes'!$AA92,'Trial Balance'!$G:$G,'BS Notes'!$AB92,'Trial Balance'!$H:$H,'BS Notes'!$AC92,'Trial Balance'!$I:$I,'BS Notes'!$AD92)/'Support Sheet'!$G$10</f>
        <v>0</v>
      </c>
      <c r="L92"/>
      <c r="AA92" t="s">
        <v>463</v>
      </c>
      <c r="AB92" s="49" t="str">
        <f t="shared" ref="AB92:AB99" si="0">C92</f>
        <v>Interest Accrued But Not Due On Borrowings</v>
      </c>
      <c r="AC92">
        <v>0</v>
      </c>
      <c r="AD92">
        <v>0</v>
      </c>
    </row>
    <row r="93" spans="2:30">
      <c r="B93" s="294" t="str">
        <f>'Support Sheet'!C4</f>
        <v>(iii)</v>
      </c>
      <c r="C93" s="63" t="s">
        <v>388</v>
      </c>
      <c r="D93" s="99"/>
      <c r="E93" s="99"/>
      <c r="F93" s="109"/>
      <c r="G93" s="499">
        <f>SUMIFS('Trial Balance'!$D:$D,'Trial Balance'!$F:$F,'BS Notes'!$AA93,'Trial Balance'!$G:$G,'BS Notes'!$AB93,'Trial Balance'!$H:$H,'BS Notes'!$AC93,'Trial Balance'!$I:$I,'BS Notes'!$AD93)/'Support Sheet'!$G$10</f>
        <v>0</v>
      </c>
      <c r="H93" s="500">
        <f>SUMIFS('Trial Balance'!$E:$E,'Trial Balance'!$F:$F,'BS Notes'!$AA93,'Trial Balance'!$G:$G,'BS Notes'!$AB93,'Trial Balance'!$H:$H,'BS Notes'!$AC93,'Trial Balance'!$I:$I,'BS Notes'!$AD93)/'Support Sheet'!$G$10</f>
        <v>0</v>
      </c>
      <c r="L93"/>
      <c r="AA93" t="s">
        <v>463</v>
      </c>
      <c r="AB93" s="49" t="str">
        <f t="shared" si="0"/>
        <v>Interest Accrued And Due On Borrowings</v>
      </c>
      <c r="AC93">
        <v>0</v>
      </c>
      <c r="AD93">
        <v>0</v>
      </c>
    </row>
    <row r="94" spans="2:30">
      <c r="B94" s="294" t="str">
        <f>'Support Sheet'!C5</f>
        <v>(iv)</v>
      </c>
      <c r="C94" s="225" t="s">
        <v>389</v>
      </c>
      <c r="D94" s="49"/>
      <c r="E94" s="49"/>
      <c r="F94" s="108"/>
      <c r="G94" s="499">
        <f>SUMIFS('Trial Balance'!$D:$D,'Trial Balance'!$F:$F,'BS Notes'!$AA94,'Trial Balance'!$G:$G,'BS Notes'!$AB94,'Trial Balance'!$H:$H,'BS Notes'!$AC94,'Trial Balance'!$I:$I,'BS Notes'!$AD94)/'Support Sheet'!$G$10</f>
        <v>0</v>
      </c>
      <c r="H94" s="500">
        <f>SUMIFS('Trial Balance'!$E:$E,'Trial Balance'!$F:$F,'BS Notes'!$AA94,'Trial Balance'!$G:$G,'BS Notes'!$AB94,'Trial Balance'!$H:$H,'BS Notes'!$AC94,'Trial Balance'!$I:$I,'BS Notes'!$AD94)/'Support Sheet'!$G$10</f>
        <v>0</v>
      </c>
      <c r="L94"/>
      <c r="AA94" t="s">
        <v>463</v>
      </c>
      <c r="AB94" s="49" t="str">
        <f t="shared" si="0"/>
        <v>Income Received In Advance</v>
      </c>
      <c r="AC94">
        <v>0</v>
      </c>
      <c r="AD94">
        <v>0</v>
      </c>
    </row>
    <row r="95" spans="2:30">
      <c r="B95" s="294" t="str">
        <f>'Support Sheet'!C6</f>
        <v>(v)</v>
      </c>
      <c r="C95" s="225" t="s">
        <v>390</v>
      </c>
      <c r="D95" s="49"/>
      <c r="E95" s="49"/>
      <c r="F95" s="108"/>
      <c r="G95" s="499">
        <f>SUMIFS('Trial Balance'!$D:$D,'Trial Balance'!$F:$F,'BS Notes'!$AA95,'Trial Balance'!$G:$G,'BS Notes'!$AB95,'Trial Balance'!$H:$H,'BS Notes'!$AC95,'Trial Balance'!$I:$I,'BS Notes'!$AD95)/'Support Sheet'!$G$10</f>
        <v>0</v>
      </c>
      <c r="H95" s="500">
        <f>SUMIFS('Trial Balance'!$E:$E,'Trial Balance'!$F:$F,'BS Notes'!$AA95,'Trial Balance'!$G:$G,'BS Notes'!$AB95,'Trial Balance'!$H:$H,'BS Notes'!$AC95,'Trial Balance'!$I:$I,'BS Notes'!$AD95)/'Support Sheet'!$G$10</f>
        <v>0</v>
      </c>
      <c r="L95"/>
      <c r="AA95" t="s">
        <v>463</v>
      </c>
      <c r="AB95" s="49" t="str">
        <f t="shared" si="0"/>
        <v>Unpaid Dividends</v>
      </c>
      <c r="AC95">
        <v>0</v>
      </c>
      <c r="AD95">
        <v>0</v>
      </c>
    </row>
    <row r="96" spans="2:30" ht="43.2">
      <c r="B96" s="294" t="str">
        <f>'Support Sheet'!C7</f>
        <v>(vi)</v>
      </c>
      <c r="C96" s="242" t="s">
        <v>268</v>
      </c>
      <c r="D96" s="49"/>
      <c r="E96" s="49"/>
      <c r="F96" s="108"/>
      <c r="G96" s="499">
        <f>SUMIFS('Trial Balance'!$D:$D,'Trial Balance'!$F:$F,'BS Notes'!$AA96,'Trial Balance'!$G:$G,'BS Notes'!$AB96,'Trial Balance'!$H:$H,'BS Notes'!$AC96,'Trial Balance'!$I:$I,'BS Notes'!$AD96)/'Support Sheet'!$G$10</f>
        <v>0</v>
      </c>
      <c r="H96" s="500">
        <f>SUMIFS('Trial Balance'!$E:$E,'Trial Balance'!$F:$F,'BS Notes'!$AA96,'Trial Balance'!$G:$G,'BS Notes'!$AB96,'Trial Balance'!$H:$H,'BS Notes'!$AC96,'Trial Balance'!$I:$I,'BS Notes'!$AD96)/'Support Sheet'!$G$10</f>
        <v>0</v>
      </c>
      <c r="L96"/>
      <c r="AA96" t="s">
        <v>463</v>
      </c>
      <c r="AB96" s="49" t="str">
        <f t="shared" si="0"/>
        <v>Application Money Received For Allotment Of Securities And Due For Refund And Interest Accrued Thereon</v>
      </c>
      <c r="AC96">
        <v>0</v>
      </c>
      <c r="AD96">
        <v>0</v>
      </c>
    </row>
    <row r="97" spans="2:30" ht="28.8">
      <c r="B97" s="294" t="str">
        <f>'Support Sheet'!C8</f>
        <v>(vii)</v>
      </c>
      <c r="C97" s="242" t="s">
        <v>384</v>
      </c>
      <c r="D97" s="49"/>
      <c r="E97" s="49"/>
      <c r="F97" s="108"/>
      <c r="G97" s="499">
        <f>SUMIFS('Trial Balance'!$D:$D,'Trial Balance'!$F:$F,'BS Notes'!$AA97,'Trial Balance'!$G:$G,'BS Notes'!$AB97,'Trial Balance'!$H:$H,'BS Notes'!$AC97,'Trial Balance'!$I:$I,'BS Notes'!$AD97)/'Support Sheet'!$G$10</f>
        <v>38.449800000000003</v>
      </c>
      <c r="H97" s="500">
        <f>SUMIFS('Trial Balance'!$E:$E,'Trial Balance'!$F:$F,'BS Notes'!$AA97,'Trial Balance'!$G:$G,'BS Notes'!$AB97,'Trial Balance'!$H:$H,'BS Notes'!$AC97,'Trial Balance'!$I:$I,'BS Notes'!$AD97)/'Support Sheet'!$G$10</f>
        <v>0</v>
      </c>
      <c r="L97"/>
      <c r="AA97" t="s">
        <v>463</v>
      </c>
      <c r="AB97" s="49" t="str">
        <f t="shared" si="0"/>
        <v>Unpaid Matured Deposits And Interest Accrued Thereon</v>
      </c>
      <c r="AC97">
        <v>0</v>
      </c>
      <c r="AD97">
        <v>0</v>
      </c>
    </row>
    <row r="98" spans="2:30" ht="28.8">
      <c r="B98" s="294" t="str">
        <f>'Support Sheet'!C9</f>
        <v>(viii)</v>
      </c>
      <c r="C98" s="225" t="s">
        <v>385</v>
      </c>
      <c r="D98" s="49"/>
      <c r="E98" s="49"/>
      <c r="F98" s="108"/>
      <c r="G98" s="499">
        <f>SUMIFS('Trial Balance'!$D:$D,'Trial Balance'!$F:$F,'BS Notes'!$AA98,'Trial Balance'!$G:$G,'BS Notes'!$AB98,'Trial Balance'!$H:$H,'BS Notes'!$AC98,'Trial Balance'!$I:$I,'BS Notes'!$AD98)/'Support Sheet'!$G$10</f>
        <v>0</v>
      </c>
      <c r="H98" s="500">
        <f>SUMIFS('Trial Balance'!$E:$E,'Trial Balance'!$F:$F,'BS Notes'!$AA98,'Trial Balance'!$G:$G,'BS Notes'!$AB98,'Trial Balance'!$H:$H,'BS Notes'!$AC98,'Trial Balance'!$I:$I,'BS Notes'!$AD98)/'Support Sheet'!$G$10</f>
        <v>0</v>
      </c>
      <c r="L98"/>
      <c r="AA98" t="s">
        <v>463</v>
      </c>
      <c r="AB98" s="49" t="str">
        <f t="shared" si="0"/>
        <v>Unpaid Matured Debentures And Interest Accrued Thereon</v>
      </c>
      <c r="AC98">
        <v>0</v>
      </c>
      <c r="AD98">
        <v>0</v>
      </c>
    </row>
    <row r="99" spans="2:30">
      <c r="B99" s="294" t="str">
        <f>'Support Sheet'!C10</f>
        <v>(ix)</v>
      </c>
      <c r="C99" s="225" t="s">
        <v>391</v>
      </c>
      <c r="D99" s="49"/>
      <c r="E99" s="49"/>
      <c r="F99" s="108"/>
      <c r="G99" s="499">
        <f>SUMIFS('Trial Balance'!$D:$D,'Trial Balance'!$F:$F,'BS Notes'!$AA99,'Trial Balance'!$G:$G,'BS Notes'!$AB99,'Trial Balance'!$H:$H,'BS Notes'!$AC99,'Trial Balance'!$I:$I,'BS Notes'!$AD99)/'Support Sheet'!$G$10</f>
        <v>2400</v>
      </c>
      <c r="H99" s="500">
        <f>SUMIFS('Trial Balance'!$E:$E,'Trial Balance'!$F:$F,'BS Notes'!$AA99,'Trial Balance'!$G:$G,'BS Notes'!$AB99,'Trial Balance'!$H:$H,'BS Notes'!$AC99,'Trial Balance'!$I:$I,'BS Notes'!$AD99)/'Support Sheet'!$G$10</f>
        <v>0</v>
      </c>
      <c r="L99"/>
      <c r="AA99" t="s">
        <v>463</v>
      </c>
      <c r="AB99" s="49" t="str">
        <f t="shared" si="0"/>
        <v>Other Payables (Specify Nature)</v>
      </c>
      <c r="AC99">
        <v>0</v>
      </c>
      <c r="AD99">
        <v>0</v>
      </c>
    </row>
    <row r="100" spans="2:30" ht="15" thickBot="1">
      <c r="B100" s="1011" t="s">
        <v>14</v>
      </c>
      <c r="C100" s="1012"/>
      <c r="D100" s="1012"/>
      <c r="E100" s="105"/>
      <c r="F100" s="106"/>
      <c r="G100" s="501">
        <f>SUM(G91:G99)</f>
        <v>2495.8919999999998</v>
      </c>
      <c r="H100" s="502">
        <f>SUM(H91:H99)</f>
        <v>0</v>
      </c>
      <c r="L100"/>
    </row>
    <row r="101" spans="2:30" ht="15" thickBot="1">
      <c r="B101" s="104"/>
      <c r="C101" s="104"/>
      <c r="D101" s="104"/>
      <c r="E101" s="104"/>
      <c r="F101" s="104"/>
      <c r="G101" s="189"/>
      <c r="H101" s="189"/>
      <c r="L101"/>
    </row>
    <row r="102" spans="2:30">
      <c r="B102" s="100" t="s">
        <v>498</v>
      </c>
      <c r="C102" s="101"/>
      <c r="D102" s="102"/>
      <c r="E102" s="102"/>
      <c r="F102" s="107"/>
      <c r="G102" s="503" t="str">
        <f>IF('Control Sheet'!$C$7&gt;0,CONCATENATE("As on"," ",TEXT('Control Sheet'!$C$7,"DD-MMM-YYYY"))," &lt;CY Balance Sheet Date&gt;")</f>
        <v>As on 31-Mar-2023</v>
      </c>
      <c r="H102" s="503" t="str">
        <f>IF('Control Sheet'!$C$8&gt;0,CONCATENATE("As on"," ",TEXT('Control Sheet'!$C$8,"DD-MMM-YYYY"))," &lt;CY Balance Sheet Date&gt;")</f>
        <v>As on 31-Mar-2022</v>
      </c>
      <c r="L102"/>
      <c r="AA102" s="227" t="s">
        <v>451</v>
      </c>
      <c r="AB102" s="227" t="s">
        <v>452</v>
      </c>
      <c r="AC102" s="227" t="s">
        <v>453</v>
      </c>
      <c r="AD102" s="227" t="s">
        <v>456</v>
      </c>
    </row>
    <row r="103" spans="2:30">
      <c r="B103" s="294" t="str">
        <f>'Support Sheet'!C2</f>
        <v>(i)</v>
      </c>
      <c r="C103" s="49" t="s">
        <v>269</v>
      </c>
      <c r="D103" s="291"/>
      <c r="E103" s="291"/>
      <c r="F103" s="109"/>
      <c r="G103" s="499">
        <f>SUMIFS('Trial Balance'!$D:$D,'Trial Balance'!$F:$F,'BS Notes'!$AA103,'Trial Balance'!$G:$G,'BS Notes'!$AB103,'Trial Balance'!$H:$H,'BS Notes'!$AC103,'Trial Balance'!$I:$I,'BS Notes'!$AD103)/'Support Sheet'!$G$10</f>
        <v>0</v>
      </c>
      <c r="H103" s="500">
        <f>SUMIFS('Trial Balance'!$E:$E,'Trial Balance'!$F:$F,'BS Notes'!$AA103,'Trial Balance'!$G:$G,'BS Notes'!$AB103,'Trial Balance'!$H:$H,'BS Notes'!$AC103,'Trial Balance'!$I:$I,'BS Notes'!$AD103)/'Support Sheet'!$G$10</f>
        <v>0</v>
      </c>
      <c r="L103"/>
      <c r="AA103" t="s">
        <v>482</v>
      </c>
      <c r="AB103" s="49" t="s">
        <v>269</v>
      </c>
      <c r="AC103">
        <v>0</v>
      </c>
      <c r="AD103">
        <v>0</v>
      </c>
    </row>
    <row r="104" spans="2:30">
      <c r="B104" s="294" t="str">
        <f>'Support Sheet'!C3</f>
        <v>(ii)</v>
      </c>
      <c r="C104" s="49" t="s">
        <v>687</v>
      </c>
      <c r="D104" s="99"/>
      <c r="E104" s="99"/>
      <c r="F104" s="109"/>
      <c r="G104" s="499">
        <f>SUMIFS('Trial Balance'!$D:$D,'Trial Balance'!$F:$F,'BS Notes'!$AA104,'Trial Balance'!$G:$G,'BS Notes'!$AB104,'Trial Balance'!$H:$H,'BS Notes'!$AC104,'Trial Balance'!$I:$I,'BS Notes'!$AD104)/'Support Sheet'!$G$10</f>
        <v>0</v>
      </c>
      <c r="H104" s="500">
        <f>SUMIFS('Trial Balance'!$E:$E,'Trial Balance'!$F:$F,'BS Notes'!$AA104,'Trial Balance'!$G:$G,'BS Notes'!$AB104,'Trial Balance'!$H:$H,'BS Notes'!$AC104,'Trial Balance'!$I:$I,'BS Notes'!$AD104)/'Support Sheet'!$G$10</f>
        <v>0</v>
      </c>
      <c r="L104"/>
      <c r="AA104" t="s">
        <v>482</v>
      </c>
      <c r="AB104" s="49" t="s">
        <v>687</v>
      </c>
      <c r="AC104">
        <v>0</v>
      </c>
      <c r="AD104">
        <v>0</v>
      </c>
    </row>
    <row r="105" spans="2:30">
      <c r="B105" s="294" t="str">
        <f>'Support Sheet'!C4</f>
        <v>(iii)</v>
      </c>
      <c r="C105" s="49" t="s">
        <v>1013</v>
      </c>
      <c r="D105" s="99"/>
      <c r="E105" s="99"/>
      <c r="F105" s="109"/>
      <c r="G105" s="499">
        <f>SUMIFS('Trial Balance'!$D:$D,'Trial Balance'!$F:$F,'BS Notes'!$AA105,'Trial Balance'!$G:$G,'BS Notes'!$AB105,'Trial Balance'!$H:$H,'BS Notes'!$AC105,'Trial Balance'!$I:$I,'BS Notes'!$AD105)/'Support Sheet'!$G$10</f>
        <v>177</v>
      </c>
      <c r="H105" s="500">
        <f>SUMIFS('Trial Balance'!$E:$E,'Trial Balance'!$F:$F,'BS Notes'!$AA105,'Trial Balance'!$G:$G,'BS Notes'!$AB105,'Trial Balance'!$H:$H,'BS Notes'!$AC105,'Trial Balance'!$I:$I,'BS Notes'!$AD105)/'Support Sheet'!$G$10</f>
        <v>0</v>
      </c>
      <c r="L105"/>
      <c r="AA105" t="s">
        <v>482</v>
      </c>
      <c r="AB105" s="49" t="str">
        <f>C105</f>
        <v>Other Short Term Provision (Specify Nature)</v>
      </c>
      <c r="AC105">
        <v>0</v>
      </c>
      <c r="AD105">
        <v>0</v>
      </c>
    </row>
    <row r="106" spans="2:30" ht="15" thickBot="1">
      <c r="B106" s="1015" t="s">
        <v>102</v>
      </c>
      <c r="C106" s="1016"/>
      <c r="D106" s="1016"/>
      <c r="E106" s="265"/>
      <c r="F106" s="93"/>
      <c r="G106" s="501">
        <f>SUM(G103:G105)</f>
        <v>177</v>
      </c>
      <c r="H106" s="511">
        <f>SUM(H103:H105)</f>
        <v>0</v>
      </c>
      <c r="L106"/>
    </row>
    <row r="107" spans="2:30" ht="15" thickBot="1">
      <c r="B107" s="128"/>
      <c r="C107" s="196"/>
      <c r="D107" s="128"/>
      <c r="E107" s="128"/>
      <c r="F107" s="128"/>
      <c r="G107" s="510"/>
      <c r="H107" s="510"/>
      <c r="L107"/>
    </row>
    <row r="108" spans="2:30">
      <c r="B108" s="100" t="s">
        <v>908</v>
      </c>
      <c r="C108" s="102"/>
      <c r="D108" s="102"/>
      <c r="E108" s="102"/>
      <c r="F108" s="107"/>
      <c r="G108" s="503" t="str">
        <f>IF('Control Sheet'!$C$7&gt;0,CONCATENATE("As on"," ",TEXT('Control Sheet'!$C$7,"DD-MMM-YYYY"))," &lt;CY Balance Sheet Date&gt;")</f>
        <v>As on 31-Mar-2023</v>
      </c>
      <c r="H108" s="503" t="str">
        <f>IF('Control Sheet'!$C$8&gt;0,CONCATENATE("As on"," ",TEXT('Control Sheet'!$C$8,"DD-MMM-YYYY"))," &lt;CY Balance Sheet Date&gt;")</f>
        <v>As on 31-Mar-2022</v>
      </c>
      <c r="L108"/>
      <c r="AA108" s="227" t="s">
        <v>451</v>
      </c>
      <c r="AB108" s="227" t="s">
        <v>452</v>
      </c>
      <c r="AC108" s="227" t="s">
        <v>453</v>
      </c>
      <c r="AD108" s="227" t="s">
        <v>456</v>
      </c>
    </row>
    <row r="109" spans="2:30">
      <c r="B109" s="294" t="str">
        <f>'Support Sheet'!C2</f>
        <v>(i)</v>
      </c>
      <c r="C109" s="49" t="s">
        <v>287</v>
      </c>
      <c r="D109" s="99"/>
      <c r="E109" s="99"/>
      <c r="F109" s="99"/>
      <c r="G109" s="499">
        <f>SUMIFS('Trial Balance'!$D:$D,'Trial Balance'!$F:$F,'BS Notes'!$AA109,'Trial Balance'!$G:$G,'BS Notes'!$AB109,'Trial Balance'!$H:$H,'BS Notes'!$AC109,'Trial Balance'!$I:$I,'BS Notes'!$AD109)/'Support Sheet'!$G$10</f>
        <v>0</v>
      </c>
      <c r="H109" s="500">
        <f>SUMIFS('Trial Balance'!$E:$E,'Trial Balance'!$F:$F,'BS Notes'!$AA109,'Trial Balance'!$G:$G,'BS Notes'!$AB109,'Trial Balance'!$H:$H,'BS Notes'!$AC109,'Trial Balance'!$I:$I,'BS Notes'!$AD109)/'Support Sheet'!$G$10</f>
        <v>0</v>
      </c>
      <c r="L109"/>
      <c r="AA109" t="s">
        <v>286</v>
      </c>
      <c r="AB109" s="49" t="s">
        <v>287</v>
      </c>
      <c r="AC109">
        <v>0</v>
      </c>
      <c r="AD109">
        <v>0</v>
      </c>
    </row>
    <row r="110" spans="2:30">
      <c r="B110" s="294" t="str">
        <f>'Support Sheet'!C3</f>
        <v>(ii)</v>
      </c>
      <c r="C110" s="49" t="s">
        <v>288</v>
      </c>
      <c r="D110" s="99"/>
      <c r="E110" s="99"/>
      <c r="F110" s="99"/>
      <c r="G110" s="499">
        <f>SUMIFS('Trial Balance'!$D:$D,'Trial Balance'!$F:$F,'BS Notes'!$AA110,'Trial Balance'!$G:$G,'BS Notes'!$AB110,'Trial Balance'!$H:$H,'BS Notes'!$AC110,'Trial Balance'!$I:$I,'BS Notes'!$AD110)/'Support Sheet'!$G$10</f>
        <v>0</v>
      </c>
      <c r="H110" s="500">
        <f>SUMIFS('Trial Balance'!$E:$E,'Trial Balance'!$F:$F,'BS Notes'!$AA110,'Trial Balance'!$G:$G,'BS Notes'!$AB110,'Trial Balance'!$H:$H,'BS Notes'!$AC110,'Trial Balance'!$I:$I,'BS Notes'!$AD110)/'Support Sheet'!$G$10</f>
        <v>0</v>
      </c>
      <c r="L110"/>
      <c r="AA110" t="s">
        <v>286</v>
      </c>
      <c r="AB110" s="49" t="s">
        <v>288</v>
      </c>
      <c r="AC110">
        <v>0</v>
      </c>
      <c r="AD110">
        <v>0</v>
      </c>
    </row>
    <row r="111" spans="2:30">
      <c r="B111" s="294" t="str">
        <f>'Support Sheet'!C4</f>
        <v>(iii)</v>
      </c>
      <c r="C111" s="49" t="s">
        <v>289</v>
      </c>
      <c r="D111" s="99"/>
      <c r="E111" s="99"/>
      <c r="F111" s="99"/>
      <c r="G111" s="499">
        <f>SUMIFS('Trial Balance'!$D:$D,'Trial Balance'!$F:$F,'BS Notes'!$AA111,'Trial Balance'!$G:$G,'BS Notes'!$AB111,'Trial Balance'!$H:$H,'BS Notes'!$AC111,'Trial Balance'!$I:$I,'BS Notes'!$AD111)/'Support Sheet'!$G$10</f>
        <v>0</v>
      </c>
      <c r="H111" s="500">
        <f>SUMIFS('Trial Balance'!$E:$E,'Trial Balance'!$F:$F,'BS Notes'!$AA111,'Trial Balance'!$G:$G,'BS Notes'!$AB111,'Trial Balance'!$H:$H,'BS Notes'!$AC111,'Trial Balance'!$I:$I,'BS Notes'!$AD111)/'Support Sheet'!$G$10</f>
        <v>0</v>
      </c>
      <c r="L111"/>
      <c r="AA111" t="s">
        <v>286</v>
      </c>
      <c r="AB111" s="49" t="s">
        <v>289</v>
      </c>
      <c r="AC111">
        <v>0</v>
      </c>
      <c r="AD111">
        <v>0</v>
      </c>
    </row>
    <row r="112" spans="2:30">
      <c r="B112" s="294" t="str">
        <f>'Support Sheet'!C5</f>
        <v>(iv)</v>
      </c>
      <c r="C112" s="49" t="s">
        <v>290</v>
      </c>
      <c r="D112" s="99"/>
      <c r="E112" s="99"/>
      <c r="F112" s="99"/>
      <c r="G112" s="499">
        <f>SUMIFS('Trial Balance'!$D:$D,'Trial Balance'!$F:$F,'BS Notes'!$AA112,'Trial Balance'!$G:$G,'BS Notes'!$AB112,'Trial Balance'!$H:$H,'BS Notes'!$AC112,'Trial Balance'!$I:$I,'BS Notes'!$AD112)/'Support Sheet'!$G$10</f>
        <v>0</v>
      </c>
      <c r="H112" s="500">
        <f>SUMIFS('Trial Balance'!$E:$E,'Trial Balance'!$F:$F,'BS Notes'!$AA112,'Trial Balance'!$G:$G,'BS Notes'!$AB112,'Trial Balance'!$H:$H,'BS Notes'!$AC112,'Trial Balance'!$I:$I,'BS Notes'!$AD112)/'Support Sheet'!$G$10</f>
        <v>0</v>
      </c>
      <c r="L112"/>
      <c r="AA112" t="s">
        <v>286</v>
      </c>
      <c r="AB112" s="49" t="s">
        <v>290</v>
      </c>
      <c r="AC112">
        <v>0</v>
      </c>
      <c r="AD112">
        <v>0</v>
      </c>
    </row>
    <row r="113" spans="2:30">
      <c r="B113" s="294" t="str">
        <f>'Support Sheet'!C6</f>
        <v>(v)</v>
      </c>
      <c r="C113" s="49" t="s">
        <v>291</v>
      </c>
      <c r="D113" s="99"/>
      <c r="E113" s="99"/>
      <c r="F113" s="99"/>
      <c r="G113" s="499">
        <f>SUMIFS('Trial Balance'!$D:$D,'Trial Balance'!$F:$F,'BS Notes'!$AA113,'Trial Balance'!$G:$G,'BS Notes'!$AB113,'Trial Balance'!$H:$H,'BS Notes'!$AC113,'Trial Balance'!$I:$I,'BS Notes'!$AD113)/'Support Sheet'!$G$10</f>
        <v>0</v>
      </c>
      <c r="H113" s="500">
        <f>SUMIFS('Trial Balance'!$E:$E,'Trial Balance'!$F:$F,'BS Notes'!$AA113,'Trial Balance'!$G:$G,'BS Notes'!$AB113,'Trial Balance'!$H:$H,'BS Notes'!$AC113,'Trial Balance'!$I:$I,'BS Notes'!$AD113)/'Support Sheet'!$G$10</f>
        <v>0</v>
      </c>
      <c r="L113"/>
      <c r="AA113" t="s">
        <v>286</v>
      </c>
      <c r="AB113" s="49" t="s">
        <v>291</v>
      </c>
      <c r="AC113">
        <v>0</v>
      </c>
      <c r="AD113">
        <v>0</v>
      </c>
    </row>
    <row r="114" spans="2:30">
      <c r="B114" s="294" t="str">
        <f>'Support Sheet'!C7</f>
        <v>(vi)</v>
      </c>
      <c r="C114" s="49" t="s">
        <v>292</v>
      </c>
      <c r="D114" s="99"/>
      <c r="E114" s="99"/>
      <c r="F114" s="99"/>
      <c r="G114" s="499">
        <f>SUMIFS('Trial Balance'!$D:$D,'Trial Balance'!$F:$F,'BS Notes'!$AA114,'Trial Balance'!$G:$G,'BS Notes'!$AB114,'Trial Balance'!$H:$H,'BS Notes'!$AC114,'Trial Balance'!$I:$I,'BS Notes'!$AD114)/'Support Sheet'!$G$10</f>
        <v>0</v>
      </c>
      <c r="H114" s="500">
        <f>SUMIFS('Trial Balance'!$E:$E,'Trial Balance'!$F:$F,'BS Notes'!$AA114,'Trial Balance'!$G:$G,'BS Notes'!$AB114,'Trial Balance'!$H:$H,'BS Notes'!$AC114,'Trial Balance'!$I:$I,'BS Notes'!$AD114)/'Support Sheet'!$G$10</f>
        <v>0</v>
      </c>
      <c r="L114"/>
      <c r="AA114" t="s">
        <v>286</v>
      </c>
      <c r="AB114" s="49" t="s">
        <v>292</v>
      </c>
      <c r="AC114">
        <v>0</v>
      </c>
      <c r="AD114">
        <v>0</v>
      </c>
    </row>
    <row r="115" spans="2:30">
      <c r="B115" s="294" t="str">
        <f>'Support Sheet'!C8</f>
        <v>(vii)</v>
      </c>
      <c r="C115" s="49" t="s">
        <v>293</v>
      </c>
      <c r="D115" s="99"/>
      <c r="E115" s="99"/>
      <c r="F115" s="99"/>
      <c r="G115" s="499">
        <f>SUMIFS('Trial Balance'!$D:$D,'Trial Balance'!$F:$F,'BS Notes'!$AA115,'Trial Balance'!$G:$G,'BS Notes'!$AB115,'Trial Balance'!$H:$H,'BS Notes'!$AC115,'Trial Balance'!$I:$I,'BS Notes'!$AD115)/'Support Sheet'!$G$10</f>
        <v>0</v>
      </c>
      <c r="H115" s="500">
        <f>SUMIFS('Trial Balance'!$E:$E,'Trial Balance'!$F:$F,'BS Notes'!$AA115,'Trial Balance'!$G:$G,'BS Notes'!$AB115,'Trial Balance'!$H:$H,'BS Notes'!$AC115,'Trial Balance'!$I:$I,'BS Notes'!$AD115)/'Support Sheet'!$G$10</f>
        <v>0</v>
      </c>
      <c r="AA115" t="s">
        <v>286</v>
      </c>
      <c r="AB115" s="49" t="s">
        <v>293</v>
      </c>
      <c r="AC115">
        <v>0</v>
      </c>
      <c r="AD115">
        <v>0</v>
      </c>
    </row>
    <row r="116" spans="2:30">
      <c r="B116" s="294" t="str">
        <f>'Support Sheet'!C9</f>
        <v>(viii)</v>
      </c>
      <c r="C116" s="49" t="s">
        <v>294</v>
      </c>
      <c r="D116" s="99"/>
      <c r="E116" s="99"/>
      <c r="F116" s="99"/>
      <c r="G116" s="499">
        <f>SUMIFS('Trial Balance'!$D:$D,'Trial Balance'!$F:$F,'BS Notes'!$AA116,'Trial Balance'!$G:$G,'BS Notes'!$AB116,'Trial Balance'!$H:$H,'BS Notes'!$AC116,'Trial Balance'!$I:$I,'BS Notes'!$AD116)/'Support Sheet'!$G$10</f>
        <v>0</v>
      </c>
      <c r="H116" s="500">
        <f>SUMIFS('Trial Balance'!$E:$E,'Trial Balance'!$F:$F,'BS Notes'!$AA116,'Trial Balance'!$G:$G,'BS Notes'!$AB116,'Trial Balance'!$H:$H,'BS Notes'!$AC116,'Trial Balance'!$I:$I,'BS Notes'!$AD116)/'Support Sheet'!$G$10</f>
        <v>0</v>
      </c>
      <c r="AA116" t="s">
        <v>286</v>
      </c>
      <c r="AB116" s="49" t="str">
        <f>C116</f>
        <v xml:space="preserve"> Other Non-Current Investments (Specify Nature)</v>
      </c>
      <c r="AC116">
        <v>0</v>
      </c>
      <c r="AD116">
        <v>0</v>
      </c>
    </row>
    <row r="117" spans="2:30" ht="15" thickBot="1">
      <c r="B117" s="1015" t="s">
        <v>102</v>
      </c>
      <c r="C117" s="1016"/>
      <c r="D117" s="1016"/>
      <c r="E117" s="265"/>
      <c r="F117" s="93"/>
      <c r="G117" s="501">
        <f>SUM(G109:G116)</f>
        <v>0</v>
      </c>
      <c r="H117" s="511">
        <f>SUM(H109:H116)</f>
        <v>0</v>
      </c>
    </row>
    <row r="118" spans="2:30" ht="15" thickBot="1">
      <c r="B118" s="128"/>
      <c r="C118" s="128"/>
      <c r="D118" s="128"/>
      <c r="E118" s="128"/>
      <c r="F118" s="128"/>
      <c r="G118" s="510"/>
      <c r="H118" s="510"/>
    </row>
    <row r="119" spans="2:30">
      <c r="B119" s="100" t="s">
        <v>909</v>
      </c>
      <c r="C119" s="101"/>
      <c r="D119" s="102"/>
      <c r="E119" s="102"/>
      <c r="F119" s="102"/>
      <c r="G119" s="503" t="str">
        <f>IF('Control Sheet'!$C$7&gt;0,CONCATENATE("As on"," ",TEXT('Control Sheet'!$C$7,"DD-MMM-YYYY"))," &lt;CY Balance Sheet Date&gt;")</f>
        <v>As on 31-Mar-2023</v>
      </c>
      <c r="H119" s="503" t="str">
        <f>IF('Control Sheet'!$C$8&gt;0,CONCATENATE("As on"," ",TEXT('Control Sheet'!$C$8,"DD-MMM-YYYY"))," &lt;CY Balance Sheet Date&gt;")</f>
        <v>As on 31-Mar-2022</v>
      </c>
      <c r="AA119" s="227" t="s">
        <v>451</v>
      </c>
      <c r="AB119" s="227" t="s">
        <v>452</v>
      </c>
    </row>
    <row r="120" spans="2:30">
      <c r="B120" s="294" t="str">
        <f>'Support Sheet'!C2</f>
        <v>(i)</v>
      </c>
      <c r="C120" s="48" t="s">
        <v>880</v>
      </c>
      <c r="D120" s="99"/>
      <c r="E120" s="99"/>
      <c r="F120" s="99"/>
      <c r="G120" s="499">
        <f>SUMIFS('Trial Balance'!$D:$D,'Trial Balance'!$F:$F,'BS Notes'!$AA120,'Trial Balance'!$G:$G,'BS Notes'!$AB120,'Trial Balance'!$H:$H,'BS Notes'!$AC132,'Trial Balance'!$I:$I,'BS Notes'!$AD132)/'Support Sheet'!$G$10</f>
        <v>0</v>
      </c>
      <c r="H120" s="500">
        <f>SUMIFS('Trial Balance'!$E:$E,'Trial Balance'!$F:$F,'BS Notes'!$AA120,'Trial Balance'!$G:$G,'BS Notes'!$AB120,'Trial Balance'!$H:$H,'BS Notes'!$AC132,'Trial Balance'!$I:$I,'BS Notes'!$AD132)/'Support Sheet'!$G$10</f>
        <v>0</v>
      </c>
      <c r="AA120" s="48" t="s">
        <v>728</v>
      </c>
      <c r="AB120" s="48" t="s">
        <v>880</v>
      </c>
    </row>
    <row r="121" spans="2:30" ht="15" thickBot="1">
      <c r="B121" s="1011" t="s">
        <v>14</v>
      </c>
      <c r="C121" s="1012"/>
      <c r="D121" s="1012"/>
      <c r="E121" s="105"/>
      <c r="F121" s="106"/>
      <c r="G121" s="501">
        <f>SUM(G120)</f>
        <v>0</v>
      </c>
      <c r="H121" s="502">
        <f>SUM(H120)</f>
        <v>0</v>
      </c>
    </row>
    <row r="122" spans="2:30">
      <c r="B122" s="100" t="s">
        <v>910</v>
      </c>
      <c r="C122" s="102"/>
      <c r="D122" s="102"/>
      <c r="E122" s="102"/>
      <c r="F122" s="107"/>
      <c r="G122" s="503" t="str">
        <f>IF('Control Sheet'!$C$7&gt;0,CONCATENATE("As on"," ",TEXT('Control Sheet'!$C$7,"DD-MMM-YYYY"))," &lt;CY Balance Sheet Date&gt;")</f>
        <v>As on 31-Mar-2023</v>
      </c>
      <c r="H122" s="503" t="str">
        <f>IF('Control Sheet'!$C$8&gt;0,CONCATENATE("As on"," ",TEXT('Control Sheet'!$C$8,"DD-MMM-YYYY"))," &lt;CY Balance Sheet Date&gt;")</f>
        <v>As on 31-Mar-2022</v>
      </c>
      <c r="L122" s="231" t="s">
        <v>307</v>
      </c>
    </row>
    <row r="123" spans="2:30">
      <c r="B123" s="294" t="str">
        <f>'Support Sheet'!C2</f>
        <v>(i)</v>
      </c>
      <c r="C123" s="614" t="s">
        <v>302</v>
      </c>
      <c r="D123" s="99"/>
      <c r="E123" s="99"/>
      <c r="F123" s="99"/>
      <c r="G123" s="516"/>
      <c r="H123" s="505"/>
      <c r="L123" t="s">
        <v>308</v>
      </c>
      <c r="AA123" s="227" t="s">
        <v>451</v>
      </c>
      <c r="AB123" s="227" t="s">
        <v>452</v>
      </c>
      <c r="AC123" s="227" t="s">
        <v>453</v>
      </c>
      <c r="AD123" s="227" t="s">
        <v>456</v>
      </c>
    </row>
    <row r="124" spans="2:30">
      <c r="B124" s="294"/>
      <c r="C124" s="304" t="s">
        <v>434</v>
      </c>
      <c r="D124" s="99"/>
      <c r="E124" s="99"/>
      <c r="F124" s="99"/>
      <c r="G124" s="499">
        <f>SUMIFS('Trial Balance'!$D:$D,'Trial Balance'!$F:$F,'BS Notes'!$AA124,'Trial Balance'!$G:$G,'BS Notes'!$AB124,'Trial Balance'!$H:$H,'BS Notes'!$AC124,'Trial Balance'!$I:$I,'BS Notes'!$AD124)/'Support Sheet'!$G$10</f>
        <v>0</v>
      </c>
      <c r="H124" s="500">
        <f>SUMIFS('Trial Balance'!$E:$E,'Trial Balance'!$F:$F,'BS Notes'!$AA124,'Trial Balance'!$G:$G,'BS Notes'!$AB124,'Trial Balance'!$H:$H,'BS Notes'!$AC124,'Trial Balance'!$I:$I,'BS Notes'!$AD124)/'Support Sheet'!$G$10</f>
        <v>0</v>
      </c>
      <c r="L124" t="s">
        <v>304</v>
      </c>
      <c r="AA124" t="s">
        <v>301</v>
      </c>
      <c r="AB124" t="s">
        <v>302</v>
      </c>
      <c r="AC124">
        <v>0</v>
      </c>
      <c r="AD124" s="329" t="s">
        <v>457</v>
      </c>
    </row>
    <row r="125" spans="2:30">
      <c r="B125" s="294"/>
      <c r="C125" s="304" t="s">
        <v>435</v>
      </c>
      <c r="D125" s="99"/>
      <c r="E125" s="99"/>
      <c r="F125" s="99"/>
      <c r="G125" s="499">
        <f>SUMIFS('Trial Balance'!$D:$D,'Trial Balance'!$F:$F,'BS Notes'!$AA125,'Trial Balance'!$G:$G,'BS Notes'!$AB125,'Trial Balance'!$H:$H,'BS Notes'!$AC125,'Trial Balance'!$I:$I,'BS Notes'!$AD125)/'Support Sheet'!$G$10</f>
        <v>0</v>
      </c>
      <c r="H125" s="500">
        <f>SUMIFS('Trial Balance'!$E:$E,'Trial Balance'!$F:$F,'BS Notes'!$AA125,'Trial Balance'!$G:$G,'BS Notes'!$AB125,'Trial Balance'!$H:$H,'BS Notes'!$AC125,'Trial Balance'!$I:$I,'BS Notes'!$AD125)/'Support Sheet'!$G$10</f>
        <v>0</v>
      </c>
      <c r="L125" t="s">
        <v>305</v>
      </c>
      <c r="AA125" t="s">
        <v>301</v>
      </c>
      <c r="AB125" t="s">
        <v>302</v>
      </c>
      <c r="AC125">
        <v>0</v>
      </c>
      <c r="AD125" s="329" t="s">
        <v>460</v>
      </c>
    </row>
    <row r="126" spans="2:30">
      <c r="B126" s="294"/>
      <c r="C126" s="304" t="s">
        <v>436</v>
      </c>
      <c r="D126" s="99"/>
      <c r="E126" s="99"/>
      <c r="F126" s="99"/>
      <c r="G126" s="499">
        <f>SUMIFS('Trial Balance'!$D:$D,'Trial Balance'!$F:$F,'BS Notes'!$AA126,'Trial Balance'!$G:$G,'BS Notes'!$AB126,'Trial Balance'!$H:$H,'BS Notes'!$AC126,'Trial Balance'!$I:$I,'BS Notes'!$AD126)/'Support Sheet'!$G$10</f>
        <v>0</v>
      </c>
      <c r="H126" s="500">
        <f>SUMIFS('Trial Balance'!$E:$E,'Trial Balance'!$F:$F,'BS Notes'!$AA126,'Trial Balance'!$G:$G,'BS Notes'!$AB126,'Trial Balance'!$H:$H,'BS Notes'!$AC126,'Trial Balance'!$I:$I,'BS Notes'!$AD126)/'Support Sheet'!$G$10</f>
        <v>0</v>
      </c>
      <c r="L126" t="s">
        <v>306</v>
      </c>
      <c r="AA126" t="s">
        <v>301</v>
      </c>
      <c r="AB126" t="s">
        <v>302</v>
      </c>
      <c r="AC126">
        <v>0</v>
      </c>
      <c r="AD126" t="s">
        <v>464</v>
      </c>
    </row>
    <row r="127" spans="2:30" ht="28.8">
      <c r="B127" s="328" t="str">
        <f>'Support Sheet'!C3</f>
        <v>(ii)</v>
      </c>
      <c r="C127" s="668" t="s">
        <v>303</v>
      </c>
      <c r="D127" s="99"/>
      <c r="E127" s="99"/>
      <c r="F127" s="99"/>
      <c r="G127" s="499">
        <f>SUMIFS('Trial Balance'!$D:$D,'Trial Balance'!$F:$F,'BS Notes'!$AA127,'Trial Balance'!$G:$G,'BS Notes'!$AB127,'Trial Balance'!$H:$H,'BS Notes'!$AC127,'Trial Balance'!$I:$I,'BS Notes'!$AD127)/'Support Sheet'!$G$10</f>
        <v>0</v>
      </c>
      <c r="H127" s="500">
        <f>SUMIFS('Trial Balance'!$E:$E,'Trial Balance'!$F:$F,'BS Notes'!$AA127,'Trial Balance'!$G:$G,'BS Notes'!$AB127,'Trial Balance'!$H:$H,'BS Notes'!$AC127,'Trial Balance'!$I:$I,'BS Notes'!$AD127)/'Support Sheet'!$G$10</f>
        <v>0</v>
      </c>
      <c r="L127" t="s">
        <v>309</v>
      </c>
      <c r="AA127" t="s">
        <v>301</v>
      </c>
      <c r="AB127" s="212" t="s">
        <v>303</v>
      </c>
      <c r="AC127">
        <v>0</v>
      </c>
      <c r="AD127">
        <v>0</v>
      </c>
    </row>
    <row r="128" spans="2:30">
      <c r="B128" s="294" t="str">
        <f>'Support Sheet'!C4</f>
        <v>(iii)</v>
      </c>
      <c r="C128" s="614" t="s">
        <v>1016</v>
      </c>
      <c r="D128" s="99"/>
      <c r="E128" s="99"/>
      <c r="F128" s="99"/>
      <c r="G128" s="499">
        <f>SUMIFS('Trial Balance'!$D:$D,'Trial Balance'!$F:$F,'BS Notes'!$AA128,'Trial Balance'!$G:$G,'BS Notes'!$AB128,'Trial Balance'!$H:$H,'BS Notes'!$AC128,'Trial Balance'!$I:$I,'BS Notes'!$AD128)/'Support Sheet'!$G$10</f>
        <v>0</v>
      </c>
      <c r="H128" s="500">
        <f>SUMIFS('Trial Balance'!$E:$E,'Trial Balance'!$F:$F,'BS Notes'!$AA128,'Trial Balance'!$G:$G,'BS Notes'!$AB128,'Trial Balance'!$H:$H,'BS Notes'!$AC128,'Trial Balance'!$I:$I,'BS Notes'!$AD128)/'Support Sheet'!$G$10</f>
        <v>0</v>
      </c>
      <c r="L128" t="s">
        <v>310</v>
      </c>
      <c r="AA128" t="s">
        <v>301</v>
      </c>
      <c r="AB128" t="str">
        <f>C128</f>
        <v>Other Long Term Loans And Advances (Specify Nature)</v>
      </c>
      <c r="AC128">
        <v>0</v>
      </c>
      <c r="AD128">
        <v>0</v>
      </c>
    </row>
    <row r="129" spans="2:30" ht="15" thickBot="1">
      <c r="B129" s="1015" t="s">
        <v>102</v>
      </c>
      <c r="C129" s="1016"/>
      <c r="D129" s="1016"/>
      <c r="E129" s="265"/>
      <c r="F129" s="93"/>
      <c r="G129" s="501">
        <f>SUM(G124:G128)</f>
        <v>0</v>
      </c>
      <c r="H129" s="511">
        <f>SUM(H124:H128)</f>
        <v>0</v>
      </c>
    </row>
    <row r="130" spans="2:30">
      <c r="B130" s="229"/>
      <c r="C130" s="104"/>
      <c r="D130" s="230"/>
      <c r="E130" s="230"/>
      <c r="F130" s="230"/>
      <c r="G130" s="510"/>
      <c r="H130" s="510"/>
    </row>
    <row r="131" spans="2:30">
      <c r="AC131" s="227" t="s">
        <v>453</v>
      </c>
      <c r="AD131" s="227" t="s">
        <v>456</v>
      </c>
    </row>
    <row r="132" spans="2:30">
      <c r="AC132">
        <v>0</v>
      </c>
      <c r="AD132">
        <v>0</v>
      </c>
    </row>
    <row r="134" spans="2:30">
      <c r="G134" s="517"/>
      <c r="H134" s="517"/>
    </row>
    <row r="135" spans="2:30">
      <c r="G135" s="517"/>
      <c r="H135" s="517"/>
    </row>
    <row r="136" spans="2:30">
      <c r="G136" s="517"/>
      <c r="H136" s="517"/>
    </row>
    <row r="137" spans="2:30">
      <c r="B137" s="104"/>
      <c r="C137" s="104"/>
      <c r="D137" s="104"/>
      <c r="E137" s="104"/>
      <c r="F137" s="104"/>
      <c r="G137" s="510"/>
      <c r="H137" s="510"/>
    </row>
    <row r="138" spans="2:30">
      <c r="B138" s="49"/>
      <c r="C138" s="99"/>
      <c r="D138" s="99"/>
      <c r="E138" s="99"/>
      <c r="F138" s="99"/>
      <c r="G138" s="518"/>
      <c r="H138" s="518"/>
    </row>
    <row r="139" spans="2:30">
      <c r="G139" s="517"/>
      <c r="H139" s="517"/>
    </row>
    <row r="140" spans="2:30">
      <c r="G140" s="517"/>
      <c r="H140" s="517"/>
    </row>
    <row r="141" spans="2:30">
      <c r="G141" s="517"/>
      <c r="H141" s="517"/>
    </row>
    <row r="142" spans="2:30">
      <c r="G142" s="517"/>
      <c r="H142" s="517"/>
    </row>
    <row r="143" spans="2:30">
      <c r="G143" s="517"/>
      <c r="H143" s="517"/>
    </row>
    <row r="144" spans="2:30">
      <c r="G144" s="517"/>
      <c r="H144" s="517"/>
    </row>
    <row r="145" spans="7:8">
      <c r="G145" s="517"/>
      <c r="H145" s="517"/>
    </row>
    <row r="146" spans="7:8">
      <c r="G146" s="517"/>
      <c r="H146" s="517"/>
    </row>
  </sheetData>
  <mergeCells count="22">
    <mergeCell ref="H74:I74"/>
    <mergeCell ref="B129:D129"/>
    <mergeCell ref="B117:D117"/>
    <mergeCell ref="B106:D106"/>
    <mergeCell ref="B100:D100"/>
    <mergeCell ref="H75:H76"/>
    <mergeCell ref="B81:C81"/>
    <mergeCell ref="B88:C88"/>
    <mergeCell ref="D75:G75"/>
    <mergeCell ref="B121:D121"/>
    <mergeCell ref="G8:H8"/>
    <mergeCell ref="B1:H1"/>
    <mergeCell ref="B2:H2"/>
    <mergeCell ref="B6:H6"/>
    <mergeCell ref="B23:D23"/>
    <mergeCell ref="B3:H3"/>
    <mergeCell ref="B4:H4"/>
    <mergeCell ref="B42:D42"/>
    <mergeCell ref="B56:D56"/>
    <mergeCell ref="B46:D46"/>
    <mergeCell ref="B51:D51"/>
    <mergeCell ref="B72:D72"/>
  </mergeCells>
  <conditionalFormatting sqref="C91:C99">
    <cfRule type="duplicateValues" dxfId="24" priority="3"/>
  </conditionalFormatting>
  <conditionalFormatting sqref="AB91:AB99">
    <cfRule type="duplicateValues" dxfId="23" priority="1"/>
  </conditionalFormatting>
  <pageMargins left="0.70866141732283472" right="0.70866141732283472" top="0.74803149606299213" bottom="0.74803149606299213" header="0.31496062992125984" footer="0.31496062992125984"/>
  <pageSetup paperSize="9" scale="66" fitToHeight="0" orientation="portrait" verticalDpi="300" r:id="rId1"/>
  <rowBreaks count="1" manualBreakCount="1">
    <brk id="72" min="1" max="7"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E098C-99E3-4AD8-8CD9-D95A97A5E8DD}">
  <sheetPr>
    <tabColor theme="1"/>
    <pageSetUpPr fitToPage="1"/>
  </sheetPr>
  <dimension ref="B1:Q65"/>
  <sheetViews>
    <sheetView showGridLines="0" view="pageBreakPreview" topLeftCell="H43" zoomScaleNormal="100" zoomScaleSheetLayoutView="100" workbookViewId="0">
      <selection activeCell="M46" sqref="M46"/>
    </sheetView>
  </sheetViews>
  <sheetFormatPr defaultRowHeight="14.4"/>
  <cols>
    <col min="2" max="2" width="6.44140625" bestFit="1" customWidth="1"/>
    <col min="3" max="3" width="29.88671875" bestFit="1" customWidth="1"/>
    <col min="4" max="4" width="25.5546875" bestFit="1" customWidth="1"/>
    <col min="5" max="5" width="13.33203125" bestFit="1" customWidth="1"/>
    <col min="6" max="6" width="17.5546875" bestFit="1" customWidth="1"/>
    <col min="7" max="7" width="19.6640625" bestFit="1" customWidth="1"/>
    <col min="8" max="8" width="25.5546875" bestFit="1" customWidth="1"/>
    <col min="9" max="9" width="35.88671875" bestFit="1" customWidth="1"/>
    <col min="10" max="10" width="40.88671875" bestFit="1" customWidth="1"/>
    <col min="11" max="11" width="19.6640625" bestFit="1" customWidth="1"/>
    <col min="12" max="12" width="18.5546875" bestFit="1" customWidth="1"/>
    <col min="13" max="13" width="19.5546875" bestFit="1" customWidth="1"/>
  </cols>
  <sheetData>
    <row r="1" spans="2:17" ht="18">
      <c r="B1" s="975" t="str">
        <f>IF('Control Sheet'!$C$3&gt;0,'Control Sheet'!$C$3,'Control Sheet'!$B$3)</f>
        <v>Saptaranga Research and Organic Private Limited</v>
      </c>
      <c r="C1" s="975"/>
      <c r="D1" s="975"/>
      <c r="E1" s="975"/>
      <c r="F1" s="975"/>
      <c r="G1" s="975"/>
      <c r="H1" s="975"/>
      <c r="I1" s="975"/>
      <c r="J1" s="975"/>
      <c r="K1" s="975"/>
      <c r="L1" s="975"/>
      <c r="M1" s="975"/>
    </row>
    <row r="2" spans="2:17">
      <c r="B2" s="976" t="str">
        <f>IF('Control Sheet'!$C$4&gt;0,'Control Sheet'!$C$4,'Control Sheet'!$B$4)</f>
        <v xml:space="preserve">Plot No 45, </v>
      </c>
      <c r="C2" s="976"/>
      <c r="D2" s="976"/>
      <c r="E2" s="976"/>
      <c r="F2" s="976"/>
      <c r="G2" s="976"/>
      <c r="H2" s="976"/>
      <c r="I2" s="976"/>
      <c r="J2" s="976"/>
      <c r="K2" s="976"/>
      <c r="L2" s="976"/>
      <c r="M2" s="976"/>
    </row>
    <row r="3" spans="2:17">
      <c r="B3" s="976" t="str">
        <f>IF('Control Sheet'!$C$5&gt;0,'Control Sheet'!$C$5,'Control Sheet'!$B$5)</f>
        <v>Ravindra Nagar P.M.G. Society</v>
      </c>
      <c r="C3" s="976"/>
      <c r="D3" s="976"/>
      <c r="E3" s="976"/>
      <c r="F3" s="976"/>
      <c r="G3" s="976"/>
      <c r="H3" s="976"/>
      <c r="I3" s="976"/>
      <c r="J3" s="976"/>
      <c r="K3" s="976"/>
      <c r="L3" s="976"/>
      <c r="M3" s="976"/>
    </row>
    <row r="4" spans="2:17">
      <c r="B4" s="976" t="str">
        <f>IF('Control Sheet'!$C$6&gt;0,'Control Sheet'!$C$6,'Control Sheet'!$B$6)</f>
        <v>Nagpur MH 440022 IN</v>
      </c>
      <c r="C4" s="976"/>
      <c r="D4" s="976"/>
      <c r="E4" s="976"/>
      <c r="F4" s="976"/>
      <c r="G4" s="976"/>
      <c r="H4" s="976"/>
      <c r="I4" s="976"/>
      <c r="J4" s="976"/>
      <c r="K4" s="976"/>
      <c r="L4" s="976"/>
      <c r="M4" s="976"/>
    </row>
    <row r="5" spans="2:17">
      <c r="B5" s="605"/>
      <c r="C5" s="605"/>
      <c r="D5" s="605"/>
      <c r="E5" s="605"/>
      <c r="F5" s="605"/>
      <c r="G5" s="605"/>
      <c r="H5" s="605"/>
      <c r="I5" s="605"/>
      <c r="J5" s="605"/>
      <c r="K5" s="605"/>
      <c r="L5" s="605"/>
      <c r="M5" s="605"/>
    </row>
    <row r="6" spans="2:17">
      <c r="B6" s="976" t="str">
        <f>IF('Control Sheet'!$C$7&gt;0,CONCATENATE("NOTES ANNEXED TO AND FORMING PART OF ACOUNTS FOR THE YEAR ENDING"," ",TEXT('Control Sheet'!$C$7,"DD-MMM-YYYY")),"NOTES ANNEXED TO AND FORMING PART OF ACOUNTS FOR THE YEAR ENDING &lt;Date&gt;")</f>
        <v>NOTES ANNEXED TO AND FORMING PART OF ACOUNTS FOR THE YEAR ENDING 31-Mar-2023</v>
      </c>
      <c r="C6" s="976"/>
      <c r="D6" s="976"/>
      <c r="E6" s="976"/>
      <c r="F6" s="976"/>
      <c r="G6" s="976"/>
      <c r="H6" s="976"/>
      <c r="I6" s="976"/>
      <c r="J6" s="976"/>
      <c r="K6" s="976"/>
      <c r="L6" s="976"/>
      <c r="M6" s="976"/>
    </row>
    <row r="7" spans="2:17">
      <c r="B7" s="605"/>
      <c r="C7" s="605"/>
      <c r="D7" s="605"/>
      <c r="E7" s="605"/>
      <c r="F7" s="605"/>
      <c r="G7" s="605"/>
      <c r="H7" s="605"/>
      <c r="I7" s="605"/>
      <c r="J7" s="605"/>
      <c r="K7" s="605"/>
      <c r="L7" s="605"/>
      <c r="M7" s="605"/>
    </row>
    <row r="8" spans="2:17" ht="15" thickBot="1">
      <c r="B8" s="301" t="s">
        <v>500</v>
      </c>
      <c r="C8" s="614"/>
      <c r="D8" s="614"/>
      <c r="E8" s="614"/>
      <c r="F8" s="614"/>
      <c r="G8" s="614"/>
      <c r="H8" s="614"/>
      <c r="I8" s="614"/>
      <c r="J8" s="614"/>
      <c r="K8" s="614"/>
      <c r="L8" s="614"/>
      <c r="M8" s="915" t="str">
        <f>IF('Control Sheet'!$D$18="Specify in Cell E16",'Support Sheet'!$G$10,'Control Sheet'!$C$18)</f>
        <v>In Rs. hundreds</v>
      </c>
    </row>
    <row r="9" spans="2:17" ht="30" customHeight="1">
      <c r="B9" s="1031" t="s">
        <v>134</v>
      </c>
      <c r="C9" s="1029" t="s">
        <v>136</v>
      </c>
      <c r="D9" s="1026" t="s">
        <v>137</v>
      </c>
      <c r="E9" s="1027"/>
      <c r="F9" s="1027"/>
      <c r="G9" s="1028"/>
      <c r="H9" s="1026" t="s">
        <v>135</v>
      </c>
      <c r="I9" s="1027"/>
      <c r="J9" s="1027"/>
      <c r="K9" s="1028"/>
      <c r="L9" s="1026" t="s">
        <v>138</v>
      </c>
      <c r="M9" s="1028"/>
    </row>
    <row r="10" spans="2:17" ht="30" customHeight="1">
      <c r="B10" s="1032"/>
      <c r="C10" s="1030"/>
      <c r="D10" s="679" t="s">
        <v>139</v>
      </c>
      <c r="E10" s="680" t="s">
        <v>140</v>
      </c>
      <c r="F10" s="680" t="s">
        <v>141</v>
      </c>
      <c r="G10" s="681" t="s">
        <v>142</v>
      </c>
      <c r="H10" s="679" t="s">
        <v>139</v>
      </c>
      <c r="I10" s="680" t="s">
        <v>143</v>
      </c>
      <c r="J10" s="680" t="s">
        <v>144</v>
      </c>
      <c r="K10" s="681" t="s">
        <v>142</v>
      </c>
      <c r="L10" s="679" t="s">
        <v>145</v>
      </c>
      <c r="M10" s="681" t="s">
        <v>146</v>
      </c>
    </row>
    <row r="11" spans="2:17" ht="30" customHeight="1">
      <c r="B11" s="690" t="str">
        <f>'Support Sheet'!C2</f>
        <v>(i)</v>
      </c>
      <c r="C11" s="879" t="s">
        <v>121</v>
      </c>
      <c r="D11" s="682">
        <f>(GETPIVOTDATA("Sum of  Balance as on 1st day of the year",'Pivot Sheet'!$A$6:$H$15,"Major Head",'PPE &amp; Intangibles '!C11)+GETPIVOTDATA("Sum of Cumulative Depreciation as on the 1st day of year",'Pivot Sheet'!$A$6:$H$15,"Major Head",'PPE &amp; Intangibles '!C11))/'Support Sheet'!$G$10</f>
        <v>0</v>
      </c>
      <c r="E11" s="683">
        <f>(GETPIVOTDATA("Sum of Addition during the year",'Pivot Sheet'!$A$6:$H$15,"Major Head",'PPE &amp; Intangibles '!C11))/'Support Sheet'!$G$10</f>
        <v>0</v>
      </c>
      <c r="F11" s="683">
        <f>(GETPIVOTDATA("Cost of Asset sold during the year",'Pivot Sheet'!$A$6:$I$15,"Major Head",'PPE &amp; Intangibles '!C11))/'Support Sheet'!$G$10</f>
        <v>0</v>
      </c>
      <c r="G11" s="684">
        <f>D11+E11-F11</f>
        <v>0</v>
      </c>
      <c r="H11" s="682">
        <f>(GETPIVOTDATA("Sum of Cumulative Depreciation as on the 1st day of year",'Pivot Sheet'!$A$6:$H$15,"Major Head",'PPE &amp; Intangibles '!C11))/'Support Sheet'!$G$10</f>
        <v>0</v>
      </c>
      <c r="I11" s="683">
        <f>(GETPIVOTDATA("Sum of Depreciation  for the Year",'Pivot Sheet'!$A$6:$H$15,"Major Head",'PPE &amp; Intangibles '!C11))/'Support Sheet'!$G$10</f>
        <v>0</v>
      </c>
      <c r="J11" s="683">
        <f>(GETPIVOTDATA("Sum of Total Depreciation on sold out Asset",'Pivot Sheet'!$A$6:$H$15,"Major Head",'PPE &amp; Intangibles '!C11))/'Support Sheet'!$G$10</f>
        <v>0</v>
      </c>
      <c r="K11" s="684">
        <f>H11+I11-J11</f>
        <v>0</v>
      </c>
      <c r="L11" s="682">
        <f>G11-K11</f>
        <v>0</v>
      </c>
      <c r="M11" s="684">
        <f>D11-H11</f>
        <v>0</v>
      </c>
      <c r="Q11" s="302" t="s">
        <v>272</v>
      </c>
    </row>
    <row r="12" spans="2:17" ht="30" customHeight="1">
      <c r="B12" s="690" t="str">
        <f>'Support Sheet'!C3</f>
        <v>(ii)</v>
      </c>
      <c r="C12" s="879" t="s">
        <v>122</v>
      </c>
      <c r="D12" s="682">
        <f>(GETPIVOTDATA("Sum of  Balance as on 1st day of the year",'Pivot Sheet'!$A$6:$H$15,"Major Head",'PPE &amp; Intangibles '!C12)+GETPIVOTDATA("Sum of Cumulative Depreciation as on the 1st day of year",'Pivot Sheet'!$A$6:$H$15,"Major Head",'PPE &amp; Intangibles '!C12))/'Support Sheet'!$G$10</f>
        <v>0</v>
      </c>
      <c r="E12" s="683">
        <f>(GETPIVOTDATA("Sum of Addition during the year",'Pivot Sheet'!$A$6:$H$15,"Major Head",'PPE &amp; Intangibles '!C12))/'Support Sheet'!$G$10</f>
        <v>0</v>
      </c>
      <c r="F12" s="683">
        <f>(GETPIVOTDATA("Cost of Asset sold during the year",'Pivot Sheet'!$A$6:$I$15,"Major Head",'PPE &amp; Intangibles '!C12))/'Support Sheet'!$G$10</f>
        <v>0</v>
      </c>
      <c r="G12" s="684">
        <f t="shared" ref="G12:G17" si="0">D12+E12-F12</f>
        <v>0</v>
      </c>
      <c r="H12" s="682">
        <f>(GETPIVOTDATA("Sum of Cumulative Depreciation as on the 1st day of year",'Pivot Sheet'!$A$6:$H$15,"Major Head",'PPE &amp; Intangibles '!C12))/'Support Sheet'!$G$10</f>
        <v>0</v>
      </c>
      <c r="I12" s="683">
        <f>(GETPIVOTDATA("Sum of Depreciation  for the Year",'Pivot Sheet'!$A$6:$H$15,"Major Head",'PPE &amp; Intangibles '!C12))/'Support Sheet'!$G$10</f>
        <v>0</v>
      </c>
      <c r="J12" s="683">
        <f>(GETPIVOTDATA("Sum of Total Depreciation on sold out Asset",'Pivot Sheet'!$A$6:$H$15,"Major Head",'PPE &amp; Intangibles '!C12))/'Support Sheet'!$G$10</f>
        <v>0</v>
      </c>
      <c r="K12" s="684">
        <f t="shared" ref="K12:K17" si="1">H12+I12-J12</f>
        <v>0</v>
      </c>
      <c r="L12" s="682">
        <f t="shared" ref="L12:L17" si="2">G12-K12</f>
        <v>0</v>
      </c>
      <c r="M12" s="684">
        <f t="shared" ref="M12:M17" si="3">D12-H12</f>
        <v>0</v>
      </c>
      <c r="Q12" s="299" t="s">
        <v>426</v>
      </c>
    </row>
    <row r="13" spans="2:17" ht="30" customHeight="1">
      <c r="B13" s="690" t="str">
        <f>'Support Sheet'!C4</f>
        <v>(iii)</v>
      </c>
      <c r="C13" s="879" t="s">
        <v>123</v>
      </c>
      <c r="D13" s="682">
        <f>(GETPIVOTDATA("Sum of  Balance as on 1st day of the year",'Pivot Sheet'!$A$6:$H$15,"Major Head",'PPE &amp; Intangibles '!C13)+GETPIVOTDATA("Sum of Cumulative Depreciation as on the 1st day of year",'Pivot Sheet'!$A$6:$H$15,"Major Head",'PPE &amp; Intangibles '!C13))/'Support Sheet'!$G$10</f>
        <v>0</v>
      </c>
      <c r="E13" s="683">
        <f>(GETPIVOTDATA("Sum of Addition during the year",'Pivot Sheet'!$A$6:$H$15,"Major Head",'PPE &amp; Intangibles '!C13))/'Support Sheet'!$G$10</f>
        <v>0</v>
      </c>
      <c r="F13" s="683">
        <f>(GETPIVOTDATA("Cost of Asset sold during the year",'Pivot Sheet'!$A$6:$I$15,"Major Head",'PPE &amp; Intangibles '!C13))/'Support Sheet'!$G$10</f>
        <v>0</v>
      </c>
      <c r="G13" s="684">
        <f t="shared" si="0"/>
        <v>0</v>
      </c>
      <c r="H13" s="682">
        <f>(GETPIVOTDATA("Sum of Cumulative Depreciation as on the 1st day of year",'Pivot Sheet'!$A$6:$H$15,"Major Head",'PPE &amp; Intangibles '!C13))/'Support Sheet'!$G$10</f>
        <v>0</v>
      </c>
      <c r="I13" s="683">
        <f>(GETPIVOTDATA("Sum of Depreciation  for the Year",'Pivot Sheet'!$A$6:$H$15,"Major Head",'PPE &amp; Intangibles '!C13))/'Support Sheet'!$G$10</f>
        <v>0</v>
      </c>
      <c r="J13" s="683">
        <f>(GETPIVOTDATA("Sum of Total Depreciation on sold out Asset",'Pivot Sheet'!$A$6:$H$15,"Major Head",'PPE &amp; Intangibles '!C13))/'Support Sheet'!$G$10</f>
        <v>0</v>
      </c>
      <c r="K13" s="684">
        <f t="shared" si="1"/>
        <v>0</v>
      </c>
      <c r="L13" s="682">
        <f t="shared" si="2"/>
        <v>0</v>
      </c>
      <c r="M13" s="684">
        <f t="shared" si="3"/>
        <v>0</v>
      </c>
      <c r="Q13" s="299" t="s">
        <v>427</v>
      </c>
    </row>
    <row r="14" spans="2:17" ht="30" customHeight="1">
      <c r="B14" s="690" t="str">
        <f>'Support Sheet'!C5</f>
        <v>(iv)</v>
      </c>
      <c r="C14" s="879" t="s">
        <v>124</v>
      </c>
      <c r="D14" s="682">
        <f>(GETPIVOTDATA("Sum of  Balance as on 1st day of the year",'Pivot Sheet'!$A$6:$H$15,"Major Head",'PPE &amp; Intangibles '!C14)+GETPIVOTDATA("Sum of Cumulative Depreciation as on the 1st day of year",'Pivot Sheet'!$A$6:$H$15,"Major Head",'PPE &amp; Intangibles '!C14))/'Support Sheet'!$G$10</f>
        <v>0</v>
      </c>
      <c r="E14" s="683">
        <f>(GETPIVOTDATA("Sum of Addition during the year",'Pivot Sheet'!$A$6:$H$15,"Major Head",'PPE &amp; Intangibles '!C14))/'Support Sheet'!$G$10</f>
        <v>0</v>
      </c>
      <c r="F14" s="683">
        <f>(GETPIVOTDATA("Cost of Asset sold during the year",'Pivot Sheet'!$A$6:$I$15,"Major Head",'PPE &amp; Intangibles '!C14))/'Support Sheet'!$G$10</f>
        <v>0</v>
      </c>
      <c r="G14" s="684">
        <f t="shared" si="0"/>
        <v>0</v>
      </c>
      <c r="H14" s="682">
        <f>(GETPIVOTDATA("Sum of Cumulative Depreciation as on the 1st day of year",'Pivot Sheet'!$A$6:$H$15,"Major Head",'PPE &amp; Intangibles '!C14))/'Support Sheet'!$G$10</f>
        <v>0</v>
      </c>
      <c r="I14" s="683">
        <f>(GETPIVOTDATA("Sum of Depreciation  for the Year",'Pivot Sheet'!$A$6:$H$15,"Major Head",'PPE &amp; Intangibles '!C14))/'Support Sheet'!$G$10</f>
        <v>0</v>
      </c>
      <c r="J14" s="683">
        <f>(GETPIVOTDATA("Sum of Total Depreciation on sold out Asset",'Pivot Sheet'!$A$6:$H$15,"Major Head",'PPE &amp; Intangibles '!C14))/'Support Sheet'!$G$10</f>
        <v>0</v>
      </c>
      <c r="K14" s="684">
        <f t="shared" si="1"/>
        <v>0</v>
      </c>
      <c r="L14" s="682">
        <f t="shared" si="2"/>
        <v>0</v>
      </c>
      <c r="M14" s="684">
        <f t="shared" si="3"/>
        <v>0</v>
      </c>
      <c r="Q14" s="299" t="s">
        <v>428</v>
      </c>
    </row>
    <row r="15" spans="2:17" ht="30" customHeight="1">
      <c r="B15" s="690" t="str">
        <f>'Support Sheet'!C6</f>
        <v>(v)</v>
      </c>
      <c r="C15" s="879" t="s">
        <v>125</v>
      </c>
      <c r="D15" s="682">
        <f>(GETPIVOTDATA("Sum of  Balance as on 1st day of the year",'Pivot Sheet'!$A$6:$H$15,"Major Head",'PPE &amp; Intangibles '!C15)+GETPIVOTDATA("Sum of Cumulative Depreciation as on the 1st day of year",'Pivot Sheet'!$A$6:$H$15,"Major Head",'PPE &amp; Intangibles '!C15))/'Support Sheet'!$G$10</f>
        <v>0</v>
      </c>
      <c r="E15" s="683">
        <f>(GETPIVOTDATA("Sum of Addition during the year",'Pivot Sheet'!$A$6:$H$15,"Major Head",'PPE &amp; Intangibles '!C15))/'Support Sheet'!$G$10</f>
        <v>0</v>
      </c>
      <c r="F15" s="683">
        <f>(GETPIVOTDATA("Cost of Asset sold during the year",'Pivot Sheet'!$A$6:$I$15,"Major Head",'PPE &amp; Intangibles '!C15))/'Support Sheet'!$G$10</f>
        <v>0</v>
      </c>
      <c r="G15" s="684">
        <f t="shared" si="0"/>
        <v>0</v>
      </c>
      <c r="H15" s="682">
        <f>(GETPIVOTDATA("Sum of Cumulative Depreciation as on the 1st day of year",'Pivot Sheet'!$A$6:$H$15,"Major Head",'PPE &amp; Intangibles '!C15))/'Support Sheet'!$G$10</f>
        <v>0</v>
      </c>
      <c r="I15" s="683">
        <f>(GETPIVOTDATA("Sum of Depreciation  for the Year",'Pivot Sheet'!$A$6:$H$15,"Major Head",'PPE &amp; Intangibles '!C15))/'Support Sheet'!$G$10</f>
        <v>0</v>
      </c>
      <c r="J15" s="683">
        <f>(GETPIVOTDATA("Sum of Total Depreciation on sold out Asset",'Pivot Sheet'!$A$6:$H$15,"Major Head",'PPE &amp; Intangibles '!C15))/'Support Sheet'!$G$10</f>
        <v>0</v>
      </c>
      <c r="K15" s="684">
        <f t="shared" si="1"/>
        <v>0</v>
      </c>
      <c r="L15" s="682">
        <f t="shared" si="2"/>
        <v>0</v>
      </c>
      <c r="M15" s="684">
        <f t="shared" si="3"/>
        <v>0</v>
      </c>
      <c r="Q15" s="303" t="s">
        <v>429</v>
      </c>
    </row>
    <row r="16" spans="2:17" ht="30" customHeight="1">
      <c r="B16" s="690" t="str">
        <f>'Support Sheet'!C7</f>
        <v>(vi)</v>
      </c>
      <c r="C16" s="879" t="s">
        <v>126</v>
      </c>
      <c r="D16" s="682">
        <f>(GETPIVOTDATA("Sum of  Balance as on 1st day of the year",'Pivot Sheet'!$A$6:$H$15,"Major Head",'PPE &amp; Intangibles '!C16)+GETPIVOTDATA("Sum of Cumulative Depreciation as on the 1st day of year",'Pivot Sheet'!$A$6:$H$15,"Major Head",'PPE &amp; Intangibles '!C16))/'Support Sheet'!$G$10</f>
        <v>0</v>
      </c>
      <c r="E16" s="683">
        <f>(GETPIVOTDATA("Sum of Addition during the year",'Pivot Sheet'!$A$6:$H$15,"Major Head",'PPE &amp; Intangibles '!C16))/'Support Sheet'!$G$10</f>
        <v>0</v>
      </c>
      <c r="F16" s="683">
        <f>(GETPIVOTDATA("Cost of Asset sold during the year",'Pivot Sheet'!$A$6:$I$15,"Major Head",'PPE &amp; Intangibles '!C16))/'Support Sheet'!$G$10</f>
        <v>0</v>
      </c>
      <c r="G16" s="684">
        <f t="shared" si="0"/>
        <v>0</v>
      </c>
      <c r="H16" s="682">
        <f>(GETPIVOTDATA("Sum of Cumulative Depreciation as on the 1st day of year",'Pivot Sheet'!$A$6:$H$15,"Major Head",'PPE &amp; Intangibles '!C16))/'Support Sheet'!$G$10</f>
        <v>0</v>
      </c>
      <c r="I16" s="683">
        <f>(GETPIVOTDATA("Sum of Depreciation  for the Year",'Pivot Sheet'!$A$6:$H$15,"Major Head",'PPE &amp; Intangibles '!C16))/'Support Sheet'!$G$10</f>
        <v>0</v>
      </c>
      <c r="J16" s="683">
        <f>(GETPIVOTDATA("Sum of Total Depreciation on sold out Asset",'Pivot Sheet'!$A$6:$H$15,"Major Head",'PPE &amp; Intangibles '!C16))/'Support Sheet'!$G$10</f>
        <v>0</v>
      </c>
      <c r="K16" s="684">
        <f t="shared" si="1"/>
        <v>0</v>
      </c>
      <c r="L16" s="682">
        <f t="shared" si="2"/>
        <v>0</v>
      </c>
      <c r="M16" s="684">
        <f t="shared" si="3"/>
        <v>0</v>
      </c>
      <c r="Q16" s="303" t="s">
        <v>430</v>
      </c>
    </row>
    <row r="17" spans="2:17" ht="30" customHeight="1">
      <c r="B17" s="690" t="str">
        <f>'Support Sheet'!C8</f>
        <v>(vii)</v>
      </c>
      <c r="C17" s="879" t="s">
        <v>127</v>
      </c>
      <c r="D17" s="682">
        <f>(GETPIVOTDATA("Sum of  Balance as on 1st day of the year",'Pivot Sheet'!$A$6:$H$15,"Major Head",'PPE &amp; Intangibles '!C17)+GETPIVOTDATA("Sum of Cumulative Depreciation as on the 1st day of year",'Pivot Sheet'!$A$6:$H$15,"Major Head",'PPE &amp; Intangibles '!C17))/'Support Sheet'!$G$10</f>
        <v>0</v>
      </c>
      <c r="E17" s="683">
        <f>(GETPIVOTDATA("Sum of Addition during the year",'Pivot Sheet'!$A$6:$H$15,"Major Head",'PPE &amp; Intangibles '!C17))/'Support Sheet'!$G$10</f>
        <v>0</v>
      </c>
      <c r="F17" s="683">
        <f>(GETPIVOTDATA("Cost of Asset sold during the year",'Pivot Sheet'!$A$6:$I$15,"Major Head",'PPE &amp; Intangibles '!C17))/'Support Sheet'!$G$10</f>
        <v>0</v>
      </c>
      <c r="G17" s="684">
        <f t="shared" si="0"/>
        <v>0</v>
      </c>
      <c r="H17" s="682">
        <f>(GETPIVOTDATA("Sum of Cumulative Depreciation as on the 1st day of year",'Pivot Sheet'!$A$6:$H$15,"Major Head",'PPE &amp; Intangibles '!C17))/'Support Sheet'!$G$10</f>
        <v>0</v>
      </c>
      <c r="I17" s="683">
        <f>(GETPIVOTDATA("Sum of Depreciation  for the Year",'Pivot Sheet'!$A$6:$H$15,"Major Head",'PPE &amp; Intangibles '!C17))/'Support Sheet'!$G$10</f>
        <v>0</v>
      </c>
      <c r="J17" s="683">
        <f>(GETPIVOTDATA("Sum of Total Depreciation on sold out Asset",'Pivot Sheet'!$A$6:$H$15,"Major Head",'PPE &amp; Intangibles '!C17))/'Support Sheet'!$G$10</f>
        <v>0</v>
      </c>
      <c r="K17" s="684">
        <f t="shared" si="1"/>
        <v>0</v>
      </c>
      <c r="L17" s="682">
        <f t="shared" si="2"/>
        <v>0</v>
      </c>
      <c r="M17" s="684">
        <f t="shared" si="3"/>
        <v>0</v>
      </c>
      <c r="Q17" s="303" t="s">
        <v>431</v>
      </c>
    </row>
    <row r="18" spans="2:17" ht="30" customHeight="1" thickBot="1">
      <c r="B18" s="1024" t="s">
        <v>102</v>
      </c>
      <c r="C18" s="1025"/>
      <c r="D18" s="685">
        <f t="shared" ref="D18:M18" si="4">SUM(D11:D17)</f>
        <v>0</v>
      </c>
      <c r="E18" s="686">
        <f t="shared" si="4"/>
        <v>0</v>
      </c>
      <c r="F18" s="686">
        <f t="shared" si="4"/>
        <v>0</v>
      </c>
      <c r="G18" s="687">
        <f t="shared" si="4"/>
        <v>0</v>
      </c>
      <c r="H18" s="685">
        <f t="shared" si="4"/>
        <v>0</v>
      </c>
      <c r="I18" s="686">
        <f t="shared" si="4"/>
        <v>0</v>
      </c>
      <c r="J18" s="686">
        <f t="shared" si="4"/>
        <v>0</v>
      </c>
      <c r="K18" s="687">
        <f t="shared" si="4"/>
        <v>0</v>
      </c>
      <c r="L18" s="685">
        <f t="shared" si="4"/>
        <v>0</v>
      </c>
      <c r="M18" s="687">
        <f t="shared" si="4"/>
        <v>0</v>
      </c>
    </row>
    <row r="19" spans="2:17" ht="15" customHeight="1">
      <c r="B19" s="688"/>
      <c r="C19" s="688"/>
      <c r="D19" s="306"/>
      <c r="E19" s="306"/>
      <c r="F19" s="306"/>
      <c r="G19" s="306"/>
      <c r="H19" s="306"/>
      <c r="I19" s="306"/>
      <c r="J19" s="306"/>
      <c r="K19" s="306"/>
      <c r="L19" s="306"/>
      <c r="M19" s="306"/>
    </row>
    <row r="20" spans="2:17" ht="15" customHeight="1">
      <c r="B20" s="688"/>
      <c r="C20" s="688"/>
      <c r="D20" s="306"/>
      <c r="E20" s="306"/>
      <c r="F20" s="306"/>
      <c r="G20" s="306"/>
      <c r="H20" s="306"/>
      <c r="I20" s="306"/>
      <c r="J20" s="306"/>
      <c r="K20" s="306"/>
      <c r="L20" s="306"/>
      <c r="M20" s="306"/>
    </row>
    <row r="21" spans="2:17" ht="15" customHeight="1">
      <c r="B21" s="688"/>
      <c r="C21" s="688"/>
      <c r="D21" s="306"/>
      <c r="E21" s="306"/>
      <c r="F21" s="306"/>
      <c r="G21" s="306"/>
      <c r="H21" s="306"/>
      <c r="I21" s="306"/>
      <c r="J21" s="306"/>
      <c r="K21" s="306"/>
      <c r="L21" s="306"/>
      <c r="M21" s="306"/>
    </row>
    <row r="22" spans="2:17" ht="15" customHeight="1">
      <c r="B22" s="688"/>
      <c r="C22" s="688"/>
      <c r="D22" s="306"/>
      <c r="E22" s="306"/>
      <c r="F22" s="306"/>
      <c r="G22" s="306"/>
      <c r="H22" s="306"/>
      <c r="I22" s="306"/>
      <c r="J22" s="306"/>
      <c r="K22" s="306"/>
      <c r="L22" s="306"/>
      <c r="M22" s="306"/>
    </row>
    <row r="23" spans="2:17" ht="15" customHeight="1">
      <c r="B23" s="226"/>
      <c r="C23" s="104"/>
      <c r="D23" s="614"/>
      <c r="E23" s="689"/>
      <c r="F23" s="226"/>
      <c r="G23" s="689"/>
      <c r="H23" s="689"/>
      <c r="I23" s="689"/>
      <c r="J23" s="689"/>
      <c r="K23" s="689"/>
      <c r="L23" s="689"/>
      <c r="M23" s="689"/>
    </row>
    <row r="24" spans="2:17" ht="30" customHeight="1" thickBot="1">
      <c r="B24" s="301" t="s">
        <v>499</v>
      </c>
      <c r="C24" s="614"/>
      <c r="D24" s="614"/>
      <c r="E24" s="614"/>
      <c r="F24" s="614"/>
      <c r="G24" s="614"/>
      <c r="H24" s="614"/>
      <c r="I24" s="614"/>
      <c r="J24" s="614"/>
      <c r="K24" s="614"/>
      <c r="L24" s="614"/>
      <c r="M24" s="915" t="str">
        <f>IF('Control Sheet'!$D$18="Specify in Cell E16",'Support Sheet'!$G$10,'Control Sheet'!$C$18)</f>
        <v>In Rs. hundreds</v>
      </c>
    </row>
    <row r="25" spans="2:17" ht="30" customHeight="1">
      <c r="B25" s="1031" t="s">
        <v>134</v>
      </c>
      <c r="C25" s="1029" t="s">
        <v>136</v>
      </c>
      <c r="D25" s="1026" t="s">
        <v>137</v>
      </c>
      <c r="E25" s="1027"/>
      <c r="F25" s="1027"/>
      <c r="G25" s="1028"/>
      <c r="H25" s="1026" t="s">
        <v>135</v>
      </c>
      <c r="I25" s="1027"/>
      <c r="J25" s="1027"/>
      <c r="K25" s="1028"/>
      <c r="L25" s="1026" t="s">
        <v>138</v>
      </c>
      <c r="M25" s="1028"/>
    </row>
    <row r="26" spans="2:17" ht="30" customHeight="1">
      <c r="B26" s="1032"/>
      <c r="C26" s="1030"/>
      <c r="D26" s="679" t="s">
        <v>139</v>
      </c>
      <c r="E26" s="680" t="s">
        <v>140</v>
      </c>
      <c r="F26" s="680" t="s">
        <v>141</v>
      </c>
      <c r="G26" s="681" t="s">
        <v>142</v>
      </c>
      <c r="H26" s="679" t="s">
        <v>139</v>
      </c>
      <c r="I26" s="680" t="s">
        <v>143</v>
      </c>
      <c r="J26" s="680" t="s">
        <v>144</v>
      </c>
      <c r="K26" s="681" t="s">
        <v>142</v>
      </c>
      <c r="L26" s="679" t="s">
        <v>145</v>
      </c>
      <c r="M26" s="681" t="s">
        <v>146</v>
      </c>
    </row>
    <row r="27" spans="2:17" ht="30" customHeight="1">
      <c r="B27" s="690" t="str">
        <f>'Support Sheet'!C2</f>
        <v>(i)</v>
      </c>
      <c r="C27" s="879" t="s">
        <v>274</v>
      </c>
      <c r="D27" s="682">
        <f>(GETPIVOTDATA("Sum of  Balance as on 1st day of the year",'Pivot Sheet'!$A$19:$I$30,"Major Head",'PPE &amp; Intangibles '!C27)+GETPIVOTDATA("Sum of Cumulative Depreciation as on the 1st day of year",'Pivot Sheet'!$A$19:$I$30,"Major Head",'PPE &amp; Intangibles '!C27))/'Support Sheet'!$G$10</f>
        <v>0</v>
      </c>
      <c r="E27" s="683">
        <f>(GETPIVOTDATA("Sum of Addition during the year",'Pivot Sheet'!$A$19:$I$30,"Major Head",'PPE &amp; Intangibles '!C27))/'Support Sheet'!$G$10</f>
        <v>0</v>
      </c>
      <c r="F27" s="683">
        <f>(GETPIVOTDATA("Cost of Asset sold during the year",'Pivot Sheet'!$A$19:$I$30,"Major Head",'PPE &amp; Intangibles '!C27))/'Support Sheet'!$G$10</f>
        <v>0</v>
      </c>
      <c r="G27" s="684">
        <f>D27+E27-F27</f>
        <v>0</v>
      </c>
      <c r="H27" s="682">
        <f>(GETPIVOTDATA("Sum of Cumulative Depreciation as on the 1st day of year",'Pivot Sheet'!$A$19:$I$30,"Major Head",'PPE &amp; Intangibles '!C27))/'Support Sheet'!$G$10</f>
        <v>0</v>
      </c>
      <c r="I27" s="683">
        <f>(GETPIVOTDATA("Sum of Depreciation  for the Year",'Pivot Sheet'!$A$19:$I$30,"Major Head",'PPE &amp; Intangibles '!C27))/'Support Sheet'!$G$10</f>
        <v>0</v>
      </c>
      <c r="J27" s="683">
        <f>(GETPIVOTDATA("Sum of Total Depreciation on sold out Asset",'Pivot Sheet'!$A$19:$I$30,"Major Head",'PPE &amp; Intangibles '!C27))/'Support Sheet'!$G$10</f>
        <v>0</v>
      </c>
      <c r="K27" s="684">
        <f>H27+I27-J27</f>
        <v>0</v>
      </c>
      <c r="L27" s="682">
        <f>G27-K27</f>
        <v>0</v>
      </c>
      <c r="M27" s="684">
        <f>D27-H27</f>
        <v>0</v>
      </c>
    </row>
    <row r="28" spans="2:17" ht="30" customHeight="1">
      <c r="B28" s="690" t="str">
        <f>'Support Sheet'!C3</f>
        <v>(ii)</v>
      </c>
      <c r="C28" s="879" t="s">
        <v>275</v>
      </c>
      <c r="D28" s="682">
        <f>(GETPIVOTDATA("Sum of  Balance as on 1st day of the year",'Pivot Sheet'!$A$19:$I$30,"Major Head",'PPE &amp; Intangibles '!C28)+GETPIVOTDATA("Sum of Cumulative Depreciation as on the 1st day of year",'Pivot Sheet'!$A$19:$I$30,"Major Head",'PPE &amp; Intangibles '!C28))/'Support Sheet'!$G$10</f>
        <v>0</v>
      </c>
      <c r="E28" s="683">
        <f>(GETPIVOTDATA("Sum of Addition during the year",'Pivot Sheet'!$A$19:$I$30,"Major Head",'PPE &amp; Intangibles '!C28))/'Support Sheet'!$G$10</f>
        <v>0</v>
      </c>
      <c r="F28" s="683">
        <f>(GETPIVOTDATA("Cost of Asset sold during the year",'Pivot Sheet'!$A$19:$I$30,"Major Head",'PPE &amp; Intangibles '!C28))/'Support Sheet'!$G$10</f>
        <v>0</v>
      </c>
      <c r="G28" s="684">
        <f t="shared" ref="G28:G35" si="5">D28+E28-F28</f>
        <v>0</v>
      </c>
      <c r="H28" s="682">
        <f>(GETPIVOTDATA("Sum of Cumulative Depreciation as on the 1st day of year",'Pivot Sheet'!$A$19:$I$30,"Major Head",'PPE &amp; Intangibles '!C28))/'Support Sheet'!$G$10</f>
        <v>0</v>
      </c>
      <c r="I28" s="683">
        <f>(GETPIVOTDATA("Sum of Depreciation  for the Year",'Pivot Sheet'!$A$19:$I$30,"Major Head",'PPE &amp; Intangibles '!C28))/'Support Sheet'!$G$10</f>
        <v>0</v>
      </c>
      <c r="J28" s="683">
        <f>(GETPIVOTDATA("Sum of Total Depreciation on sold out Asset",'Pivot Sheet'!$A$19:$I$30,"Major Head",'PPE &amp; Intangibles '!C28))/'Support Sheet'!$G$10</f>
        <v>0</v>
      </c>
      <c r="K28" s="684">
        <f t="shared" ref="K28:K35" si="6">H28+I28-J28</f>
        <v>0</v>
      </c>
      <c r="L28" s="682">
        <f t="shared" ref="L28:L35" si="7">G28-K28</f>
        <v>0</v>
      </c>
      <c r="M28" s="684">
        <f t="shared" ref="M28:M35" si="8">D28-H28</f>
        <v>0</v>
      </c>
    </row>
    <row r="29" spans="2:17" ht="30" customHeight="1">
      <c r="B29" s="690" t="str">
        <f>'Support Sheet'!C4</f>
        <v>(iii)</v>
      </c>
      <c r="C29" s="879" t="s">
        <v>276</v>
      </c>
      <c r="D29" s="682">
        <f>(GETPIVOTDATA("Sum of  Balance as on 1st day of the year",'Pivot Sheet'!$A$19:$I$30,"Major Head",'PPE &amp; Intangibles '!C29)+GETPIVOTDATA("Sum of Cumulative Depreciation as on the 1st day of year",'Pivot Sheet'!$A$19:$I$30,"Major Head",'PPE &amp; Intangibles '!C29))/'Support Sheet'!$G$10</f>
        <v>0</v>
      </c>
      <c r="E29" s="683">
        <f>(GETPIVOTDATA("Sum of Addition during the year",'Pivot Sheet'!$A$19:$I$30,"Major Head",'PPE &amp; Intangibles '!C29))/'Support Sheet'!$G$10</f>
        <v>0</v>
      </c>
      <c r="F29" s="683">
        <f>(GETPIVOTDATA("Cost of Asset sold during the year",'Pivot Sheet'!$A$19:$I$30,"Major Head",'PPE &amp; Intangibles '!C29))/'Support Sheet'!$G$10</f>
        <v>0</v>
      </c>
      <c r="G29" s="684">
        <f t="shared" si="5"/>
        <v>0</v>
      </c>
      <c r="H29" s="682">
        <f>(GETPIVOTDATA("Sum of Cumulative Depreciation as on the 1st day of year",'Pivot Sheet'!$A$19:$I$30,"Major Head",'PPE &amp; Intangibles '!C29))/'Support Sheet'!$G$10</f>
        <v>0</v>
      </c>
      <c r="I29" s="683">
        <f>(GETPIVOTDATA("Sum of Depreciation  for the Year",'Pivot Sheet'!$A$19:$I$30,"Major Head",'PPE &amp; Intangibles '!C29))/'Support Sheet'!$G$10</f>
        <v>0</v>
      </c>
      <c r="J29" s="683">
        <f>(GETPIVOTDATA("Sum of Total Depreciation on sold out Asset",'Pivot Sheet'!$A$19:$I$30,"Major Head",'PPE &amp; Intangibles '!C29))/'Support Sheet'!$G$10</f>
        <v>0</v>
      </c>
      <c r="K29" s="684">
        <f t="shared" si="6"/>
        <v>0</v>
      </c>
      <c r="L29" s="682">
        <f t="shared" si="7"/>
        <v>0</v>
      </c>
      <c r="M29" s="684">
        <f t="shared" si="8"/>
        <v>0</v>
      </c>
      <c r="Q29" s="298" t="s">
        <v>285</v>
      </c>
    </row>
    <row r="30" spans="2:17" ht="30" customHeight="1">
      <c r="B30" s="690" t="str">
        <f>'Support Sheet'!C5</f>
        <v>(iv)</v>
      </c>
      <c r="C30" s="879" t="s">
        <v>277</v>
      </c>
      <c r="D30" s="682">
        <f>(GETPIVOTDATA("Sum of  Balance as on 1st day of the year",'Pivot Sheet'!$A$19:$I$30,"Major Head",'PPE &amp; Intangibles '!C30)+GETPIVOTDATA("Sum of Cumulative Depreciation as on the 1st day of year",'Pivot Sheet'!$A$19:$I$30,"Major Head",'PPE &amp; Intangibles '!C30))/'Support Sheet'!$G$10</f>
        <v>0</v>
      </c>
      <c r="E30" s="683">
        <f>(GETPIVOTDATA("Sum of Addition during the year",'Pivot Sheet'!$A$19:$I$30,"Major Head",'PPE &amp; Intangibles '!C30))/'Support Sheet'!$G$10</f>
        <v>0</v>
      </c>
      <c r="F30" s="683">
        <f>(GETPIVOTDATA("Cost of Asset sold during the year",'Pivot Sheet'!$A$19:$I$30,"Major Head",'PPE &amp; Intangibles '!C30))/'Support Sheet'!$G$10</f>
        <v>0</v>
      </c>
      <c r="G30" s="684">
        <f t="shared" si="5"/>
        <v>0</v>
      </c>
      <c r="H30" s="682">
        <f>(GETPIVOTDATA("Sum of Cumulative Depreciation as on the 1st day of year",'Pivot Sheet'!$A$19:$I$30,"Major Head",'PPE &amp; Intangibles '!C30))/'Support Sheet'!$G$10</f>
        <v>0</v>
      </c>
      <c r="I30" s="683">
        <f>(GETPIVOTDATA("Sum of Depreciation  for the Year",'Pivot Sheet'!$A$19:$I$30,"Major Head",'PPE &amp; Intangibles '!C30))/'Support Sheet'!$G$10</f>
        <v>0</v>
      </c>
      <c r="J30" s="683">
        <f>(GETPIVOTDATA("Sum of Total Depreciation on sold out Asset",'Pivot Sheet'!$A$19:$I$30,"Major Head",'PPE &amp; Intangibles '!C30))/'Support Sheet'!$G$10</f>
        <v>0</v>
      </c>
      <c r="K30" s="684">
        <f t="shared" si="6"/>
        <v>0</v>
      </c>
      <c r="L30" s="682">
        <f t="shared" si="7"/>
        <v>0</v>
      </c>
      <c r="M30" s="684">
        <f t="shared" si="8"/>
        <v>0</v>
      </c>
      <c r="Q30" s="297" t="s">
        <v>418</v>
      </c>
    </row>
    <row r="31" spans="2:17" ht="30" customHeight="1">
      <c r="B31" s="690" t="str">
        <f>'Support Sheet'!C6</f>
        <v>(v)</v>
      </c>
      <c r="C31" s="879" t="s">
        <v>278</v>
      </c>
      <c r="D31" s="682">
        <f>(GETPIVOTDATA("Sum of  Balance as on 1st day of the year",'Pivot Sheet'!$A$19:$I$30,"Major Head",'PPE &amp; Intangibles '!C31)+GETPIVOTDATA("Sum of Cumulative Depreciation as on the 1st day of year",'Pivot Sheet'!$A$19:$I$30,"Major Head",'PPE &amp; Intangibles '!C31))/'Support Sheet'!$G$10</f>
        <v>0</v>
      </c>
      <c r="E31" s="683">
        <f>(GETPIVOTDATA("Sum of Addition during the year",'Pivot Sheet'!$A$19:$I$30,"Major Head",'PPE &amp; Intangibles '!C31))/'Support Sheet'!$G$10</f>
        <v>0</v>
      </c>
      <c r="F31" s="683">
        <f>(GETPIVOTDATA("Cost of Asset sold during the year",'Pivot Sheet'!$A$19:$I$30,"Major Head",'PPE &amp; Intangibles '!C31))/'Support Sheet'!$G$10</f>
        <v>0</v>
      </c>
      <c r="G31" s="684">
        <f t="shared" si="5"/>
        <v>0</v>
      </c>
      <c r="H31" s="682">
        <f>(GETPIVOTDATA("Sum of Cumulative Depreciation as on the 1st day of year",'Pivot Sheet'!$A$19:$I$30,"Major Head",'PPE &amp; Intangibles '!C31))/'Support Sheet'!$G$10</f>
        <v>0</v>
      </c>
      <c r="I31" s="683">
        <f>(GETPIVOTDATA("Sum of Depreciation  for the Year",'Pivot Sheet'!$A$19:$I$30,"Major Head",'PPE &amp; Intangibles '!C31))/'Support Sheet'!$G$10</f>
        <v>0</v>
      </c>
      <c r="J31" s="683">
        <f>(GETPIVOTDATA("Sum of Total Depreciation on sold out Asset",'Pivot Sheet'!$A$19:$I$30,"Major Head",'PPE &amp; Intangibles '!C31))/'Support Sheet'!$G$10</f>
        <v>0</v>
      </c>
      <c r="K31" s="684">
        <f t="shared" si="6"/>
        <v>0</v>
      </c>
      <c r="L31" s="682">
        <f t="shared" si="7"/>
        <v>0</v>
      </c>
      <c r="M31" s="684">
        <f t="shared" si="8"/>
        <v>0</v>
      </c>
      <c r="Q31" s="297" t="s">
        <v>419</v>
      </c>
    </row>
    <row r="32" spans="2:17" ht="30" customHeight="1">
      <c r="B32" s="690" t="str">
        <f>'Support Sheet'!C7</f>
        <v>(vi)</v>
      </c>
      <c r="C32" s="880" t="s">
        <v>425</v>
      </c>
      <c r="D32" s="682">
        <f>(GETPIVOTDATA("Sum of  Balance as on 1st day of the year",'Pivot Sheet'!$A$19:$I$30,"Major Head",'PPE &amp; Intangibles '!C32)+GETPIVOTDATA("Sum of Cumulative Depreciation as on the 1st day of year",'Pivot Sheet'!$A$19:$I$30,"Major Head",'PPE &amp; Intangibles '!C32))/'Support Sheet'!$G$10</f>
        <v>0</v>
      </c>
      <c r="E32" s="683">
        <f>(GETPIVOTDATA("Sum of Addition during the year",'Pivot Sheet'!$A$19:$I$30,"Major Head",'PPE &amp; Intangibles '!C32))/'Support Sheet'!$G$10</f>
        <v>0</v>
      </c>
      <c r="F32" s="683">
        <f>(GETPIVOTDATA("Cost of Asset sold during the year",'Pivot Sheet'!$A$19:$I$30,"Major Head",'PPE &amp; Intangibles '!C32))/'Support Sheet'!$G$10</f>
        <v>0</v>
      </c>
      <c r="G32" s="684">
        <f t="shared" si="5"/>
        <v>0</v>
      </c>
      <c r="H32" s="682">
        <f>(GETPIVOTDATA("Sum of Cumulative Depreciation as on the 1st day of year",'Pivot Sheet'!$A$19:$I$30,"Major Head",'PPE &amp; Intangibles '!C32))/'Support Sheet'!$G$10</f>
        <v>0</v>
      </c>
      <c r="I32" s="683">
        <f>(GETPIVOTDATA("Sum of Depreciation  for the Year",'Pivot Sheet'!$A$19:$I$30,"Major Head",'PPE &amp; Intangibles '!C32))/'Support Sheet'!$G$10</f>
        <v>0</v>
      </c>
      <c r="J32" s="683">
        <f>(GETPIVOTDATA("Sum of Total Depreciation on sold out Asset",'Pivot Sheet'!$A$19:$I$30,"Major Head",'PPE &amp; Intangibles '!C32))/'Support Sheet'!$G$10</f>
        <v>0</v>
      </c>
      <c r="K32" s="684">
        <f t="shared" si="6"/>
        <v>0</v>
      </c>
      <c r="L32" s="682">
        <f t="shared" si="7"/>
        <v>0</v>
      </c>
      <c r="M32" s="684">
        <f t="shared" si="8"/>
        <v>0</v>
      </c>
      <c r="Q32" s="297" t="s">
        <v>423</v>
      </c>
    </row>
    <row r="33" spans="2:17" ht="30" customHeight="1">
      <c r="B33" s="690" t="str">
        <f>'Support Sheet'!C8</f>
        <v>(vii)</v>
      </c>
      <c r="C33" s="879" t="s">
        <v>279</v>
      </c>
      <c r="D33" s="682">
        <f>(GETPIVOTDATA("Sum of  Balance as on 1st day of the year",'Pivot Sheet'!$A$19:$I$30,"Major Head",'PPE &amp; Intangibles '!C33)+GETPIVOTDATA("Sum of Cumulative Depreciation as on the 1st day of year",'Pivot Sheet'!$A$19:$I$30,"Major Head",'PPE &amp; Intangibles '!C33))/'Support Sheet'!$G$10</f>
        <v>0</v>
      </c>
      <c r="E33" s="683">
        <f>(GETPIVOTDATA("Sum of Addition during the year",'Pivot Sheet'!$A$19:$I$30,"Major Head",'PPE &amp; Intangibles '!C33))/'Support Sheet'!$G$10</f>
        <v>0</v>
      </c>
      <c r="F33" s="683">
        <f>(GETPIVOTDATA("Cost of Asset sold during the year",'Pivot Sheet'!$A$19:$I$30,"Major Head",'PPE &amp; Intangibles '!C33))/'Support Sheet'!$G$10</f>
        <v>0</v>
      </c>
      <c r="G33" s="684">
        <f t="shared" si="5"/>
        <v>0</v>
      </c>
      <c r="H33" s="682">
        <f>(GETPIVOTDATA("Sum of Cumulative Depreciation as on the 1st day of year",'Pivot Sheet'!$A$19:$I$30,"Major Head",'PPE &amp; Intangibles '!C33))/'Support Sheet'!$G$10</f>
        <v>0</v>
      </c>
      <c r="I33" s="683">
        <f>(GETPIVOTDATA("Sum of Depreciation  for the Year",'Pivot Sheet'!$A$19:$I$30,"Major Head",'PPE &amp; Intangibles '!C33))/'Support Sheet'!$G$10</f>
        <v>0</v>
      </c>
      <c r="J33" s="683">
        <f>(GETPIVOTDATA("Sum of Total Depreciation on sold out Asset",'Pivot Sheet'!$A$19:$I$30,"Major Head",'PPE &amp; Intangibles '!C33))/'Support Sheet'!$G$10</f>
        <v>0</v>
      </c>
      <c r="K33" s="684">
        <f t="shared" si="6"/>
        <v>0</v>
      </c>
      <c r="L33" s="682">
        <f t="shared" si="7"/>
        <v>0</v>
      </c>
      <c r="M33" s="684">
        <f t="shared" si="8"/>
        <v>0</v>
      </c>
      <c r="Q33" s="297" t="s">
        <v>420</v>
      </c>
    </row>
    <row r="34" spans="2:17" ht="30" customHeight="1">
      <c r="B34" s="690" t="str">
        <f>'Support Sheet'!C9</f>
        <v>(viii)</v>
      </c>
      <c r="C34" s="881" t="s">
        <v>280</v>
      </c>
      <c r="D34" s="682">
        <f>(GETPIVOTDATA("Sum of  Balance as on 1st day of the year",'Pivot Sheet'!$A$19:$I$30,"Major Head",'PPE &amp; Intangibles '!C34)+GETPIVOTDATA("Sum of Cumulative Depreciation as on the 1st day of year",'Pivot Sheet'!$A$19:$I$30,"Major Head",'PPE &amp; Intangibles '!C34))/'Support Sheet'!$G$10</f>
        <v>0</v>
      </c>
      <c r="E34" s="683">
        <f>(GETPIVOTDATA("Sum of Addition during the year",'Pivot Sheet'!$A$19:$I$30,"Major Head",'PPE &amp; Intangibles '!C34))/'Support Sheet'!$G$10</f>
        <v>0</v>
      </c>
      <c r="F34" s="683">
        <f>(GETPIVOTDATA("Cost of Asset sold during the year",'Pivot Sheet'!$A$19:$I$30,"Major Head",'PPE &amp; Intangibles '!C34))/'Support Sheet'!$G$10</f>
        <v>0</v>
      </c>
      <c r="G34" s="684">
        <f t="shared" si="5"/>
        <v>0</v>
      </c>
      <c r="H34" s="682">
        <f>(GETPIVOTDATA("Sum of Cumulative Depreciation as on the 1st day of year",'Pivot Sheet'!$A$19:$I$30,"Major Head",'PPE &amp; Intangibles '!C34))/'Support Sheet'!$G$10</f>
        <v>0</v>
      </c>
      <c r="I34" s="683">
        <f>(GETPIVOTDATA("Sum of Depreciation  for the Year",'Pivot Sheet'!$A$19:$I$30,"Major Head",'PPE &amp; Intangibles '!C34))/'Support Sheet'!$G$10</f>
        <v>0</v>
      </c>
      <c r="J34" s="683">
        <f>(GETPIVOTDATA("Sum of Total Depreciation on sold out Asset",'Pivot Sheet'!$A$19:$I$30,"Major Head",'PPE &amp; Intangibles '!C34))/'Support Sheet'!$G$10</f>
        <v>0</v>
      </c>
      <c r="K34" s="684">
        <f t="shared" si="6"/>
        <v>0</v>
      </c>
      <c r="L34" s="682">
        <f t="shared" si="7"/>
        <v>0</v>
      </c>
      <c r="M34" s="684">
        <f t="shared" si="8"/>
        <v>0</v>
      </c>
      <c r="Q34" s="297" t="s">
        <v>421</v>
      </c>
    </row>
    <row r="35" spans="2:17" ht="30" customHeight="1">
      <c r="B35" s="690" t="str">
        <f>'Support Sheet'!C10</f>
        <v>(ix)</v>
      </c>
      <c r="C35" s="881" t="s">
        <v>281</v>
      </c>
      <c r="D35" s="682">
        <f>(GETPIVOTDATA("Sum of  Balance as on 1st day of the year",'Pivot Sheet'!$A$19:$I$30,"Major Head",'PPE &amp; Intangibles '!C35)+GETPIVOTDATA("Sum of Cumulative Depreciation as on the 1st day of year",'Pivot Sheet'!$A$19:$I$30,"Major Head",'PPE &amp; Intangibles '!C35))/'Support Sheet'!$G$10</f>
        <v>0</v>
      </c>
      <c r="E35" s="683">
        <f>(GETPIVOTDATA("Sum of Addition during the year",'Pivot Sheet'!$A$19:$I$30,"Major Head",'PPE &amp; Intangibles '!C35))/'Support Sheet'!$G$10</f>
        <v>0</v>
      </c>
      <c r="F35" s="683">
        <f>(GETPIVOTDATA("Cost of Asset sold during the year",'Pivot Sheet'!$A$19:$I$30,"Major Head",'PPE &amp; Intangibles '!C35))/'Support Sheet'!$G$10</f>
        <v>0</v>
      </c>
      <c r="G35" s="684">
        <f t="shared" si="5"/>
        <v>0</v>
      </c>
      <c r="H35" s="682">
        <f>(GETPIVOTDATA("Sum of Cumulative Depreciation as on the 1st day of year",'Pivot Sheet'!$A$19:$I$30,"Major Head",'PPE &amp; Intangibles '!C35))/'Support Sheet'!$G$10</f>
        <v>0</v>
      </c>
      <c r="I35" s="683">
        <f>(GETPIVOTDATA("Sum of Depreciation  for the Year",'Pivot Sheet'!$A$19:$I$30,"Major Head",'PPE &amp; Intangibles '!C35))/'Support Sheet'!$G$10</f>
        <v>0</v>
      </c>
      <c r="J35" s="683">
        <f>(GETPIVOTDATA("Sum of Total Depreciation on sold out Asset",'Pivot Sheet'!$A$19:$I$30,"Major Head",'PPE &amp; Intangibles '!C35))/'Support Sheet'!$G$10</f>
        <v>0</v>
      </c>
      <c r="K35" s="684">
        <f t="shared" si="6"/>
        <v>0</v>
      </c>
      <c r="L35" s="682">
        <f t="shared" si="7"/>
        <v>0</v>
      </c>
      <c r="M35" s="684">
        <f t="shared" si="8"/>
        <v>0</v>
      </c>
      <c r="Q35" s="300" t="s">
        <v>424</v>
      </c>
    </row>
    <row r="36" spans="2:17" ht="30" customHeight="1" thickBot="1">
      <c r="B36" s="1024" t="s">
        <v>102</v>
      </c>
      <c r="C36" s="1025"/>
      <c r="D36" s="685">
        <f>SUM(D27:D33)</f>
        <v>0</v>
      </c>
      <c r="E36" s="686">
        <f t="shared" ref="E36:M36" si="9">SUM(E27:E33)</f>
        <v>0</v>
      </c>
      <c r="F36" s="686">
        <f t="shared" si="9"/>
        <v>0</v>
      </c>
      <c r="G36" s="687">
        <f t="shared" si="9"/>
        <v>0</v>
      </c>
      <c r="H36" s="685">
        <f t="shared" si="9"/>
        <v>0</v>
      </c>
      <c r="I36" s="686">
        <f t="shared" si="9"/>
        <v>0</v>
      </c>
      <c r="J36" s="686">
        <f t="shared" si="9"/>
        <v>0</v>
      </c>
      <c r="K36" s="687">
        <f t="shared" si="9"/>
        <v>0</v>
      </c>
      <c r="L36" s="685">
        <f t="shared" si="9"/>
        <v>0</v>
      </c>
      <c r="M36" s="687">
        <f t="shared" si="9"/>
        <v>0</v>
      </c>
    </row>
    <row r="37" spans="2:17" ht="30" customHeight="1">
      <c r="B37" s="688"/>
      <c r="C37" s="688"/>
      <c r="D37" s="306"/>
      <c r="E37" s="306"/>
      <c r="F37" s="306"/>
      <c r="G37" s="306"/>
      <c r="H37" s="306"/>
      <c r="I37" s="306"/>
      <c r="J37" s="306"/>
      <c r="K37" s="306"/>
      <c r="L37" s="306"/>
      <c r="M37" s="306"/>
    </row>
    <row r="38" spans="2:17" ht="30" customHeight="1">
      <c r="B38" s="99" t="s">
        <v>906</v>
      </c>
      <c r="C38" s="688"/>
      <c r="D38" s="306"/>
      <c r="E38" s="306"/>
      <c r="F38" s="306"/>
      <c r="G38" s="306"/>
      <c r="H38" s="306"/>
      <c r="I38" s="306"/>
      <c r="J38" s="306"/>
      <c r="K38" s="306"/>
      <c r="L38" s="306"/>
      <c r="M38" s="306"/>
    </row>
    <row r="39" spans="2:17" ht="15" customHeight="1">
      <c r="B39" s="99"/>
      <c r="C39" s="688"/>
      <c r="D39" s="306"/>
      <c r="E39" s="306"/>
      <c r="F39" s="306"/>
      <c r="G39" s="306"/>
      <c r="H39" s="306"/>
      <c r="I39" s="306"/>
      <c r="J39" s="306"/>
      <c r="K39" s="306"/>
      <c r="L39" s="306"/>
      <c r="M39" s="306"/>
    </row>
    <row r="40" spans="2:17" ht="30" customHeight="1" thickBot="1">
      <c r="B40" s="616" t="s">
        <v>706</v>
      </c>
      <c r="C40" s="614"/>
      <c r="D40" s="614"/>
      <c r="E40" s="614"/>
      <c r="F40" s="614"/>
      <c r="G40" s="614"/>
      <c r="H40" s="614"/>
      <c r="I40" s="614"/>
      <c r="J40" s="614"/>
      <c r="K40" s="614"/>
      <c r="L40" s="614"/>
      <c r="M40" s="915" t="str">
        <f>IF('Control Sheet'!$D$18="Specify in Cell E16",'Support Sheet'!$G$10,'Control Sheet'!$C$18)</f>
        <v>In Rs. hundreds</v>
      </c>
      <c r="Q40" s="366" t="s">
        <v>604</v>
      </c>
    </row>
    <row r="41" spans="2:17" ht="30" customHeight="1">
      <c r="B41" s="1036" t="s">
        <v>705</v>
      </c>
      <c r="C41" s="998" t="s">
        <v>0</v>
      </c>
      <c r="D41" s="998" t="s">
        <v>702</v>
      </c>
      <c r="E41" s="998"/>
      <c r="F41" s="998"/>
      <c r="G41" s="998"/>
      <c r="H41" s="998"/>
      <c r="I41" s="998"/>
      <c r="J41" s="998"/>
      <c r="K41" s="998"/>
      <c r="L41" s="1039" t="s">
        <v>14</v>
      </c>
      <c r="M41" s="994"/>
      <c r="Q41" s="365" t="s">
        <v>605</v>
      </c>
    </row>
    <row r="42" spans="2:17" ht="30" customHeight="1" thickBot="1">
      <c r="B42" s="1037"/>
      <c r="C42" s="1038"/>
      <c r="D42" s="1033" t="s">
        <v>257</v>
      </c>
      <c r="E42" s="1033"/>
      <c r="F42" s="1033" t="s">
        <v>258</v>
      </c>
      <c r="G42" s="1033"/>
      <c r="H42" s="1033" t="s">
        <v>259</v>
      </c>
      <c r="I42" s="1033"/>
      <c r="J42" s="1033" t="s">
        <v>260</v>
      </c>
      <c r="K42" s="1033"/>
      <c r="L42" s="1033"/>
      <c r="M42" s="1040"/>
    </row>
    <row r="43" spans="2:17" ht="30" customHeight="1">
      <c r="B43" s="691" t="str">
        <f>'Support Sheet'!C2</f>
        <v>(i)</v>
      </c>
      <c r="C43" s="692" t="s">
        <v>703</v>
      </c>
      <c r="D43" s="1034">
        <f>SUMIF('Share Capital and WIP info'!$C$62:$C$66,'PPE &amp; Intangibles '!D42:E42,'Share Capital and WIP info'!$D$62:$D$66)/'Support Sheet'!$G$10</f>
        <v>139.9846</v>
      </c>
      <c r="E43" s="1034"/>
      <c r="F43" s="1034">
        <f>SUMIF('Share Capital and WIP info'!$C$62:$C$66,'PPE &amp; Intangibles '!F42:G42,'Share Capital and WIP info'!$D$62:$D$66)/'Support Sheet'!$G$10</f>
        <v>0</v>
      </c>
      <c r="G43" s="1034"/>
      <c r="H43" s="1034">
        <f>SUMIF('Share Capital and WIP info'!$C$62:$C$66,'PPE &amp; Intangibles '!H42:I42,'Share Capital and WIP info'!$D$62:$D$66)/'Support Sheet'!$G$10</f>
        <v>0</v>
      </c>
      <c r="I43" s="1034"/>
      <c r="J43" s="1034">
        <f>SUMIF('Share Capital and WIP info'!$C$62:$C$66,'PPE &amp; Intangibles '!J42:K42,'Share Capital and WIP info'!$D$62:$D$66)/'Support Sheet'!$G$10</f>
        <v>0</v>
      </c>
      <c r="K43" s="1034"/>
      <c r="L43" s="1034">
        <f>SUM(D43:K43)</f>
        <v>139.9846</v>
      </c>
      <c r="M43" s="1041"/>
    </row>
    <row r="44" spans="2:17" ht="30" customHeight="1" thickBot="1">
      <c r="B44" s="693" t="str">
        <f>'Support Sheet'!C3</f>
        <v>(ii)</v>
      </c>
      <c r="C44" s="694" t="s">
        <v>704</v>
      </c>
      <c r="D44" s="1035">
        <f>SUMIF('Share Capital and WIP info'!$C$68:$C$71,'PPE &amp; Intangibles '!D42:E42,'Share Capital and WIP info'!$D$68:$D$72)/'Support Sheet'!$G$10</f>
        <v>0</v>
      </c>
      <c r="E44" s="1035"/>
      <c r="F44" s="1035">
        <f>SUMIF('Share Capital and WIP info'!$C$68:$C$71,'PPE &amp; Intangibles '!F42:G42,'Share Capital and WIP info'!$D$68:$D$72)/'Support Sheet'!$G$10</f>
        <v>0</v>
      </c>
      <c r="G44" s="1035"/>
      <c r="H44" s="1035">
        <f>SUMIF('Share Capital and WIP info'!$C$68:$C$71,'PPE &amp; Intangibles '!H42:I42,'Share Capital and WIP info'!$D$68:$D$72)/'Support Sheet'!$G$10</f>
        <v>0</v>
      </c>
      <c r="I44" s="1035"/>
      <c r="J44" s="1035">
        <f>SUMIF('Share Capital and WIP info'!$C$68:$C$71,'PPE &amp; Intangibles '!J42:K42,'Share Capital and WIP info'!$D$68:$D$72)/'Support Sheet'!$G$10</f>
        <v>0</v>
      </c>
      <c r="K44" s="1035"/>
      <c r="L44" s="1035">
        <f>SUM(D44:K44)</f>
        <v>0</v>
      </c>
      <c r="M44" s="1042"/>
    </row>
    <row r="45" spans="2:17" ht="30" customHeight="1">
      <c r="B45" s="614"/>
      <c r="C45" s="614"/>
      <c r="D45" s="614"/>
      <c r="E45" s="614"/>
      <c r="F45" s="614"/>
      <c r="G45" s="614"/>
      <c r="H45" s="614"/>
      <c r="I45" s="614"/>
      <c r="J45" s="614"/>
      <c r="K45" s="614"/>
      <c r="L45" s="614"/>
      <c r="M45" s="614"/>
    </row>
    <row r="46" spans="2:17" ht="30" customHeight="1" thickBot="1">
      <c r="B46" s="616" t="s">
        <v>781</v>
      </c>
      <c r="C46" s="614"/>
      <c r="D46" s="614"/>
      <c r="E46" s="614"/>
      <c r="F46" s="614"/>
      <c r="G46" s="614"/>
      <c r="H46" s="614"/>
      <c r="I46" s="614"/>
      <c r="J46" s="614"/>
      <c r="K46" s="614"/>
      <c r="L46" s="614"/>
      <c r="M46" s="915" t="str">
        <f>IF('Control Sheet'!$D$18="Specify in Cell E16",'Support Sheet'!$G$10,'Control Sheet'!$C$18)</f>
        <v>In Rs. hundreds</v>
      </c>
    </row>
    <row r="47" spans="2:17" ht="30" customHeight="1">
      <c r="B47" s="1036" t="s">
        <v>705</v>
      </c>
      <c r="C47" s="998" t="s">
        <v>0</v>
      </c>
      <c r="D47" s="998" t="s">
        <v>707</v>
      </c>
      <c r="E47" s="998"/>
      <c r="F47" s="998"/>
      <c r="G47" s="998"/>
      <c r="H47" s="998"/>
      <c r="I47" s="998"/>
      <c r="J47" s="998"/>
      <c r="K47" s="998"/>
      <c r="L47" s="1039" t="s">
        <v>14</v>
      </c>
      <c r="M47" s="994"/>
    </row>
    <row r="48" spans="2:17" ht="30" customHeight="1" thickBot="1">
      <c r="B48" s="1037"/>
      <c r="C48" s="1038"/>
      <c r="D48" s="1033" t="s">
        <v>257</v>
      </c>
      <c r="E48" s="1033"/>
      <c r="F48" s="1033" t="s">
        <v>258</v>
      </c>
      <c r="G48" s="1033"/>
      <c r="H48" s="1033" t="s">
        <v>259</v>
      </c>
      <c r="I48" s="1033"/>
      <c r="J48" s="1033" t="s">
        <v>260</v>
      </c>
      <c r="K48" s="1033"/>
      <c r="L48" s="1033"/>
      <c r="M48" s="1040"/>
    </row>
    <row r="49" spans="2:17" ht="30" customHeight="1">
      <c r="B49" s="691" t="str">
        <f>'Support Sheet'!C2</f>
        <v>(i)</v>
      </c>
      <c r="C49" s="692" t="str">
        <f>'Share Capital and WIP info'!$C$76</f>
        <v>&lt;Name Of Project&gt;</v>
      </c>
      <c r="D49" s="1034">
        <f>SUMIF('Share Capital and WIP info'!$C$77:$C$80,'PPE &amp; Intangibles '!D48:E48,'Share Capital and WIP info'!$D$77:$D$80)/'Support Sheet'!$G$10</f>
        <v>0</v>
      </c>
      <c r="E49" s="1034"/>
      <c r="F49" s="1034">
        <f>SUMIF('Share Capital and WIP info'!$C$77:$C$80,'PPE &amp; Intangibles '!F48:G48,'Share Capital and WIP info'!$D$77:$D$80)/'Support Sheet'!$G$10</f>
        <v>0</v>
      </c>
      <c r="G49" s="1034"/>
      <c r="H49" s="1034">
        <f>SUMIF('Share Capital and WIP info'!$C$77:$C$80,'PPE &amp; Intangibles '!H48:I48,'Share Capital and WIP info'!$D$77:$D$80)/'Support Sheet'!$G$10</f>
        <v>0</v>
      </c>
      <c r="I49" s="1034"/>
      <c r="J49" s="1034">
        <f>SUMIF('Share Capital and WIP info'!$C$77:$C$80,'PPE &amp; Intangibles '!J48:K48,'Share Capital and WIP info'!$D$77:$D$80)/'Support Sheet'!$G$10</f>
        <v>0</v>
      </c>
      <c r="K49" s="1034"/>
      <c r="L49" s="1034">
        <f>SUM(D49:K49)</f>
        <v>0</v>
      </c>
      <c r="M49" s="1041"/>
    </row>
    <row r="50" spans="2:17" ht="30" customHeight="1" thickBot="1">
      <c r="B50" s="693" t="str">
        <f>'Support Sheet'!C3</f>
        <v>(ii)</v>
      </c>
      <c r="C50" s="694" t="str">
        <f>'Share Capital and WIP info'!$C$81</f>
        <v>&lt;Name Of Project&gt;</v>
      </c>
      <c r="D50" s="1035">
        <f>SUMIF('Share Capital and WIP info'!$C$82:$C$85,'PPE &amp; Intangibles '!D48:E48,'Share Capital and WIP info'!$D$82:$D$85)/'Support Sheet'!$G$10</f>
        <v>0</v>
      </c>
      <c r="E50" s="1035"/>
      <c r="F50" s="1035">
        <f>SUMIF('Share Capital and WIP info'!$C$82:$C$85,'PPE &amp; Intangibles '!F48:G48,'Share Capital and WIP info'!$D$82:$D$85)/'Support Sheet'!$G$10</f>
        <v>0</v>
      </c>
      <c r="G50" s="1035"/>
      <c r="H50" s="1035">
        <f>SUMIF('Share Capital and WIP info'!$C$82:$C$85,'PPE &amp; Intangibles '!H48:I48,'Share Capital and WIP info'!$D$82:$D$85)/'Support Sheet'!$G$10</f>
        <v>0</v>
      </c>
      <c r="I50" s="1035"/>
      <c r="J50" s="1035">
        <f>SUMIF('Share Capital and WIP info'!$C$82:$C$85,'PPE &amp; Intangibles '!J48:K48,'Share Capital and WIP info'!$D$82:$D$85)/'Support Sheet'!$G$10</f>
        <v>0</v>
      </c>
      <c r="K50" s="1035"/>
      <c r="L50" s="1035">
        <f>SUM(D50:K50)</f>
        <v>0</v>
      </c>
      <c r="M50" s="1042"/>
    </row>
    <row r="51" spans="2:17" ht="30" customHeight="1">
      <c r="B51" s="614"/>
      <c r="C51" s="614"/>
      <c r="D51" s="614"/>
      <c r="E51" s="614"/>
      <c r="F51" s="614"/>
      <c r="G51" s="614"/>
      <c r="H51" s="614"/>
      <c r="I51" s="614"/>
      <c r="J51" s="614"/>
      <c r="K51" s="614"/>
      <c r="L51" s="614"/>
      <c r="M51" s="614"/>
    </row>
    <row r="52" spans="2:17" ht="30" customHeight="1">
      <c r="B52" s="99" t="s">
        <v>907</v>
      </c>
      <c r="C52" s="688"/>
      <c r="D52" s="306"/>
      <c r="E52" s="306"/>
      <c r="F52" s="306"/>
      <c r="G52" s="306"/>
      <c r="H52" s="306"/>
      <c r="I52" s="306"/>
      <c r="J52" s="306"/>
      <c r="K52" s="306"/>
      <c r="L52" s="306"/>
      <c r="M52" s="306"/>
    </row>
    <row r="53" spans="2:17" ht="15" customHeight="1">
      <c r="B53" s="99"/>
      <c r="C53" s="688"/>
      <c r="D53" s="306"/>
      <c r="E53" s="306"/>
      <c r="F53" s="306"/>
      <c r="G53" s="306"/>
      <c r="H53" s="306"/>
      <c r="I53" s="306"/>
      <c r="J53" s="306"/>
      <c r="K53" s="306"/>
      <c r="L53" s="306"/>
      <c r="M53" s="306"/>
    </row>
    <row r="54" spans="2:17" ht="30" customHeight="1" thickBot="1">
      <c r="B54" s="616" t="s">
        <v>708</v>
      </c>
      <c r="C54" s="614"/>
      <c r="D54" s="614"/>
      <c r="E54" s="614"/>
      <c r="F54" s="614"/>
      <c r="G54" s="614"/>
      <c r="H54" s="614"/>
      <c r="I54" s="614"/>
      <c r="J54" s="614"/>
      <c r="K54" s="614"/>
      <c r="L54" s="614"/>
      <c r="M54" s="616" t="str">
        <f>IF('Control Sheet'!$D$18="Specify in Cell E16",'Support Sheet'!$G$10,'Control Sheet'!$C$18)</f>
        <v>In Rs. hundreds</v>
      </c>
    </row>
    <row r="55" spans="2:17" ht="30" customHeight="1">
      <c r="B55" s="1036" t="s">
        <v>705</v>
      </c>
      <c r="C55" s="998" t="s">
        <v>0</v>
      </c>
      <c r="D55" s="998" t="s">
        <v>845</v>
      </c>
      <c r="E55" s="998"/>
      <c r="F55" s="998"/>
      <c r="G55" s="998"/>
      <c r="H55" s="998"/>
      <c r="I55" s="998"/>
      <c r="J55" s="998"/>
      <c r="K55" s="998"/>
      <c r="L55" s="1039" t="s">
        <v>14</v>
      </c>
      <c r="M55" s="994"/>
      <c r="Q55" s="227" t="s">
        <v>606</v>
      </c>
    </row>
    <row r="56" spans="2:17" ht="30" customHeight="1" thickBot="1">
      <c r="B56" s="1037"/>
      <c r="C56" s="1038"/>
      <c r="D56" s="1033" t="s">
        <v>257</v>
      </c>
      <c r="E56" s="1033"/>
      <c r="F56" s="1033" t="s">
        <v>258</v>
      </c>
      <c r="G56" s="1033"/>
      <c r="H56" s="1033" t="s">
        <v>259</v>
      </c>
      <c r="I56" s="1033"/>
      <c r="J56" s="1033" t="s">
        <v>260</v>
      </c>
      <c r="K56" s="1033"/>
      <c r="L56" s="1033"/>
      <c r="M56" s="1040"/>
      <c r="Q56" s="365" t="s">
        <v>607</v>
      </c>
    </row>
    <row r="57" spans="2:17" ht="30" customHeight="1">
      <c r="B57" s="691" t="str">
        <f>'Support Sheet'!C2</f>
        <v>(i)</v>
      </c>
      <c r="C57" s="692" t="s">
        <v>703</v>
      </c>
      <c r="D57" s="1034">
        <f>SUMIF('Share Capital and WIP info'!$G$62:$G$65,'PPE &amp; Intangibles '!D56:E56,'Share Capital and WIP info'!$H$62:$H$65)/'Support Sheet'!$G$10</f>
        <v>0</v>
      </c>
      <c r="E57" s="1034"/>
      <c r="F57" s="1034">
        <f>SUMIF('Share Capital and WIP info'!$G$62:$G$65,'PPE &amp; Intangibles '!F56:G56,'Share Capital and WIP info'!$H$62:$H$65)/'Support Sheet'!$G$10</f>
        <v>0</v>
      </c>
      <c r="G57" s="1034"/>
      <c r="H57" s="1034">
        <f>SUMIF('Share Capital and WIP info'!$G$62:$G$65,'PPE &amp; Intangibles '!H56:I56,'Share Capital and WIP info'!$H$62:$H$65)/'Support Sheet'!$G$10</f>
        <v>0</v>
      </c>
      <c r="I57" s="1034"/>
      <c r="J57" s="1034">
        <f>SUMIF('Share Capital and WIP info'!$G$62:$G$65,'PPE &amp; Intangibles '!J56:K56,'Share Capital and WIP info'!$H$62:$H$65)/'Support Sheet'!$G$10</f>
        <v>0</v>
      </c>
      <c r="K57" s="1034"/>
      <c r="L57" s="1034">
        <f>SUM(D57:K57)</f>
        <v>0</v>
      </c>
      <c r="M57" s="1041"/>
    </row>
    <row r="58" spans="2:17" ht="30" customHeight="1" thickBot="1">
      <c r="B58" s="693" t="str">
        <f>'Support Sheet'!C3</f>
        <v>(ii)</v>
      </c>
      <c r="C58" s="694" t="s">
        <v>704</v>
      </c>
      <c r="D58" s="1035">
        <f>SUMIF('Share Capital and WIP info'!$G$62:$G$65,'PPE &amp; Intangibles '!D56:E56,'Share Capital and WIP info'!$H$62:$H$65)/'Support Sheet'!$G$10</f>
        <v>0</v>
      </c>
      <c r="E58" s="1035"/>
      <c r="F58" s="1035">
        <f>SUMIF('Share Capital and WIP info'!$G$62:$G$65,'PPE &amp; Intangibles '!F56:G56,'Share Capital and WIP info'!$H$62:$H$65)/'Support Sheet'!$G$10</f>
        <v>0</v>
      </c>
      <c r="G58" s="1035"/>
      <c r="H58" s="1035">
        <f>SUMIF('Share Capital and WIP info'!$G$62:$G$65,'PPE &amp; Intangibles '!H56:I56,'Share Capital and WIP info'!$H$62:$H$65)/'Support Sheet'!$G$10</f>
        <v>0</v>
      </c>
      <c r="I58" s="1035"/>
      <c r="J58" s="1035">
        <f>SUMIF('Share Capital and WIP info'!$G$62:$G$65,'PPE &amp; Intangibles '!J56:K56,'Share Capital and WIP info'!$H$62:$H$65)/'Support Sheet'!$G$10</f>
        <v>0</v>
      </c>
      <c r="K58" s="1035"/>
      <c r="L58" s="1035">
        <f>SUM(D58:K58)</f>
        <v>0</v>
      </c>
      <c r="M58" s="1042"/>
    </row>
    <row r="59" spans="2:17" ht="30" customHeight="1">
      <c r="B59" s="614"/>
      <c r="C59" s="614"/>
      <c r="D59" s="614"/>
      <c r="E59" s="614"/>
      <c r="F59" s="614"/>
      <c r="G59" s="614"/>
      <c r="H59" s="614"/>
      <c r="I59" s="614"/>
      <c r="J59" s="614"/>
      <c r="K59" s="614"/>
      <c r="L59" s="614"/>
      <c r="M59" s="614"/>
    </row>
    <row r="60" spans="2:17" ht="30" customHeight="1" thickBot="1">
      <c r="B60" s="616" t="s">
        <v>709</v>
      </c>
      <c r="C60" s="614"/>
      <c r="D60" s="614"/>
      <c r="E60" s="614"/>
      <c r="F60" s="614"/>
      <c r="G60" s="614"/>
      <c r="H60" s="614"/>
      <c r="I60" s="614"/>
      <c r="J60" s="614"/>
      <c r="K60" s="614"/>
      <c r="L60" s="614"/>
      <c r="M60" s="616" t="str">
        <f>IF('Control Sheet'!$D$18="Specify in Cell E16",'Support Sheet'!$G$10,'Control Sheet'!$C$18)</f>
        <v>In Rs. hundreds</v>
      </c>
    </row>
    <row r="61" spans="2:17" ht="30" customHeight="1">
      <c r="B61" s="1036" t="s">
        <v>705</v>
      </c>
      <c r="C61" s="998" t="s">
        <v>0</v>
      </c>
      <c r="D61" s="998" t="s">
        <v>707</v>
      </c>
      <c r="E61" s="998"/>
      <c r="F61" s="998"/>
      <c r="G61" s="998"/>
      <c r="H61" s="998"/>
      <c r="I61" s="998"/>
      <c r="J61" s="998"/>
      <c r="K61" s="998"/>
      <c r="L61" s="1039" t="s">
        <v>14</v>
      </c>
      <c r="M61" s="994"/>
    </row>
    <row r="62" spans="2:17" ht="30" customHeight="1" thickBot="1">
      <c r="B62" s="1037"/>
      <c r="C62" s="1038"/>
      <c r="D62" s="1033" t="s">
        <v>257</v>
      </c>
      <c r="E62" s="1033"/>
      <c r="F62" s="1033" t="s">
        <v>258</v>
      </c>
      <c r="G62" s="1033"/>
      <c r="H62" s="1033" t="s">
        <v>259</v>
      </c>
      <c r="I62" s="1033"/>
      <c r="J62" s="1033" t="s">
        <v>260</v>
      </c>
      <c r="K62" s="1033"/>
      <c r="L62" s="1033"/>
      <c r="M62" s="1040"/>
    </row>
    <row r="63" spans="2:17" ht="30" customHeight="1">
      <c r="B63" s="691" t="str">
        <f>'Support Sheet'!C2</f>
        <v>(i)</v>
      </c>
      <c r="C63" s="692" t="str">
        <f>'Share Capital and WIP info'!$G$76</f>
        <v>&lt;Name Of Project&gt;</v>
      </c>
      <c r="D63" s="1034">
        <f>SUMIF('Share Capital and WIP info'!$G$77:$G$80,'PPE &amp; Intangibles '!D62:E62,'Share Capital and WIP info'!$H$77:$H$80)/'Support Sheet'!$G$10</f>
        <v>0</v>
      </c>
      <c r="E63" s="1034"/>
      <c r="F63" s="1034">
        <f>SUMIF('Share Capital and WIP info'!$G$77:$G$80,'PPE &amp; Intangibles '!F62:G62,'Share Capital and WIP info'!$H$77:$H$80)/'Support Sheet'!$G$10</f>
        <v>0</v>
      </c>
      <c r="G63" s="1034"/>
      <c r="H63" s="1034">
        <f>SUMIF('Share Capital and WIP info'!$G$77:$G$80,'PPE &amp; Intangibles '!H62:I62,'Share Capital and WIP info'!$H$77:$H$80)/'Support Sheet'!$G$10</f>
        <v>0</v>
      </c>
      <c r="I63" s="1034"/>
      <c r="J63" s="1034">
        <f>SUMIF('Share Capital and WIP info'!$G$77:$G$80,'PPE &amp; Intangibles '!J62:K62,'Share Capital and WIP info'!$H$77:$H$80)/'Support Sheet'!$G$10</f>
        <v>0</v>
      </c>
      <c r="K63" s="1034"/>
      <c r="L63" s="1034">
        <f>SUM(D63:K63)</f>
        <v>0</v>
      </c>
      <c r="M63" s="1041"/>
    </row>
    <row r="64" spans="2:17" ht="30" customHeight="1" thickBot="1">
      <c r="B64" s="693" t="str">
        <f>'Support Sheet'!C3</f>
        <v>(ii)</v>
      </c>
      <c r="C64" s="694" t="str">
        <f>'Share Capital and WIP info'!$G$81</f>
        <v>&lt;Name Of Project&gt;</v>
      </c>
      <c r="D64" s="1035">
        <f>SUMIF('Share Capital and WIP info'!$G$82:$G$85,'PPE &amp; Intangibles '!D62:E62,'Share Capital and WIP info'!$H$82:$H$85)/'Support Sheet'!$G$10</f>
        <v>0</v>
      </c>
      <c r="E64" s="1035"/>
      <c r="F64" s="1035">
        <f>SUMIF('Share Capital and WIP info'!$G$82:$G$85,'PPE &amp; Intangibles '!F62:G62,'Share Capital and WIP info'!$H$82:$H$85)/'Support Sheet'!$G$10</f>
        <v>0</v>
      </c>
      <c r="G64" s="1035"/>
      <c r="H64" s="1035">
        <f>SUMIF('Share Capital and WIP info'!$G$82:$G$85,'PPE &amp; Intangibles '!H62:I62,'Share Capital and WIP info'!$H$82:$H$85)/'Support Sheet'!$G$10</f>
        <v>0</v>
      </c>
      <c r="I64" s="1035"/>
      <c r="J64" s="1035">
        <f>SUMIF('Share Capital and WIP info'!$G$82:$G$85,'PPE &amp; Intangibles '!J62:K62,'Share Capital and WIP info'!$H$82:$H$85)/'Support Sheet'!$G$10</f>
        <v>0</v>
      </c>
      <c r="K64" s="1035"/>
      <c r="L64" s="1035">
        <f>SUM(D64:K64)</f>
        <v>0</v>
      </c>
      <c r="M64" s="1042"/>
    </row>
    <row r="65" spans="2:13">
      <c r="B65" s="614"/>
      <c r="C65" s="614"/>
      <c r="D65" s="614"/>
      <c r="E65" s="614"/>
      <c r="F65" s="614"/>
      <c r="G65" s="614"/>
      <c r="H65" s="614"/>
      <c r="I65" s="614"/>
      <c r="J65" s="614"/>
      <c r="K65" s="614"/>
      <c r="L65" s="614"/>
      <c r="M65" s="614"/>
    </row>
  </sheetData>
  <mergeCells count="89">
    <mergeCell ref="B4:M4"/>
    <mergeCell ref="D64:E64"/>
    <mergeCell ref="F64:G64"/>
    <mergeCell ref="H64:I64"/>
    <mergeCell ref="J64:K64"/>
    <mergeCell ref="L64:M64"/>
    <mergeCell ref="D63:E63"/>
    <mergeCell ref="F63:G63"/>
    <mergeCell ref="H63:I63"/>
    <mergeCell ref="J63:K63"/>
    <mergeCell ref="L63:M63"/>
    <mergeCell ref="B61:B62"/>
    <mergeCell ref="C61:C62"/>
    <mergeCell ref="D61:K61"/>
    <mergeCell ref="L61:M62"/>
    <mergeCell ref="D62:E62"/>
    <mergeCell ref="F62:G62"/>
    <mergeCell ref="H62:I62"/>
    <mergeCell ref="J62:K62"/>
    <mergeCell ref="D58:E58"/>
    <mergeCell ref="F58:G58"/>
    <mergeCell ref="H58:I58"/>
    <mergeCell ref="J58:K58"/>
    <mergeCell ref="L58:M58"/>
    <mergeCell ref="D57:E57"/>
    <mergeCell ref="F57:G57"/>
    <mergeCell ref="H57:I57"/>
    <mergeCell ref="J57:K57"/>
    <mergeCell ref="L57:M57"/>
    <mergeCell ref="B55:B56"/>
    <mergeCell ref="C55:C56"/>
    <mergeCell ref="D55:K55"/>
    <mergeCell ref="L55:M56"/>
    <mergeCell ref="D56:E56"/>
    <mergeCell ref="F56:G56"/>
    <mergeCell ref="H56:I56"/>
    <mergeCell ref="J56:K56"/>
    <mergeCell ref="D50:E50"/>
    <mergeCell ref="F50:G50"/>
    <mergeCell ref="H50:I50"/>
    <mergeCell ref="J50:K50"/>
    <mergeCell ref="L50:M50"/>
    <mergeCell ref="D49:E49"/>
    <mergeCell ref="F49:G49"/>
    <mergeCell ref="H49:I49"/>
    <mergeCell ref="J49:K49"/>
    <mergeCell ref="L49:M49"/>
    <mergeCell ref="L41:M42"/>
    <mergeCell ref="L43:M43"/>
    <mergeCell ref="L44:M44"/>
    <mergeCell ref="B47:B48"/>
    <mergeCell ref="C47:C48"/>
    <mergeCell ref="D47:K47"/>
    <mergeCell ref="L47:M48"/>
    <mergeCell ref="D48:E48"/>
    <mergeCell ref="F48:G48"/>
    <mergeCell ref="H48:I48"/>
    <mergeCell ref="J48:K48"/>
    <mergeCell ref="D41:K41"/>
    <mergeCell ref="D42:E42"/>
    <mergeCell ref="D43:E43"/>
    <mergeCell ref="D44:E44"/>
    <mergeCell ref="F42:G42"/>
    <mergeCell ref="J42:K42"/>
    <mergeCell ref="J43:K43"/>
    <mergeCell ref="J44:K44"/>
    <mergeCell ref="B41:B42"/>
    <mergeCell ref="C41:C42"/>
    <mergeCell ref="F43:G43"/>
    <mergeCell ref="F44:G44"/>
    <mergeCell ref="H42:I42"/>
    <mergeCell ref="H43:I43"/>
    <mergeCell ref="H44:I44"/>
    <mergeCell ref="B36:C36"/>
    <mergeCell ref="B18:C18"/>
    <mergeCell ref="B1:M1"/>
    <mergeCell ref="B2:M2"/>
    <mergeCell ref="D9:G9"/>
    <mergeCell ref="H9:K9"/>
    <mergeCell ref="L9:M9"/>
    <mergeCell ref="C9:C10"/>
    <mergeCell ref="B9:B10"/>
    <mergeCell ref="B6:M6"/>
    <mergeCell ref="B25:B26"/>
    <mergeCell ref="C25:C26"/>
    <mergeCell ref="D25:G25"/>
    <mergeCell ref="H25:K25"/>
    <mergeCell ref="L25:M25"/>
    <mergeCell ref="B3:M3"/>
  </mergeCells>
  <pageMargins left="0.70866141732283472" right="0.70866141732283472" top="0.74803149606299213" bottom="0.74803149606299213" header="0.31496062992125984" footer="0.31496062992125984"/>
  <pageSetup paperSize="9" scale="48" fitToHeight="0" orientation="landscape" verticalDpi="300" r:id="rId1"/>
  <rowBreaks count="1" manualBreakCount="1">
    <brk id="36" min="1" max="12"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24E50-5D71-4BB8-B7BB-4455597E9180}">
  <dimension ref="B1:GI167"/>
  <sheetViews>
    <sheetView topLeftCell="GG3" zoomScale="82" zoomScaleNormal="82" workbookViewId="0">
      <selection activeCell="GI3" sqref="GI3"/>
    </sheetView>
  </sheetViews>
  <sheetFormatPr defaultRowHeight="14.4"/>
  <cols>
    <col min="5" max="5" width="27" bestFit="1" customWidth="1"/>
    <col min="6" max="6" width="27" customWidth="1"/>
    <col min="8" max="8" width="27.33203125" bestFit="1" customWidth="1"/>
    <col min="10" max="10" width="34.44140625" bestFit="1" customWidth="1"/>
    <col min="11" max="11" width="98.6640625" bestFit="1" customWidth="1"/>
    <col min="12" max="12" width="17.6640625" bestFit="1" customWidth="1"/>
    <col min="13" max="13" width="17.33203125" customWidth="1"/>
    <col min="15" max="15" width="14.88671875" bestFit="1" customWidth="1"/>
    <col min="17" max="17" width="16.5546875" bestFit="1" customWidth="1"/>
    <col min="19" max="19" width="17" bestFit="1" customWidth="1"/>
    <col min="20" max="20" width="23.109375" bestFit="1" customWidth="1"/>
    <col min="22" max="22" width="53.44140625" bestFit="1" customWidth="1"/>
    <col min="23" max="23" width="17.6640625" bestFit="1" customWidth="1"/>
    <col min="29" max="29" width="4.5546875" customWidth="1"/>
    <col min="33" max="33" width="7.88671875" customWidth="1"/>
    <col min="35" max="35" width="6.44140625" customWidth="1"/>
    <col min="36" max="36" width="8.44140625" customWidth="1"/>
    <col min="38" max="38" width="7.88671875" customWidth="1"/>
    <col min="39" max="39" width="8" customWidth="1"/>
    <col min="41" max="41" width="4.5546875" customWidth="1"/>
    <col min="43" max="43" width="22.109375" customWidth="1"/>
    <col min="49" max="49" width="6.6640625" customWidth="1"/>
    <col min="50" max="50" width="24.44140625" customWidth="1"/>
    <col min="64" max="64" width="39.33203125" bestFit="1" customWidth="1"/>
    <col min="70" max="70" width="11.33203125" bestFit="1" customWidth="1"/>
    <col min="71" max="71" width="16.33203125" bestFit="1" customWidth="1"/>
    <col min="72" max="72" width="17.33203125" bestFit="1" customWidth="1"/>
    <col min="73" max="73" width="15" bestFit="1" customWidth="1"/>
    <col min="74" max="74" width="23.44140625" bestFit="1" customWidth="1"/>
    <col min="75" max="75" width="13.33203125" bestFit="1" customWidth="1"/>
    <col min="76" max="76" width="12.5546875" bestFit="1" customWidth="1"/>
    <col min="77" max="77" width="40.88671875" bestFit="1" customWidth="1"/>
    <col min="78" max="78" width="24.44140625" bestFit="1" customWidth="1"/>
    <col min="79" max="79" width="21.109375" bestFit="1" customWidth="1"/>
    <col min="80" max="80" width="32.44140625" bestFit="1" customWidth="1"/>
    <col min="81" max="81" width="31.88671875" bestFit="1" customWidth="1"/>
    <col min="82" max="82" width="44" bestFit="1" customWidth="1"/>
    <col min="83" max="83" width="34.6640625" bestFit="1" customWidth="1"/>
    <col min="84" max="84" width="27.6640625" bestFit="1" customWidth="1"/>
    <col min="85" max="85" width="31.33203125" bestFit="1" customWidth="1"/>
    <col min="86" max="86" width="33.5546875" bestFit="1" customWidth="1"/>
    <col min="87" max="87" width="20.5546875" bestFit="1" customWidth="1"/>
    <col min="88" max="88" width="19.6640625" bestFit="1" customWidth="1"/>
    <col min="89" max="89" width="20.109375" bestFit="1" customWidth="1"/>
    <col min="90" max="90" width="18" bestFit="1" customWidth="1"/>
    <col min="91" max="91" width="16.5546875" bestFit="1" customWidth="1"/>
    <col min="92" max="92" width="26.6640625" bestFit="1" customWidth="1"/>
    <col min="93" max="93" width="41.44140625" bestFit="1" customWidth="1"/>
    <col min="94" max="94" width="23.109375" bestFit="1" customWidth="1"/>
    <col min="95" max="95" width="28.6640625" bestFit="1" customWidth="1"/>
    <col min="96" max="96" width="21.88671875" bestFit="1" customWidth="1"/>
    <col min="97" max="97" width="70.88671875" bestFit="1" customWidth="1"/>
    <col min="98" max="98" width="14.44140625" bestFit="1" customWidth="1"/>
    <col min="99" max="99" width="15.33203125" bestFit="1" customWidth="1"/>
    <col min="100" max="100" width="17.5546875" bestFit="1" customWidth="1"/>
    <col min="101" max="101" width="11.6640625" bestFit="1" customWidth="1"/>
    <col min="102" max="102" width="21.44140625" bestFit="1" customWidth="1"/>
    <col min="103" max="103" width="11.109375" bestFit="1" customWidth="1"/>
    <col min="104" max="104" width="8.6640625" bestFit="1" customWidth="1"/>
    <col min="105" max="105" width="26.88671875" bestFit="1" customWidth="1"/>
    <col min="106" max="106" width="38.6640625" bestFit="1" customWidth="1"/>
    <col min="107" max="107" width="47" bestFit="1" customWidth="1"/>
    <col min="108" max="108" width="40.33203125" bestFit="1" customWidth="1"/>
    <col min="109" max="109" width="16.109375" bestFit="1" customWidth="1"/>
    <col min="110" max="110" width="58.44140625" bestFit="1" customWidth="1"/>
    <col min="111" max="111" width="30.44140625" bestFit="1" customWidth="1"/>
    <col min="112" max="112" width="20" bestFit="1" customWidth="1"/>
    <col min="113" max="113" width="45.5546875" bestFit="1" customWidth="1"/>
    <col min="114" max="114" width="21.109375" bestFit="1" customWidth="1"/>
    <col min="115" max="115" width="44.44140625" bestFit="1" customWidth="1"/>
    <col min="116" max="116" width="41.109375" bestFit="1" customWidth="1"/>
    <col min="117" max="117" width="38" bestFit="1" customWidth="1"/>
    <col min="118" max="118" width="26.88671875" bestFit="1" customWidth="1"/>
    <col min="119" max="119" width="16.88671875" bestFit="1" customWidth="1"/>
    <col min="120" max="120" width="98.88671875" bestFit="1" customWidth="1"/>
    <col min="121" max="121" width="52" bestFit="1" customWidth="1"/>
    <col min="122" max="122" width="54.88671875" bestFit="1" customWidth="1"/>
    <col min="123" max="123" width="30" bestFit="1" customWidth="1"/>
    <col min="124" max="124" width="17.44140625" bestFit="1" customWidth="1"/>
    <col min="125" max="125" width="19" bestFit="1" customWidth="1"/>
    <col min="126" max="126" width="17.6640625" bestFit="1" customWidth="1"/>
    <col min="127" max="127" width="25.5546875" bestFit="1" customWidth="1"/>
    <col min="128" max="128" width="15.44140625" bestFit="1" customWidth="1"/>
    <col min="129" max="129" width="22" bestFit="1" customWidth="1"/>
    <col min="130" max="130" width="17.44140625" bestFit="1" customWidth="1"/>
    <col min="131" max="131" width="22.33203125" bestFit="1" customWidth="1"/>
    <col min="132" max="132" width="18.44140625" bestFit="1" customWidth="1"/>
    <col min="133" max="133" width="18.109375" bestFit="1" customWidth="1"/>
    <col min="134" max="134" width="21.6640625" bestFit="1" customWidth="1"/>
    <col min="135" max="135" width="31.6640625" bestFit="1" customWidth="1"/>
    <col min="136" max="136" width="12.33203125" bestFit="1" customWidth="1"/>
    <col min="137" max="137" width="20.88671875" bestFit="1" customWidth="1"/>
    <col min="138" max="138" width="19.6640625" bestFit="1" customWidth="1"/>
    <col min="139" max="139" width="19" bestFit="1" customWidth="1"/>
    <col min="140" max="140" width="24.5546875" bestFit="1" customWidth="1"/>
    <col min="141" max="141" width="61" bestFit="1" customWidth="1"/>
    <col min="142" max="142" width="16.109375" bestFit="1" customWidth="1"/>
    <col min="143" max="143" width="35.44140625" bestFit="1" customWidth="1"/>
    <col min="144" max="144" width="77.88671875" bestFit="1" customWidth="1"/>
    <col min="145" max="145" width="14.44140625" bestFit="1" customWidth="1"/>
    <col min="146" max="146" width="7" bestFit="1" customWidth="1"/>
    <col min="147" max="147" width="27.109375" bestFit="1" customWidth="1"/>
    <col min="148" max="148" width="18" bestFit="1" customWidth="1"/>
    <col min="149" max="149" width="13.88671875" bestFit="1" customWidth="1"/>
    <col min="150" max="150" width="15.6640625" bestFit="1" customWidth="1"/>
    <col min="151" max="151" width="26.6640625" bestFit="1" customWidth="1"/>
    <col min="152" max="152" width="18.5546875" bestFit="1" customWidth="1"/>
    <col min="153" max="153" width="30.33203125" bestFit="1" customWidth="1"/>
    <col min="154" max="154" width="19.44140625" bestFit="1" customWidth="1"/>
    <col min="155" max="155" width="33.44140625" bestFit="1" customWidth="1"/>
    <col min="156" max="156" width="91.5546875" bestFit="1" customWidth="1"/>
    <col min="157" max="157" width="23.33203125" bestFit="1" customWidth="1"/>
    <col min="158" max="158" width="16.109375" bestFit="1" customWidth="1"/>
    <col min="159" max="159" width="16.88671875" bestFit="1" customWidth="1"/>
    <col min="160" max="160" width="29.109375" bestFit="1" customWidth="1"/>
    <col min="161" max="161" width="25.6640625" bestFit="1" customWidth="1"/>
    <col min="162" max="162" width="12.6640625" bestFit="1" customWidth="1"/>
    <col min="163" max="163" width="2.33203125" bestFit="1" customWidth="1"/>
    <col min="164" max="164" width="38" bestFit="1" customWidth="1"/>
    <col min="165" max="165" width="26.88671875" bestFit="1" customWidth="1"/>
    <col min="166" max="166" width="34.88671875" bestFit="1" customWidth="1"/>
    <col min="167" max="167" width="36.109375" bestFit="1" customWidth="1"/>
    <col min="168" max="168" width="31" bestFit="1" customWidth="1"/>
    <col min="169" max="169" width="23.109375" bestFit="1" customWidth="1"/>
    <col min="170" max="170" width="23" bestFit="1" customWidth="1"/>
    <col min="171" max="171" width="35.5546875" bestFit="1" customWidth="1"/>
    <col min="172" max="172" width="28.6640625" bestFit="1" customWidth="1"/>
    <col min="173" max="173" width="16.33203125" bestFit="1" customWidth="1"/>
    <col min="174" max="174" width="40.5546875" bestFit="1" customWidth="1"/>
    <col min="175" max="175" width="36.109375" bestFit="1" customWidth="1"/>
    <col min="176" max="176" width="17.33203125" bestFit="1" customWidth="1"/>
    <col min="177" max="178" width="19" bestFit="1" customWidth="1"/>
    <col min="179" max="180" width="20.6640625" bestFit="1" customWidth="1"/>
    <col min="181" max="181" width="27.6640625" bestFit="1" customWidth="1"/>
    <col min="182" max="182" width="31.109375" bestFit="1" customWidth="1"/>
    <col min="183" max="183" width="41.109375" bestFit="1" customWidth="1"/>
    <col min="184" max="184" width="50.5546875" bestFit="1" customWidth="1"/>
    <col min="185" max="188" width="21.109375" bestFit="1" customWidth="1"/>
  </cols>
  <sheetData>
    <row r="1" spans="2:191" ht="15" thickBot="1">
      <c r="B1" s="1046" t="s">
        <v>489</v>
      </c>
      <c r="C1" s="1047"/>
      <c r="E1" s="341" t="s">
        <v>488</v>
      </c>
      <c r="F1" s="341"/>
      <c r="H1" s="341" t="s">
        <v>478</v>
      </c>
      <c r="J1" s="1043" t="s">
        <v>487</v>
      </c>
      <c r="K1" s="1044"/>
      <c r="L1" s="1044"/>
      <c r="M1" s="1045"/>
      <c r="Y1" s="362" t="s">
        <v>905</v>
      </c>
      <c r="Z1" s="363"/>
      <c r="AA1" s="363"/>
      <c r="AB1" s="363"/>
      <c r="AC1" s="363"/>
      <c r="AD1" s="363"/>
      <c r="AE1" s="363"/>
      <c r="AF1" s="363"/>
      <c r="AG1" s="363"/>
      <c r="AH1" s="363"/>
      <c r="AI1" s="363"/>
      <c r="AJ1" s="363"/>
      <c r="AK1" s="363"/>
      <c r="AL1" s="908" t="s">
        <v>1008</v>
      </c>
      <c r="AM1" s="908"/>
      <c r="AN1" s="908"/>
      <c r="AO1" s="908"/>
      <c r="AP1" s="363"/>
      <c r="AQ1" s="363"/>
      <c r="AR1" s="363"/>
      <c r="AS1" s="363"/>
      <c r="AT1" s="363"/>
      <c r="AU1" s="363"/>
      <c r="AV1" s="363"/>
      <c r="AW1" s="363"/>
      <c r="AX1" s="363"/>
      <c r="AY1" s="363"/>
      <c r="AZ1" s="363"/>
      <c r="BA1" s="363"/>
      <c r="BB1" s="363"/>
      <c r="BC1" s="363"/>
      <c r="BD1" s="363"/>
      <c r="BE1" s="363"/>
      <c r="BF1" s="363"/>
      <c r="BG1" s="363"/>
      <c r="BH1" s="363"/>
      <c r="BI1" s="363"/>
      <c r="BJ1" s="342"/>
      <c r="BR1" s="227" t="s">
        <v>904</v>
      </c>
    </row>
    <row r="2" spans="2:191" ht="15" thickBot="1">
      <c r="B2" s="311" t="s">
        <v>392</v>
      </c>
      <c r="C2" s="342" t="str">
        <f>CONCATENATE("(",B2,")")</f>
        <v>(i)</v>
      </c>
      <c r="E2" s="338" t="s">
        <v>863</v>
      </c>
      <c r="F2" s="338"/>
      <c r="H2" s="339" t="s">
        <v>479</v>
      </c>
      <c r="J2" s="362" t="s">
        <v>451</v>
      </c>
      <c r="K2" s="488" t="s">
        <v>452</v>
      </c>
      <c r="L2" s="488" t="s">
        <v>453</v>
      </c>
      <c r="M2" s="489" t="s">
        <v>456</v>
      </c>
      <c r="O2" s="341" t="s">
        <v>501</v>
      </c>
      <c r="Q2" s="350" t="s">
        <v>777</v>
      </c>
      <c r="S2" s="227" t="s">
        <v>797</v>
      </c>
      <c r="T2" s="227" t="s">
        <v>798</v>
      </c>
      <c r="V2" s="227" t="s">
        <v>809</v>
      </c>
      <c r="W2" s="227" t="s">
        <v>799</v>
      </c>
      <c r="Y2" s="360" t="s">
        <v>486</v>
      </c>
      <c r="Z2" s="360" t="s">
        <v>476</v>
      </c>
      <c r="AA2" s="360" t="s">
        <v>336</v>
      </c>
      <c r="AB2" s="360" t="s">
        <v>41</v>
      </c>
      <c r="AC2" s="360" t="s">
        <v>317</v>
      </c>
      <c r="AD2" s="360" t="s">
        <v>728</v>
      </c>
      <c r="AE2" s="360" t="s">
        <v>477</v>
      </c>
      <c r="AF2" s="360" t="s">
        <v>72</v>
      </c>
      <c r="AG2" s="360" t="s">
        <v>466</v>
      </c>
      <c r="AH2" s="360" t="s">
        <v>236</v>
      </c>
      <c r="AI2" s="360" t="s">
        <v>301</v>
      </c>
      <c r="AJ2" s="360" t="s">
        <v>462</v>
      </c>
      <c r="AK2" s="360" t="s">
        <v>286</v>
      </c>
      <c r="AL2" s="911" t="s">
        <v>67</v>
      </c>
      <c r="AM2" s="911" t="s">
        <v>463</v>
      </c>
      <c r="AN2" s="911" t="s">
        <v>44</v>
      </c>
      <c r="AO2" s="911" t="s">
        <v>472</v>
      </c>
      <c r="AP2" s="911" t="s">
        <v>461</v>
      </c>
      <c r="AQ2" s="360" t="s">
        <v>311</v>
      </c>
      <c r="AR2" s="360" t="s">
        <v>454</v>
      </c>
      <c r="AS2" s="360" t="s">
        <v>469</v>
      </c>
      <c r="AT2" s="360" t="s">
        <v>10</v>
      </c>
      <c r="AU2" s="360" t="s">
        <v>485</v>
      </c>
      <c r="AV2" s="360" t="s">
        <v>91</v>
      </c>
      <c r="AW2" s="360" t="s">
        <v>467</v>
      </c>
      <c r="AX2" s="341" t="s">
        <v>482</v>
      </c>
      <c r="AY2" s="361" t="s">
        <v>61</v>
      </c>
      <c r="AZ2" s="361" t="s">
        <v>835</v>
      </c>
      <c r="BA2" s="361" t="s">
        <v>850</v>
      </c>
      <c r="BB2" s="361" t="s">
        <v>836</v>
      </c>
      <c r="BC2" s="361" t="s">
        <v>837</v>
      </c>
      <c r="BD2" s="827" t="s">
        <v>43</v>
      </c>
      <c r="BE2" s="361" t="s">
        <v>1018</v>
      </c>
      <c r="BF2" s="326"/>
      <c r="BG2" s="326"/>
      <c r="BH2" s="326"/>
      <c r="BI2" s="326"/>
      <c r="BJ2" s="325"/>
      <c r="BR2" s="97" t="s">
        <v>154</v>
      </c>
      <c r="BS2" s="96" t="s">
        <v>105</v>
      </c>
      <c r="BT2" s="99" t="s">
        <v>326</v>
      </c>
      <c r="BU2" s="99" t="s">
        <v>328</v>
      </c>
      <c r="BV2" s="153" t="s">
        <v>334</v>
      </c>
      <c r="BW2" s="153" t="s">
        <v>335</v>
      </c>
      <c r="BX2" s="153" t="s">
        <v>769</v>
      </c>
      <c r="BY2" s="153" t="str">
        <f>'BS Notes'!C105</f>
        <v>Other Short Term Provision (Specify Nature)</v>
      </c>
      <c r="BZ2" s="96" t="s">
        <v>151</v>
      </c>
      <c r="CA2" s="227" t="s">
        <v>475</v>
      </c>
      <c r="CB2" s="227" t="s">
        <v>288</v>
      </c>
      <c r="CC2" s="227" t="s">
        <v>289</v>
      </c>
      <c r="CD2" s="227" t="s">
        <v>290</v>
      </c>
      <c r="CE2" s="227" t="s">
        <v>291</v>
      </c>
      <c r="CF2" s="227" t="s">
        <v>292</v>
      </c>
      <c r="CG2" s="227" t="s">
        <v>293</v>
      </c>
      <c r="CH2" s="227" t="str">
        <f>'BS Notes '!C25</f>
        <v xml:space="preserve"> Other Investments (Specify Nature)</v>
      </c>
      <c r="CI2" s="227" t="s">
        <v>729</v>
      </c>
      <c r="CJ2" s="227" t="s">
        <v>731</v>
      </c>
      <c r="CK2" s="226" t="s">
        <v>101</v>
      </c>
      <c r="CL2" s="226" t="s">
        <v>880</v>
      </c>
      <c r="CM2" s="96" t="s">
        <v>159</v>
      </c>
      <c r="CN2" s="96" t="s">
        <v>160</v>
      </c>
      <c r="CO2" s="96" t="s">
        <v>356</v>
      </c>
      <c r="CP2" s="96" t="s">
        <v>161</v>
      </c>
      <c r="CQ2" s="96" t="s">
        <v>357</v>
      </c>
      <c r="CR2" s="96" t="s">
        <v>358</v>
      </c>
      <c r="CS2" s="773" t="s">
        <v>359</v>
      </c>
      <c r="CT2" s="99" t="s">
        <v>325</v>
      </c>
      <c r="CU2" s="99" t="s">
        <v>327</v>
      </c>
      <c r="CV2" s="99" t="s">
        <v>329</v>
      </c>
      <c r="CW2" s="99" t="s">
        <v>330</v>
      </c>
      <c r="CX2" s="227" t="s">
        <v>222</v>
      </c>
      <c r="CY2" s="227" t="s">
        <v>223</v>
      </c>
      <c r="CZ2" s="227" t="s">
        <v>103</v>
      </c>
      <c r="DA2" s="99" t="s">
        <v>226</v>
      </c>
      <c r="DB2" s="99" t="s">
        <v>227</v>
      </c>
      <c r="DC2" s="99" t="s">
        <v>228</v>
      </c>
      <c r="DD2" s="99" t="str">
        <f>'BS Notes'!C71</f>
        <v>Other Short Term Loans And Advances (Specify Nature)</v>
      </c>
      <c r="DE2" s="227" t="s">
        <v>302</v>
      </c>
      <c r="DF2" s="227" t="s">
        <v>303</v>
      </c>
      <c r="DG2" s="99" t="s">
        <v>239</v>
      </c>
      <c r="DH2" s="99" t="s">
        <v>287</v>
      </c>
      <c r="DI2" s="99" t="str">
        <f>'BS Notes'!C116</f>
        <v xml:space="preserve"> Other Non-Current Investments (Specify Nature)</v>
      </c>
      <c r="DJ2" s="227" t="str">
        <f>'BS Notes '!C71</f>
        <v>Other Current Assets 1</v>
      </c>
      <c r="DK2" s="99" t="str">
        <f>'BS Notes'!C91</f>
        <v>Current Maturities Of Finance Lease Obligations</v>
      </c>
      <c r="DL2" s="99" t="str">
        <f>'BS Notes'!C92</f>
        <v>Interest Accrued But Not Due On Borrowings</v>
      </c>
      <c r="DM2" s="226" t="str">
        <f>'BS Notes'!C93</f>
        <v>Interest Accrued And Due On Borrowings</v>
      </c>
      <c r="DN2" s="99" t="str">
        <f>'BS Notes'!C94</f>
        <v>Income Received In Advance</v>
      </c>
      <c r="DO2" s="99" t="str">
        <f>'BS Notes'!C95</f>
        <v>Unpaid Dividends</v>
      </c>
      <c r="DP2" s="774" t="str">
        <f>'BS Notes'!C96</f>
        <v>Application Money Received For Allotment Of Securities And Due For Refund And Interest Accrued Thereon</v>
      </c>
      <c r="DQ2" s="774" t="str">
        <f>'BS Notes'!C97</f>
        <v>Unpaid Matured Deposits And Interest Accrued Thereon</v>
      </c>
      <c r="DR2" s="99" t="str">
        <f>'BS Notes'!C98</f>
        <v>Unpaid Matured Debentures And Interest Accrued Thereon</v>
      </c>
      <c r="DS2" s="99" t="str">
        <f>'BS Notes'!C99</f>
        <v>Other Payables (Specify Nature)</v>
      </c>
      <c r="DT2" s="775" t="str">
        <f>'PL Notes'!C84</f>
        <v>Statutory Audit</v>
      </c>
      <c r="DU2" s="775" t="str">
        <f>'PL Notes'!C85</f>
        <v>Taxation Matters</v>
      </c>
      <c r="DV2" s="775" t="str">
        <f>'PL Notes'!C87</f>
        <v>Power and Fuel</v>
      </c>
      <c r="DW2" s="775" t="str">
        <f>'PL Notes'!C88</f>
        <v>Labour Contract Charges</v>
      </c>
      <c r="DX2" s="775" t="str">
        <f>'PL Notes'!C89</f>
        <v xml:space="preserve">Factory Rent </v>
      </c>
      <c r="DY2" s="775" t="str">
        <f>'PL Notes'!C90</f>
        <v>Travelling  Expenses</v>
      </c>
      <c r="DZ2" s="775" t="str">
        <f>'PL Notes'!C91</f>
        <v>Misc. Expenses</v>
      </c>
      <c r="EA2" s="775" t="str">
        <f>'PL Notes'!C92</f>
        <v>Repair To Machinery</v>
      </c>
      <c r="EB2" s="775" t="str">
        <f>'PL Notes'!C93</f>
        <v>Rates And Taxes</v>
      </c>
      <c r="EC2" s="775" t="str">
        <f>'PL Notes'!C94</f>
        <v>Office Expenses</v>
      </c>
      <c r="ED2" s="775" t="str">
        <f>'PL Notes'!C95</f>
        <v>Operating Expenses</v>
      </c>
      <c r="EE2" s="775" t="str">
        <f>'PL Notes'!C96</f>
        <v>Other Repair And Maintanance</v>
      </c>
      <c r="EF2" s="775" t="str">
        <f>'PL Notes'!C97</f>
        <v>Insurance</v>
      </c>
      <c r="EG2" s="775" t="str">
        <f>'PL Notes'!C98</f>
        <v>Repairs To Building</v>
      </c>
      <c r="EH2" s="775" t="str">
        <f>'PL Notes'!C99</f>
        <v>Printing Expenses</v>
      </c>
      <c r="EI2" s="775" t="str">
        <f>'PL Notes'!C100</f>
        <v>Debt Written Off</v>
      </c>
      <c r="EJ2" s="775" t="str">
        <f>'PL Notes'!C101</f>
        <v>Interest On Income Tax</v>
      </c>
      <c r="EK2" s="227" t="str">
        <f>'PL Notes'!C20</f>
        <v>Interest Income (If the company is other than a fincance company)</v>
      </c>
      <c r="EL2" s="99" t="str">
        <f>'PL Notes'!C21</f>
        <v>Dividend Income</v>
      </c>
      <c r="EM2" s="99" t="str">
        <f>'PL Notes'!C22</f>
        <v>Net Gain/Loss On Sale Of Investments</v>
      </c>
      <c r="EN2" s="99" t="str">
        <f>'PL Notes'!C23</f>
        <v>Other Non - Operating Income (net of expenses directly attributable to such income)</v>
      </c>
      <c r="EO2" s="99" t="str">
        <f>'BS Notes'!C49</f>
        <v>Trade Payables</v>
      </c>
      <c r="EP2" s="99" t="str">
        <f>'BS Notes'!C50</f>
        <v>Others</v>
      </c>
      <c r="EQ2" s="227" t="s">
        <v>465</v>
      </c>
      <c r="ER2" s="619" t="s">
        <v>433</v>
      </c>
      <c r="ES2" s="96" t="str">
        <f>'BS Notes '!C15</f>
        <v>Other Assets</v>
      </c>
      <c r="ET2" s="227" t="s">
        <v>215</v>
      </c>
      <c r="EU2" s="227" t="s">
        <v>213</v>
      </c>
      <c r="EV2" s="227" t="s">
        <v>216</v>
      </c>
      <c r="EW2" s="99" t="s">
        <v>217</v>
      </c>
      <c r="EX2" s="99" t="s">
        <v>218</v>
      </c>
      <c r="EY2" s="99" t="s">
        <v>219</v>
      </c>
      <c r="EZ2" s="227" t="str">
        <f>'BS Notes'!C16</f>
        <v>Other Reserves-(specify the nature and purpose of each reserve and the amount in respect thereof)</v>
      </c>
      <c r="FA2" s="99" t="s">
        <v>812</v>
      </c>
      <c r="FB2" s="773" t="s">
        <v>448</v>
      </c>
      <c r="FC2" s="773" t="s">
        <v>811</v>
      </c>
      <c r="FD2" s="330" t="s">
        <v>470</v>
      </c>
      <c r="FE2" s="773" t="s">
        <v>447</v>
      </c>
      <c r="FF2" s="773" t="s">
        <v>471</v>
      </c>
      <c r="FG2" s="366">
        <v>0</v>
      </c>
      <c r="FH2" s="99" t="s">
        <v>484</v>
      </c>
      <c r="FI2" s="99" t="s">
        <v>240</v>
      </c>
      <c r="FJ2" s="226" t="s">
        <v>417</v>
      </c>
      <c r="FK2" s="227" t="s">
        <v>468</v>
      </c>
      <c r="FL2" s="99" t="s">
        <v>269</v>
      </c>
      <c r="FM2" s="99" t="s">
        <v>687</v>
      </c>
      <c r="FN2" s="227" t="s">
        <v>833</v>
      </c>
      <c r="FO2" s="227" t="s">
        <v>834</v>
      </c>
      <c r="FP2" s="227" t="s">
        <v>846</v>
      </c>
      <c r="FQ2" s="227" t="s">
        <v>285</v>
      </c>
      <c r="FR2" s="227" t="s">
        <v>838</v>
      </c>
      <c r="FS2" s="227" t="s">
        <v>839</v>
      </c>
      <c r="FT2" s="227" t="s">
        <v>333</v>
      </c>
      <c r="FU2" s="96" t="str">
        <f>'PL Notes'!C106</f>
        <v>Exceptional Item 1</v>
      </c>
      <c r="FV2" s="96" t="str">
        <f>'PL Notes'!C107</f>
        <v>Exceptional Item 2</v>
      </c>
      <c r="FW2" s="96" t="str">
        <f>'PL Notes'!C112</f>
        <v>Extraordinary Item 1</v>
      </c>
      <c r="FX2" s="96" t="str">
        <f>'PL Notes'!C113</f>
        <v>Extraordinary Item 2</v>
      </c>
      <c r="FY2" s="227" t="str">
        <f>'BS Notes '!C59</f>
        <v>Other C &amp; CE (Specify Nature)</v>
      </c>
      <c r="FZ2" s="227" t="str">
        <f>'BS Notes '!C35</f>
        <v xml:space="preserve"> Other Inventory (Specify Nature)</v>
      </c>
      <c r="GA2" s="227" t="str">
        <f>'BS Notes'!C55</f>
        <v>Others Long Term Provision (Specify Nature)</v>
      </c>
      <c r="GB2" s="227" t="str">
        <f>'BS Notes '!C67</f>
        <v>Other Short Term Loans and Advances (Specify Nature)</v>
      </c>
      <c r="GC2" s="227" t="str">
        <f>'BS Notes '!C72</f>
        <v>Other Current Assets 2</v>
      </c>
      <c r="GD2" s="227" t="str">
        <f>'BS Notes '!C73</f>
        <v>Other Current Assets 3</v>
      </c>
      <c r="GE2" s="227" t="str">
        <f>'BS Notes '!C74</f>
        <v>Other Current Assets 4</v>
      </c>
      <c r="GF2" s="227" t="str">
        <f>'BS Notes '!C75</f>
        <v>Other Current Assets 5</v>
      </c>
      <c r="GG2" s="227" t="str">
        <f>'BS Notes'!C105</f>
        <v>Other Short Term Provision (Specify Nature)</v>
      </c>
      <c r="GH2" s="227" t="str">
        <f>'BS Notes'!C128</f>
        <v>Other Long Term Loans And Advances (Specify Nature)</v>
      </c>
      <c r="GI2" s="361" t="s">
        <v>1018</v>
      </c>
    </row>
    <row r="3" spans="2:191" ht="16.2" thickBot="1">
      <c r="B3" s="208" t="s">
        <v>393</v>
      </c>
      <c r="C3" s="343" t="str">
        <f t="shared" ref="C3:C21" si="0">CONCATENATE("(",B3,")")</f>
        <v>(ii)</v>
      </c>
      <c r="E3" s="339" t="s">
        <v>503</v>
      </c>
      <c r="F3" s="339"/>
      <c r="H3" s="340" t="s">
        <v>480</v>
      </c>
      <c r="J3" s="208" t="s">
        <v>476</v>
      </c>
      <c r="K3" s="49" t="s">
        <v>327</v>
      </c>
      <c r="L3">
        <v>0</v>
      </c>
      <c r="M3" s="343">
        <v>0</v>
      </c>
      <c r="O3" s="347">
        <v>44651</v>
      </c>
      <c r="Q3" s="448" t="s">
        <v>257</v>
      </c>
      <c r="S3" s="270" t="s">
        <v>373</v>
      </c>
      <c r="T3" s="496" t="s">
        <v>412</v>
      </c>
      <c r="V3" s="559" t="s">
        <v>805</v>
      </c>
      <c r="W3" s="562" t="s">
        <v>378</v>
      </c>
      <c r="Y3" s="94" t="s">
        <v>154</v>
      </c>
      <c r="Z3" s="98" t="s">
        <v>105</v>
      </c>
      <c r="AA3" s="158" t="s">
        <v>334</v>
      </c>
      <c r="AB3" s="98" t="s">
        <v>151</v>
      </c>
      <c r="AC3" t="s">
        <v>288</v>
      </c>
      <c r="AD3" t="s">
        <v>729</v>
      </c>
      <c r="AE3" s="98" t="s">
        <v>159</v>
      </c>
      <c r="AF3" s="98" t="s">
        <v>357</v>
      </c>
      <c r="AG3" s="49" t="s">
        <v>325</v>
      </c>
      <c r="AH3" t="s">
        <v>222</v>
      </c>
      <c r="AI3" t="s">
        <v>302</v>
      </c>
      <c r="AJ3" s="49" t="s">
        <v>239</v>
      </c>
      <c r="AK3" s="49" t="s">
        <v>287</v>
      </c>
      <c r="AL3" s="250" t="str">
        <f>'BS Notes '!C71</f>
        <v>Other Current Assets 1</v>
      </c>
      <c r="AM3" s="910" t="str">
        <f>'BS Notes'!C91</f>
        <v>Current Maturities Of Finance Lease Obligations</v>
      </c>
      <c r="AN3" s="912" t="str">
        <f>'PL Notes'!C84</f>
        <v>Statutory Audit</v>
      </c>
      <c r="AO3" s="250" t="str">
        <f>'PL Notes'!C20</f>
        <v>Interest Income (If the company is other than a fincance company)</v>
      </c>
      <c r="AP3" s="910" t="str">
        <f>'BS Notes'!C49</f>
        <v>Trade Payables</v>
      </c>
      <c r="AQ3" t="s">
        <v>465</v>
      </c>
      <c r="AR3" t="s">
        <v>215</v>
      </c>
      <c r="AS3" s="310" t="s">
        <v>448</v>
      </c>
      <c r="AT3" s="365">
        <v>0</v>
      </c>
      <c r="AU3" s="49" t="s">
        <v>484</v>
      </c>
      <c r="AV3" s="49" t="s">
        <v>240</v>
      </c>
      <c r="AW3" t="s">
        <v>468</v>
      </c>
      <c r="AX3" s="49" t="s">
        <v>269</v>
      </c>
      <c r="AY3" t="s">
        <v>833</v>
      </c>
      <c r="AZ3" t="s">
        <v>838</v>
      </c>
      <c r="BA3" t="s">
        <v>333</v>
      </c>
      <c r="BB3" s="913" t="str">
        <f>'PL Notes'!C106</f>
        <v>Exceptional Item 1</v>
      </c>
      <c r="BC3" s="913" t="str">
        <f>'PL Notes'!C112</f>
        <v>Extraordinary Item 1</v>
      </c>
      <c r="BD3">
        <v>0</v>
      </c>
      <c r="BE3">
        <v>0</v>
      </c>
      <c r="BJ3" s="343"/>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t="s">
        <v>464</v>
      </c>
      <c r="CY3" t="s">
        <v>464</v>
      </c>
      <c r="CZ3" t="s">
        <v>464</v>
      </c>
      <c r="DA3">
        <v>0</v>
      </c>
      <c r="DB3">
        <v>0</v>
      </c>
      <c r="DC3">
        <v>0</v>
      </c>
      <c r="DD3">
        <v>0</v>
      </c>
      <c r="DE3" s="329" t="s">
        <v>464</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s="329" t="s">
        <v>464</v>
      </c>
      <c r="ER3">
        <v>0</v>
      </c>
      <c r="ES3">
        <v>0</v>
      </c>
      <c r="ET3">
        <v>0</v>
      </c>
      <c r="EU3">
        <v>0</v>
      </c>
      <c r="EV3">
        <v>0</v>
      </c>
      <c r="EW3">
        <v>0</v>
      </c>
      <c r="EX3">
        <v>0</v>
      </c>
      <c r="EY3">
        <v>0</v>
      </c>
      <c r="EZ3">
        <v>0</v>
      </c>
      <c r="FA3">
        <v>0</v>
      </c>
      <c r="FB3">
        <v>0</v>
      </c>
      <c r="FC3">
        <v>0</v>
      </c>
      <c r="FD3">
        <v>0</v>
      </c>
      <c r="FE3">
        <v>0</v>
      </c>
      <c r="FF3">
        <v>0</v>
      </c>
      <c r="FG3">
        <v>0</v>
      </c>
      <c r="FH3">
        <v>0</v>
      </c>
      <c r="FI3" t="s">
        <v>464</v>
      </c>
      <c r="FJ3">
        <v>0</v>
      </c>
      <c r="FK3" t="s">
        <v>464</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row>
    <row r="4" spans="2:191" ht="16.2" thickBot="1">
      <c r="B4" s="208" t="s">
        <v>394</v>
      </c>
      <c r="C4" s="343" t="str">
        <f t="shared" si="0"/>
        <v>(iii)</v>
      </c>
      <c r="E4" s="339" t="s">
        <v>504</v>
      </c>
      <c r="F4" s="339"/>
      <c r="J4" s="208" t="s">
        <v>336</v>
      </c>
      <c r="K4" s="49" t="s">
        <v>287</v>
      </c>
      <c r="L4" t="s">
        <v>474</v>
      </c>
      <c r="M4" s="343" t="s">
        <v>464</v>
      </c>
      <c r="O4" s="347">
        <v>45016</v>
      </c>
      <c r="Q4" s="449" t="s">
        <v>258</v>
      </c>
      <c r="S4" s="270" t="s">
        <v>374</v>
      </c>
      <c r="T4" s="497" t="s">
        <v>238</v>
      </c>
      <c r="V4" s="146" t="s">
        <v>806</v>
      </c>
      <c r="W4" s="563" t="s">
        <v>379</v>
      </c>
      <c r="Y4" s="208"/>
      <c r="Z4" s="49" t="s">
        <v>326</v>
      </c>
      <c r="AA4" s="158" t="s">
        <v>335</v>
      </c>
      <c r="AB4" t="s">
        <v>475</v>
      </c>
      <c r="AC4" t="s">
        <v>289</v>
      </c>
      <c r="AD4" t="s">
        <v>731</v>
      </c>
      <c r="AE4" s="98" t="s">
        <v>160</v>
      </c>
      <c r="AF4" s="98" t="s">
        <v>358</v>
      </c>
      <c r="AG4" s="49" t="s">
        <v>326</v>
      </c>
      <c r="AH4" t="s">
        <v>223</v>
      </c>
      <c r="AI4" t="s">
        <v>303</v>
      </c>
      <c r="AJ4" s="910" t="str">
        <f>'BS Notes'!C55</f>
        <v>Others Long Term Provision (Specify Nature)</v>
      </c>
      <c r="AK4" s="49" t="s">
        <v>288</v>
      </c>
      <c r="AL4" s="250" t="str">
        <f>'BS Notes '!C72</f>
        <v>Other Current Assets 2</v>
      </c>
      <c r="AM4" s="910" t="str">
        <f>'BS Notes'!C92</f>
        <v>Interest Accrued But Not Due On Borrowings</v>
      </c>
      <c r="AN4" s="912" t="str">
        <f>'PL Notes'!C85</f>
        <v>Taxation Matters</v>
      </c>
      <c r="AO4" s="250" t="str">
        <f>'PL Notes'!C21</f>
        <v>Dividend Income</v>
      </c>
      <c r="AP4" s="910" t="str">
        <f>'BS Notes'!C50</f>
        <v>Others</v>
      </c>
      <c r="AQ4" s="95" t="s">
        <v>433</v>
      </c>
      <c r="AR4" t="s">
        <v>213</v>
      </c>
      <c r="AS4" s="310" t="s">
        <v>811</v>
      </c>
      <c r="AV4" s="49" t="s">
        <v>240</v>
      </c>
      <c r="AW4" s="909" t="str">
        <f>'BS Notes '!C67</f>
        <v>Other Short Term Loans and Advances (Specify Nature)</v>
      </c>
      <c r="AX4" s="49" t="s">
        <v>687</v>
      </c>
      <c r="AY4" t="s">
        <v>834</v>
      </c>
      <c r="AZ4" t="s">
        <v>839</v>
      </c>
      <c r="BA4" t="s">
        <v>237</v>
      </c>
      <c r="BB4" s="914" t="str">
        <f>'PL Notes'!C107</f>
        <v>Exceptional Item 2</v>
      </c>
      <c r="BC4" s="914" t="str">
        <f>'PL Notes'!C113</f>
        <v>Extraordinary Item 2</v>
      </c>
      <c r="BJ4" s="343"/>
      <c r="CX4" t="s">
        <v>457</v>
      </c>
      <c r="CY4" t="s">
        <v>457</v>
      </c>
      <c r="CZ4" t="s">
        <v>457</v>
      </c>
      <c r="DA4" s="227"/>
      <c r="DE4" s="329" t="s">
        <v>457</v>
      </c>
      <c r="EQ4" s="329" t="s">
        <v>457</v>
      </c>
      <c r="FI4" t="s">
        <v>457</v>
      </c>
      <c r="FK4" t="s">
        <v>457</v>
      </c>
    </row>
    <row r="5" spans="2:191" ht="16.2" thickBot="1">
      <c r="B5" s="208" t="s">
        <v>395</v>
      </c>
      <c r="C5" s="343" t="str">
        <f t="shared" si="0"/>
        <v>(iv)</v>
      </c>
      <c r="E5" s="339" t="s">
        <v>505</v>
      </c>
      <c r="F5" s="339"/>
      <c r="H5" s="350" t="s">
        <v>509</v>
      </c>
      <c r="J5" s="208" t="s">
        <v>41</v>
      </c>
      <c r="K5" s="49" t="s">
        <v>291</v>
      </c>
      <c r="L5" t="s">
        <v>458</v>
      </c>
      <c r="M5" s="343" t="s">
        <v>457</v>
      </c>
      <c r="O5" s="347">
        <v>45382</v>
      </c>
      <c r="Q5" s="449" t="s">
        <v>259</v>
      </c>
      <c r="S5" s="271" t="s">
        <v>375</v>
      </c>
      <c r="T5" s="497" t="s">
        <v>725</v>
      </c>
      <c r="V5" s="560" t="s">
        <v>807</v>
      </c>
      <c r="W5" s="563" t="s">
        <v>374</v>
      </c>
      <c r="Y5" s="208"/>
      <c r="Z5" s="49" t="s">
        <v>328</v>
      </c>
      <c r="AA5" s="158" t="s">
        <v>769</v>
      </c>
      <c r="AC5" t="s">
        <v>290</v>
      </c>
      <c r="AD5" s="48" t="s">
        <v>101</v>
      </c>
      <c r="AE5" s="98" t="s">
        <v>356</v>
      </c>
      <c r="AF5" s="310" t="s">
        <v>359</v>
      </c>
      <c r="AG5" s="49" t="s">
        <v>327</v>
      </c>
      <c r="AH5" t="s">
        <v>223</v>
      </c>
      <c r="AI5" s="250" t="str">
        <f>'BS Notes'!C128</f>
        <v>Other Long Term Loans And Advances (Specify Nature)</v>
      </c>
      <c r="AK5" s="49" t="s">
        <v>289</v>
      </c>
      <c r="AL5" s="250" t="str">
        <f>'BS Notes '!C73</f>
        <v>Other Current Assets 3</v>
      </c>
      <c r="AM5" s="910" t="str">
        <f>'BS Notes'!C93</f>
        <v>Interest Accrued And Due On Borrowings</v>
      </c>
      <c r="AN5" s="912" t="str">
        <f>'PL Notes'!C87</f>
        <v>Power and Fuel</v>
      </c>
      <c r="AO5" s="250" t="str">
        <f>'PL Notes'!C22</f>
        <v>Net Gain/Loss On Sale Of Investments</v>
      </c>
      <c r="AQ5" s="913" t="str">
        <f>'BS Notes '!C15</f>
        <v>Other Assets</v>
      </c>
      <c r="AR5" t="s">
        <v>216</v>
      </c>
      <c r="AS5" s="330" t="s">
        <v>470</v>
      </c>
      <c r="AV5" t="s">
        <v>103</v>
      </c>
      <c r="AX5" s="910" t="str">
        <f>'BS Notes'!C105</f>
        <v>Other Short Term Provision (Specify Nature)</v>
      </c>
      <c r="AY5" t="s">
        <v>846</v>
      </c>
      <c r="BJ5" s="343"/>
      <c r="CX5" t="s">
        <v>460</v>
      </c>
      <c r="CY5" t="s">
        <v>460</v>
      </c>
      <c r="CZ5" t="s">
        <v>460</v>
      </c>
      <c r="DE5" s="329" t="s">
        <v>460</v>
      </c>
      <c r="EQ5" s="329" t="s">
        <v>460</v>
      </c>
      <c r="FI5" t="s">
        <v>460</v>
      </c>
      <c r="FK5" t="s">
        <v>460</v>
      </c>
    </row>
    <row r="6" spans="2:191" ht="16.2" thickBot="1">
      <c r="B6" s="208" t="s">
        <v>396</v>
      </c>
      <c r="C6" s="343" t="str">
        <f t="shared" si="0"/>
        <v>(v)</v>
      </c>
      <c r="E6" s="340" t="s">
        <v>506</v>
      </c>
      <c r="F6" s="340"/>
      <c r="H6" s="338" t="s">
        <v>510</v>
      </c>
      <c r="J6" s="208" t="s">
        <v>317</v>
      </c>
      <c r="K6" s="49" t="s">
        <v>288</v>
      </c>
      <c r="L6" t="s">
        <v>459</v>
      </c>
      <c r="M6" s="343" t="s">
        <v>460</v>
      </c>
      <c r="O6" s="347">
        <v>45747</v>
      </c>
      <c r="Q6" s="449" t="s">
        <v>260</v>
      </c>
      <c r="S6" s="272" t="s">
        <v>376</v>
      </c>
      <c r="T6" s="498" t="s">
        <v>413</v>
      </c>
      <c r="V6" s="561" t="s">
        <v>808</v>
      </c>
      <c r="W6" s="564" t="s">
        <v>375</v>
      </c>
      <c r="Y6" s="208"/>
      <c r="AA6" s="909" t="str">
        <f>'BS Notes '!C59</f>
        <v>Other C &amp; CE (Specify Nature)</v>
      </c>
      <c r="AC6" t="s">
        <v>291</v>
      </c>
      <c r="AD6" s="48" t="s">
        <v>880</v>
      </c>
      <c r="AE6" s="98" t="s">
        <v>161</v>
      </c>
      <c r="AG6" s="49" t="s">
        <v>328</v>
      </c>
      <c r="AH6" t="s">
        <v>103</v>
      </c>
      <c r="AK6" s="49" t="s">
        <v>290</v>
      </c>
      <c r="AL6" s="250" t="str">
        <f>'BS Notes '!C74</f>
        <v>Other Current Assets 4</v>
      </c>
      <c r="AM6" s="910" t="str">
        <f>'BS Notes'!C94</f>
        <v>Income Received In Advance</v>
      </c>
      <c r="AN6" s="912" t="str">
        <f>'PL Notes'!C88</f>
        <v>Labour Contract Charges</v>
      </c>
      <c r="AO6" s="250" t="str">
        <f>'PL Notes'!C23</f>
        <v>Other Non - Operating Income (net of expenses directly attributable to such income)</v>
      </c>
      <c r="AQ6" s="95"/>
      <c r="AR6" s="49" t="s">
        <v>217</v>
      </c>
      <c r="AS6" s="310" t="s">
        <v>447</v>
      </c>
      <c r="AV6" s="49" t="s">
        <v>240</v>
      </c>
      <c r="AY6" t="s">
        <v>285</v>
      </c>
      <c r="BJ6" s="343"/>
    </row>
    <row r="7" spans="2:191" ht="16.2" thickBot="1">
      <c r="B7" s="208" t="s">
        <v>397</v>
      </c>
      <c r="C7" s="343" t="str">
        <f t="shared" si="0"/>
        <v>(vi)</v>
      </c>
      <c r="H7" s="340" t="s">
        <v>508</v>
      </c>
      <c r="J7" s="490" t="s">
        <v>101</v>
      </c>
      <c r="K7" s="49" t="s">
        <v>290</v>
      </c>
      <c r="L7" s="98" t="s">
        <v>148</v>
      </c>
      <c r="M7" s="343"/>
      <c r="O7" s="347">
        <v>46112</v>
      </c>
      <c r="W7" s="565" t="s">
        <v>376</v>
      </c>
      <c r="Y7" s="208"/>
      <c r="AC7" t="s">
        <v>292</v>
      </c>
      <c r="AG7" s="49" t="s">
        <v>329</v>
      </c>
      <c r="AH7" t="s">
        <v>222</v>
      </c>
      <c r="AK7" s="49" t="s">
        <v>291</v>
      </c>
      <c r="AL7" s="250" t="str">
        <f>'BS Notes '!C75</f>
        <v>Other Current Assets 5</v>
      </c>
      <c r="AM7" s="910" t="str">
        <f>'BS Notes'!C95</f>
        <v>Unpaid Dividends</v>
      </c>
      <c r="AN7" s="912" t="str">
        <f>'PL Notes'!C89</f>
        <v xml:space="preserve">Factory Rent </v>
      </c>
      <c r="AQ7" s="98"/>
      <c r="AR7" s="49" t="s">
        <v>218</v>
      </c>
      <c r="AS7" s="310" t="s">
        <v>471</v>
      </c>
      <c r="AV7" s="49" t="s">
        <v>240</v>
      </c>
      <c r="BJ7" s="343"/>
      <c r="BL7" s="49"/>
    </row>
    <row r="8" spans="2:191" ht="16.2" thickBot="1">
      <c r="B8" s="208" t="s">
        <v>398</v>
      </c>
      <c r="C8" s="343" t="str">
        <f t="shared" si="0"/>
        <v>(vii)</v>
      </c>
      <c r="E8" s="227" t="s">
        <v>858</v>
      </c>
      <c r="F8" s="227"/>
      <c r="J8" s="208" t="s">
        <v>477</v>
      </c>
      <c r="K8" s="49" t="s">
        <v>292</v>
      </c>
      <c r="L8" t="s">
        <v>154</v>
      </c>
      <c r="M8" s="343"/>
      <c r="O8" s="347">
        <v>46477</v>
      </c>
      <c r="Q8" t="s">
        <v>502</v>
      </c>
      <c r="Y8" s="208"/>
      <c r="AC8" t="s">
        <v>293</v>
      </c>
      <c r="AG8" s="49" t="s">
        <v>330</v>
      </c>
      <c r="AH8" t="s">
        <v>223</v>
      </c>
      <c r="AK8" s="49" t="s">
        <v>292</v>
      </c>
      <c r="AM8" s="910" t="str">
        <f>'BS Notes'!C96</f>
        <v>Application Money Received For Allotment Of Securities And Due For Refund And Interest Accrued Thereon</v>
      </c>
      <c r="AN8" s="912" t="str">
        <f>'PL Notes'!C90</f>
        <v>Travelling  Expenses</v>
      </c>
      <c r="AR8" s="49" t="s">
        <v>219</v>
      </c>
      <c r="AV8" t="s">
        <v>103</v>
      </c>
      <c r="BJ8" s="343"/>
      <c r="BO8" t="e">
        <f ca="1">OFFSET('Support Sheet'!$Y$2,1,MATCH($F9,'Support Sheet'!$Y$2:$BJ$2,0)-1,COUNTA(OFFSET('Support Sheet'!$Y$2,1,MATCH($F9,'Support Sheet'!$Y$2:$BJ$2,0)-1,25,1)),1)</f>
        <v>#N/A</v>
      </c>
    </row>
    <row r="9" spans="2:191" ht="15.6">
      <c r="B9" s="208" t="s">
        <v>399</v>
      </c>
      <c r="C9" s="343" t="str">
        <f t="shared" si="0"/>
        <v>(viii)</v>
      </c>
      <c r="E9" s="338" t="s">
        <v>855</v>
      </c>
      <c r="J9" s="208" t="s">
        <v>72</v>
      </c>
      <c r="K9" s="49" t="s">
        <v>293</v>
      </c>
      <c r="M9" s="343"/>
      <c r="O9" s="347">
        <v>46843</v>
      </c>
      <c r="Y9" s="208"/>
      <c r="AC9" s="250" t="str">
        <f>'BS Notes '!C25</f>
        <v xml:space="preserve"> Other Investments (Specify Nature)</v>
      </c>
      <c r="AG9" s="910" t="str">
        <f>'BS Notes '!C35</f>
        <v xml:space="preserve"> Other Inventory (Specify Nature)</v>
      </c>
      <c r="AH9" t="s">
        <v>223</v>
      </c>
      <c r="AK9" s="49" t="s">
        <v>293</v>
      </c>
      <c r="AM9" s="910" t="str">
        <f>'BS Notes'!C97</f>
        <v>Unpaid Matured Deposits And Interest Accrued Thereon</v>
      </c>
      <c r="AN9" s="912" t="str">
        <f>'PL Notes'!C91</f>
        <v>Misc. Expenses</v>
      </c>
      <c r="AR9" s="250" t="str">
        <f>'BS Notes'!C16</f>
        <v>Other Reserves-(specify the nature and purpose of each reserve and the amount in respect thereof)</v>
      </c>
      <c r="AV9" s="49" t="s">
        <v>227</v>
      </c>
      <c r="BJ9" s="343"/>
      <c r="BO9">
        <f ca="1">OFFSET('Support Sheet'!$BR$2,1,MATCH('Trial Balance'!$G9,'Support Sheet'!$BR$2:$GC$2,0)-1,COUNTA(OFFSET('Support Sheet'!$BR$2,1,MATCH('Trial Balance'!$G9,'Support Sheet'!$BR$2:$GC$2,0)-1,15)),1)</f>
        <v>0</v>
      </c>
    </row>
    <row r="10" spans="2:191" ht="15.6">
      <c r="B10" s="208" t="s">
        <v>400</v>
      </c>
      <c r="C10" s="343" t="str">
        <f t="shared" si="0"/>
        <v>(ix)</v>
      </c>
      <c r="E10" s="339" t="s">
        <v>856</v>
      </c>
      <c r="G10" s="422">
        <f>IF('Control Sheet'!$C$18='Support Sheet'!E2,100,IF('Control Sheet'!$C$18='Support Sheet'!E3,1000,IF('Control Sheet'!$C$18='Support Sheet'!E4,100000,IF('Control Sheet'!$C$18='Support Sheet'!E5,1000000,10000000))))</f>
        <v>100</v>
      </c>
      <c r="J10" s="208" t="s">
        <v>466</v>
      </c>
      <c r="K10" s="49" t="s">
        <v>289</v>
      </c>
      <c r="M10" s="343"/>
      <c r="O10" s="347">
        <v>47208</v>
      </c>
      <c r="Y10" s="208"/>
      <c r="AH10" t="s">
        <v>103</v>
      </c>
      <c r="AK10" s="910" t="str">
        <f>'BS Notes'!C116</f>
        <v xml:space="preserve"> Other Non-Current Investments (Specify Nature)</v>
      </c>
      <c r="AM10" s="910" t="str">
        <f>'BS Notes'!C98</f>
        <v>Unpaid Matured Debentures And Interest Accrued Thereon</v>
      </c>
      <c r="AN10" s="912" t="str">
        <f>'PL Notes'!C92</f>
        <v>Repair To Machinery</v>
      </c>
      <c r="AR10" s="49" t="s">
        <v>812</v>
      </c>
      <c r="AV10" s="48" t="s">
        <v>417</v>
      </c>
      <c r="BJ10" s="343"/>
    </row>
    <row r="11" spans="2:191" ht="16.2" thickBot="1">
      <c r="B11" s="208" t="s">
        <v>401</v>
      </c>
      <c r="C11" s="343" t="str">
        <f t="shared" si="0"/>
        <v>(x)</v>
      </c>
      <c r="E11" s="340" t="s">
        <v>857</v>
      </c>
      <c r="J11" s="208" t="s">
        <v>236</v>
      </c>
      <c r="K11" s="49" t="s">
        <v>330</v>
      </c>
      <c r="M11" s="343"/>
      <c r="O11" s="348">
        <v>47573</v>
      </c>
      <c r="Y11" s="208"/>
      <c r="AH11" s="49" t="s">
        <v>226</v>
      </c>
      <c r="AM11" s="910" t="str">
        <f>'BS Notes'!C99</f>
        <v>Other Payables (Specify Nature)</v>
      </c>
      <c r="AN11" s="912" t="str">
        <f>'PL Notes'!C93</f>
        <v>Rates And Taxes</v>
      </c>
      <c r="AV11" s="910" t="str">
        <f>'BS Notes'!C71</f>
        <v>Other Short Term Loans And Advances (Specify Nature)</v>
      </c>
      <c r="BJ11" s="343"/>
    </row>
    <row r="12" spans="2:191" ht="15" thickBot="1">
      <c r="B12" s="208" t="s">
        <v>402</v>
      </c>
      <c r="C12" s="343" t="str">
        <f t="shared" si="0"/>
        <v>(xi)</v>
      </c>
      <c r="J12" s="208" t="s">
        <v>301</v>
      </c>
      <c r="K12" t="s">
        <v>318</v>
      </c>
      <c r="M12" s="343"/>
      <c r="Y12" s="208"/>
      <c r="AH12" s="49" t="s">
        <v>227</v>
      </c>
      <c r="AN12" s="912" t="str">
        <f>'PL Notes'!C94</f>
        <v>Office Expenses</v>
      </c>
      <c r="BJ12" s="343"/>
    </row>
    <row r="13" spans="2:191" ht="15" thickBot="1">
      <c r="B13" s="208" t="s">
        <v>403</v>
      </c>
      <c r="C13" s="343" t="str">
        <f t="shared" si="0"/>
        <v>(xii)</v>
      </c>
      <c r="J13" s="208" t="s">
        <v>462</v>
      </c>
      <c r="K13" s="49" t="s">
        <v>294</v>
      </c>
      <c r="M13" s="343"/>
      <c r="V13" s="341" t="s">
        <v>967</v>
      </c>
      <c r="Y13" s="208"/>
      <c r="AH13" s="49" t="s">
        <v>228</v>
      </c>
      <c r="AN13" s="912" t="str">
        <f>'PL Notes'!C95</f>
        <v>Operating Expenses</v>
      </c>
      <c r="BJ13" s="343"/>
    </row>
    <row r="14" spans="2:191" ht="15" thickBot="1">
      <c r="B14" s="208" t="s">
        <v>404</v>
      </c>
      <c r="C14" s="343" t="str">
        <f t="shared" si="0"/>
        <v>(xiii)</v>
      </c>
      <c r="E14" s="227" t="s">
        <v>1001</v>
      </c>
      <c r="J14" s="208" t="s">
        <v>286</v>
      </c>
      <c r="K14" s="49" t="s">
        <v>325</v>
      </c>
      <c r="L14" s="98"/>
      <c r="M14" s="343"/>
      <c r="V14" s="338" t="s">
        <v>936</v>
      </c>
      <c r="Y14" s="208"/>
      <c r="AH14" s="910" t="str">
        <f>'BS Notes'!C41</f>
        <v>Other Loans And Advances (Specify Nature)</v>
      </c>
      <c r="AN14" s="912" t="str">
        <f>'PL Notes'!C96</f>
        <v>Other Repair And Maintanance</v>
      </c>
      <c r="BJ14" s="343"/>
    </row>
    <row r="15" spans="2:191">
      <c r="B15" s="208" t="s">
        <v>405</v>
      </c>
      <c r="C15" s="343" t="str">
        <f t="shared" si="0"/>
        <v>(xiv)</v>
      </c>
      <c r="E15" s="338" t="s">
        <v>999</v>
      </c>
      <c r="J15" s="208" t="s">
        <v>67</v>
      </c>
      <c r="K15" s="49" t="s">
        <v>219</v>
      </c>
      <c r="M15" s="343"/>
      <c r="V15" s="339" t="s">
        <v>939</v>
      </c>
      <c r="Y15" s="208"/>
      <c r="AN15" s="912" t="str">
        <f>'PL Notes'!C97</f>
        <v>Insurance</v>
      </c>
      <c r="BJ15" s="343"/>
    </row>
    <row r="16" spans="2:191" ht="15" thickBot="1">
      <c r="B16" s="208" t="s">
        <v>406</v>
      </c>
      <c r="C16" s="343" t="str">
        <f t="shared" si="0"/>
        <v>(xv)</v>
      </c>
      <c r="E16" s="340" t="s">
        <v>1000</v>
      </c>
      <c r="J16" s="208" t="s">
        <v>463</v>
      </c>
      <c r="K16" s="49" t="s">
        <v>328</v>
      </c>
      <c r="M16" s="343"/>
      <c r="V16" s="339" t="s">
        <v>940</v>
      </c>
      <c r="Y16" s="208"/>
      <c r="AN16" s="912" t="str">
        <f>'PL Notes'!C98</f>
        <v>Repairs To Building</v>
      </c>
      <c r="BJ16" s="343"/>
    </row>
    <row r="17" spans="2:191">
      <c r="B17" s="208" t="s">
        <v>407</v>
      </c>
      <c r="C17" s="343" t="str">
        <f t="shared" si="0"/>
        <v>(xvi)</v>
      </c>
      <c r="J17" s="208" t="s">
        <v>44</v>
      </c>
      <c r="K17" s="49" t="s">
        <v>329</v>
      </c>
      <c r="M17" s="343"/>
      <c r="V17" s="339" t="s">
        <v>941</v>
      </c>
      <c r="Y17" s="208"/>
      <c r="AN17" s="912" t="str">
        <f>'PL Notes'!C99</f>
        <v>Printing Expenses</v>
      </c>
      <c r="BJ17" s="343"/>
    </row>
    <row r="18" spans="2:191">
      <c r="B18" s="208" t="s">
        <v>408</v>
      </c>
      <c r="C18" s="343" t="str">
        <f t="shared" si="0"/>
        <v>(xvii)</v>
      </c>
      <c r="J18" s="208" t="s">
        <v>472</v>
      </c>
      <c r="K18" s="49" t="s">
        <v>326</v>
      </c>
      <c r="M18" s="343"/>
      <c r="V18" s="339" t="s">
        <v>942</v>
      </c>
      <c r="Y18" s="208"/>
      <c r="AN18" s="912" t="str">
        <f>'PL Notes'!C100</f>
        <v>Debt Written Off</v>
      </c>
      <c r="BJ18" s="343"/>
    </row>
    <row r="19" spans="2:191">
      <c r="B19" s="208" t="s">
        <v>409</v>
      </c>
      <c r="C19" s="343" t="str">
        <f t="shared" si="0"/>
        <v>(xviii)</v>
      </c>
      <c r="J19" s="208" t="s">
        <v>461</v>
      </c>
      <c r="K19" s="310" t="s">
        <v>359</v>
      </c>
      <c r="M19" s="343"/>
      <c r="V19" s="339" t="s">
        <v>943</v>
      </c>
      <c r="Y19" s="208"/>
      <c r="AN19" s="912" t="str">
        <f>'PL Notes'!C101</f>
        <v>Interest On Income Tax</v>
      </c>
      <c r="BJ19" s="343"/>
    </row>
    <row r="20" spans="2:191">
      <c r="B20" s="208" t="s">
        <v>410</v>
      </c>
      <c r="C20" s="343" t="str">
        <f t="shared" si="0"/>
        <v>(xix)</v>
      </c>
      <c r="J20" s="208" t="s">
        <v>311</v>
      </c>
      <c r="K20" s="327" t="s">
        <v>268</v>
      </c>
      <c r="M20" s="343"/>
      <c r="V20" s="339" t="s">
        <v>944</v>
      </c>
      <c r="Y20" s="208"/>
      <c r="BJ20" s="343"/>
    </row>
    <row r="21" spans="2:191" ht="15" thickBot="1">
      <c r="B21" s="312" t="s">
        <v>411</v>
      </c>
      <c r="C21" s="344" t="str">
        <f t="shared" si="0"/>
        <v>(xx)</v>
      </c>
      <c r="J21" s="208" t="s">
        <v>454</v>
      </c>
      <c r="K21" t="s">
        <v>222</v>
      </c>
      <c r="M21" s="343"/>
      <c r="V21" s="339" t="s">
        <v>945</v>
      </c>
      <c r="Y21" s="208"/>
      <c r="BJ21" s="343"/>
    </row>
    <row r="22" spans="2:191">
      <c r="J22" s="208" t="s">
        <v>469</v>
      </c>
      <c r="K22" t="s">
        <v>302</v>
      </c>
      <c r="M22" s="343"/>
      <c r="V22" s="339" t="s">
        <v>946</v>
      </c>
      <c r="Y22" s="208"/>
      <c r="BJ22" s="343"/>
    </row>
    <row r="23" spans="2:191">
      <c r="J23" s="208" t="s">
        <v>91</v>
      </c>
      <c r="K23" t="s">
        <v>213</v>
      </c>
      <c r="M23" s="343"/>
      <c r="V23" s="339" t="s">
        <v>947</v>
      </c>
      <c r="Y23" s="208"/>
      <c r="BJ23" s="343"/>
    </row>
    <row r="24" spans="2:191">
      <c r="J24" s="208" t="s">
        <v>467</v>
      </c>
      <c r="K24" t="s">
        <v>215</v>
      </c>
      <c r="M24" s="343"/>
      <c r="V24" s="339" t="s">
        <v>948</v>
      </c>
      <c r="Y24" s="208"/>
      <c r="BJ24" s="343"/>
    </row>
    <row r="25" spans="2:191" ht="15" thickBot="1">
      <c r="J25" s="208" t="s">
        <v>482</v>
      </c>
      <c r="K25" s="158" t="s">
        <v>335</v>
      </c>
      <c r="M25" s="343"/>
      <c r="V25" s="339" t="s">
        <v>949</v>
      </c>
      <c r="Y25" s="312"/>
      <c r="Z25" s="324"/>
      <c r="AA25" s="324"/>
      <c r="AB25" s="324"/>
      <c r="AC25" s="324"/>
      <c r="AD25" s="324"/>
      <c r="AE25" s="324"/>
      <c r="AF25" s="324"/>
      <c r="AG25" s="324"/>
      <c r="AH25" s="324"/>
      <c r="AI25" s="324"/>
      <c r="AJ25" s="324"/>
      <c r="AK25" s="324"/>
      <c r="AL25" s="324"/>
      <c r="AM25" s="324"/>
      <c r="AN25" s="324"/>
      <c r="AO25" s="324"/>
      <c r="AP25" s="324"/>
      <c r="AQ25" s="324"/>
      <c r="AR25" s="324"/>
      <c r="AS25" s="324"/>
      <c r="AT25" s="324"/>
      <c r="AU25" s="324"/>
      <c r="AV25" s="324"/>
      <c r="AW25" s="324"/>
      <c r="AX25" s="324"/>
      <c r="AY25" s="324"/>
      <c r="AZ25" s="324"/>
      <c r="BA25" s="324"/>
      <c r="BB25" s="324"/>
      <c r="BC25" s="324"/>
      <c r="BD25" s="324"/>
      <c r="BE25" s="324"/>
      <c r="BF25" s="324"/>
      <c r="BG25" s="324"/>
      <c r="BH25" s="324"/>
      <c r="BI25" s="324"/>
      <c r="BJ25" s="344"/>
      <c r="BR25" s="227" t="s">
        <v>968</v>
      </c>
    </row>
    <row r="26" spans="2:191" ht="15" thickBot="1">
      <c r="J26" s="208" t="s">
        <v>485</v>
      </c>
      <c r="K26" s="158" t="s">
        <v>334</v>
      </c>
      <c r="M26" s="343"/>
      <c r="V26" s="339" t="s">
        <v>950</v>
      </c>
      <c r="BR26" s="97" t="s">
        <v>154</v>
      </c>
      <c r="BS26" s="96" t="s">
        <v>105</v>
      </c>
      <c r="BT26" s="99" t="s">
        <v>326</v>
      </c>
      <c r="BU26" s="99" t="s">
        <v>328</v>
      </c>
      <c r="BV26" s="153" t="s">
        <v>334</v>
      </c>
      <c r="BW26" s="153" t="s">
        <v>335</v>
      </c>
      <c r="BX26" s="153" t="s">
        <v>769</v>
      </c>
      <c r="BY26" s="153" t="str">
        <f>'BS Notes'!C105</f>
        <v>Other Short Term Provision (Specify Nature)</v>
      </c>
      <c r="BZ26" s="96" t="s">
        <v>151</v>
      </c>
      <c r="CA26" s="227" t="s">
        <v>475</v>
      </c>
      <c r="CB26" s="227" t="s">
        <v>288</v>
      </c>
      <c r="CC26" s="227" t="s">
        <v>289</v>
      </c>
      <c r="CD26" s="227" t="s">
        <v>290</v>
      </c>
      <c r="CE26" s="227" t="s">
        <v>291</v>
      </c>
      <c r="CF26" s="227" t="s">
        <v>292</v>
      </c>
      <c r="CG26" s="227" t="s">
        <v>293</v>
      </c>
      <c r="CH26" s="227" t="str">
        <f>'BS Notes '!C25</f>
        <v xml:space="preserve"> Other Investments (Specify Nature)</v>
      </c>
      <c r="CI26" s="227" t="s">
        <v>729</v>
      </c>
      <c r="CJ26" s="227" t="s">
        <v>731</v>
      </c>
      <c r="CK26" s="226" t="s">
        <v>101</v>
      </c>
      <c r="CL26" s="226" t="s">
        <v>880</v>
      </c>
      <c r="CM26" s="96" t="s">
        <v>159</v>
      </c>
      <c r="CN26" s="96" t="s">
        <v>160</v>
      </c>
      <c r="CO26" s="96" t="s">
        <v>356</v>
      </c>
      <c r="CP26" s="96" t="s">
        <v>161</v>
      </c>
      <c r="CQ26" s="96" t="s">
        <v>357</v>
      </c>
      <c r="CR26" s="96" t="s">
        <v>358</v>
      </c>
      <c r="CS26" s="773" t="s">
        <v>359</v>
      </c>
      <c r="CT26" s="99" t="s">
        <v>325</v>
      </c>
      <c r="CU26" s="99" t="s">
        <v>327</v>
      </c>
      <c r="CV26" s="99" t="s">
        <v>329</v>
      </c>
      <c r="CW26" s="99" t="s">
        <v>330</v>
      </c>
      <c r="CX26" s="227" t="s">
        <v>222</v>
      </c>
      <c r="CY26" s="227" t="s">
        <v>223</v>
      </c>
      <c r="CZ26" s="227" t="s">
        <v>103</v>
      </c>
      <c r="DA26" s="99" t="s">
        <v>226</v>
      </c>
      <c r="DB26" s="99" t="s">
        <v>227</v>
      </c>
      <c r="DC26" s="99" t="s">
        <v>228</v>
      </c>
      <c r="DD26" s="99" t="str">
        <f>'BS Notes'!C71</f>
        <v>Other Short Term Loans And Advances (Specify Nature)</v>
      </c>
      <c r="DE26" s="227" t="s">
        <v>302</v>
      </c>
      <c r="DF26" s="227" t="s">
        <v>303</v>
      </c>
      <c r="DG26" s="99" t="s">
        <v>239</v>
      </c>
      <c r="DH26" s="99" t="s">
        <v>287</v>
      </c>
      <c r="DI26" s="99" t="str">
        <f>'BS Notes'!C116</f>
        <v xml:space="preserve"> Other Non-Current Investments (Specify Nature)</v>
      </c>
      <c r="DJ26" s="227" t="str">
        <f>'BS Notes '!C71</f>
        <v>Other Current Assets 1</v>
      </c>
      <c r="DK26" s="99" t="str">
        <f>'BS Notes'!C91</f>
        <v>Current Maturities Of Finance Lease Obligations</v>
      </c>
      <c r="DL26" s="99" t="str">
        <f>'BS Notes'!C92</f>
        <v>Interest Accrued But Not Due On Borrowings</v>
      </c>
      <c r="DM26" s="226" t="str">
        <f>'BS Notes'!C93</f>
        <v>Interest Accrued And Due On Borrowings</v>
      </c>
      <c r="DN26" s="99" t="str">
        <f>'BS Notes'!C94</f>
        <v>Income Received In Advance</v>
      </c>
      <c r="DO26" s="99" t="str">
        <f>'BS Notes'!C95</f>
        <v>Unpaid Dividends</v>
      </c>
      <c r="DP26" s="774" t="str">
        <f>'BS Notes'!C96</f>
        <v>Application Money Received For Allotment Of Securities And Due For Refund And Interest Accrued Thereon</v>
      </c>
      <c r="DQ26" s="774" t="str">
        <f>'BS Notes'!C97</f>
        <v>Unpaid Matured Deposits And Interest Accrued Thereon</v>
      </c>
      <c r="DR26" s="99" t="str">
        <f>'BS Notes'!C98</f>
        <v>Unpaid Matured Debentures And Interest Accrued Thereon</v>
      </c>
      <c r="DS26" s="99" t="str">
        <f>'BS Notes'!C99</f>
        <v>Other Payables (Specify Nature)</v>
      </c>
      <c r="DT26" s="775" t="str">
        <f>'PL Notes'!C84</f>
        <v>Statutory Audit</v>
      </c>
      <c r="DU26" s="775" t="str">
        <f>'PL Notes'!C85</f>
        <v>Taxation Matters</v>
      </c>
      <c r="DV26" s="775" t="str">
        <f>'PL Notes'!C87</f>
        <v>Power and Fuel</v>
      </c>
      <c r="DW26" s="775" t="str">
        <f>'PL Notes'!C88</f>
        <v>Labour Contract Charges</v>
      </c>
      <c r="DX26" s="775" t="str">
        <f>'PL Notes'!C89</f>
        <v xml:space="preserve">Factory Rent </v>
      </c>
      <c r="DY26" s="775" t="str">
        <f>'PL Notes'!C90</f>
        <v>Travelling  Expenses</v>
      </c>
      <c r="DZ26" s="775" t="str">
        <f>'PL Notes'!C91</f>
        <v>Misc. Expenses</v>
      </c>
      <c r="EA26" s="775" t="str">
        <f>'PL Notes'!C92</f>
        <v>Repair To Machinery</v>
      </c>
      <c r="EB26" s="775" t="str">
        <f>'PL Notes'!C93</f>
        <v>Rates And Taxes</v>
      </c>
      <c r="EC26" s="775" t="str">
        <f>'PL Notes'!C94</f>
        <v>Office Expenses</v>
      </c>
      <c r="ED26" s="775" t="str">
        <f>'PL Notes'!C95</f>
        <v>Operating Expenses</v>
      </c>
      <c r="EE26" s="775" t="str">
        <f>'PL Notes'!C96</f>
        <v>Other Repair And Maintanance</v>
      </c>
      <c r="EF26" s="775" t="str">
        <f>'PL Notes'!C97</f>
        <v>Insurance</v>
      </c>
      <c r="EG26" s="775" t="str">
        <f>'PL Notes'!C98</f>
        <v>Repairs To Building</v>
      </c>
      <c r="EH26" s="775" t="str">
        <f>'PL Notes'!C99</f>
        <v>Printing Expenses</v>
      </c>
      <c r="EI26" s="775" t="str">
        <f>'PL Notes'!C100</f>
        <v>Debt Written Off</v>
      </c>
      <c r="EJ26" s="775" t="str">
        <f>'PL Notes'!C101</f>
        <v>Interest On Income Tax</v>
      </c>
      <c r="EK26" s="227" t="str">
        <f>'PL Notes'!C20</f>
        <v>Interest Income (If the company is other than a fincance company)</v>
      </c>
      <c r="EL26" s="99" t="str">
        <f>'PL Notes'!C21</f>
        <v>Dividend Income</v>
      </c>
      <c r="EM26" s="99" t="str">
        <f>'PL Notes'!C22</f>
        <v>Net Gain/Loss On Sale Of Investments</v>
      </c>
      <c r="EN26" s="99" t="str">
        <f>'PL Notes'!C23</f>
        <v>Other Non - Operating Income (net of expenses directly attributable to such income)</v>
      </c>
      <c r="EO26" s="99" t="str">
        <f>'BS Notes'!C49</f>
        <v>Trade Payables</v>
      </c>
      <c r="EP26" s="99" t="str">
        <f>'BS Notes'!C50</f>
        <v>Others</v>
      </c>
      <c r="EQ26" s="227" t="s">
        <v>465</v>
      </c>
      <c r="ER26" s="619" t="s">
        <v>433</v>
      </c>
      <c r="ES26" s="96" t="str">
        <f>'BS Notes '!C15</f>
        <v>Other Assets</v>
      </c>
      <c r="ET26" s="227" t="s">
        <v>215</v>
      </c>
      <c r="EU26" s="227" t="s">
        <v>213</v>
      </c>
      <c r="EV26" s="227" t="s">
        <v>216</v>
      </c>
      <c r="EW26" s="99" t="s">
        <v>217</v>
      </c>
      <c r="EX26" s="99" t="s">
        <v>218</v>
      </c>
      <c r="EY26" s="99" t="s">
        <v>219</v>
      </c>
      <c r="EZ26" s="227" t="str">
        <f>'BS Notes'!C16</f>
        <v>Other Reserves-(specify the nature and purpose of each reserve and the amount in respect thereof)</v>
      </c>
      <c r="FA26" s="99" t="s">
        <v>812</v>
      </c>
      <c r="FB26" s="773" t="s">
        <v>448</v>
      </c>
      <c r="FC26" s="773" t="s">
        <v>811</v>
      </c>
      <c r="FD26" s="330" t="s">
        <v>470</v>
      </c>
      <c r="FE26" s="773" t="s">
        <v>447</v>
      </c>
      <c r="FF26" s="773" t="s">
        <v>471</v>
      </c>
      <c r="FG26" s="366">
        <v>0</v>
      </c>
      <c r="FH26" s="99" t="s">
        <v>484</v>
      </c>
      <c r="FI26" s="99" t="s">
        <v>240</v>
      </c>
      <c r="FJ26" s="226" t="s">
        <v>417</v>
      </c>
      <c r="FK26" s="227" t="s">
        <v>468</v>
      </c>
      <c r="FL26" s="99" t="s">
        <v>269</v>
      </c>
      <c r="FM26" s="99" t="s">
        <v>687</v>
      </c>
      <c r="FN26" s="227" t="s">
        <v>833</v>
      </c>
      <c r="FO26" s="227" t="s">
        <v>834</v>
      </c>
      <c r="FP26" s="227" t="s">
        <v>846</v>
      </c>
      <c r="FQ26" s="227" t="s">
        <v>285</v>
      </c>
      <c r="FR26" s="227" t="s">
        <v>838</v>
      </c>
      <c r="FS26" s="227" t="s">
        <v>839</v>
      </c>
      <c r="FT26" s="227" t="s">
        <v>333</v>
      </c>
      <c r="FU26" s="96" t="str">
        <f>'PL Notes'!C106</f>
        <v>Exceptional Item 1</v>
      </c>
      <c r="FV26" s="96" t="str">
        <f>'PL Notes'!C107</f>
        <v>Exceptional Item 2</v>
      </c>
      <c r="FW26" s="96" t="str">
        <f>'PL Notes'!C112</f>
        <v>Extraordinary Item 1</v>
      </c>
      <c r="FX26" s="96" t="str">
        <f>'PL Notes'!C113</f>
        <v>Extraordinary Item 2</v>
      </c>
      <c r="FY26" s="227" t="str">
        <f>'BS Notes '!C59</f>
        <v>Other C &amp; CE (Specify Nature)</v>
      </c>
      <c r="FZ26" s="227" t="str">
        <f>'BS Notes '!C35</f>
        <v xml:space="preserve"> Other Inventory (Specify Nature)</v>
      </c>
      <c r="GA26" s="227" t="str">
        <f>'BS Notes'!C55</f>
        <v>Others Long Term Provision (Specify Nature)</v>
      </c>
      <c r="GB26" s="227" t="str">
        <f>'BS Notes '!C67</f>
        <v>Other Short Term Loans and Advances (Specify Nature)</v>
      </c>
      <c r="GC26" s="227" t="str">
        <f>'BS Notes '!C72</f>
        <v>Other Current Assets 2</v>
      </c>
      <c r="GD26" s="227" t="str">
        <f>'BS Notes '!C73</f>
        <v>Other Current Assets 3</v>
      </c>
      <c r="GE26" s="227" t="str">
        <f>'BS Notes '!C74</f>
        <v>Other Current Assets 4</v>
      </c>
      <c r="GF26" s="227" t="str">
        <f>'BS Notes '!C75</f>
        <v>Other Current Assets 5</v>
      </c>
      <c r="GG26" s="227" t="str">
        <f>'BS Notes'!C105</f>
        <v>Other Short Term Provision (Specify Nature)</v>
      </c>
      <c r="GH26" s="227" t="str">
        <f>'BS Notes'!C128</f>
        <v>Other Long Term Loans And Advances (Specify Nature)</v>
      </c>
      <c r="GI26" s="361" t="s">
        <v>1018</v>
      </c>
    </row>
    <row r="27" spans="2:191">
      <c r="J27" s="208" t="s">
        <v>486</v>
      </c>
      <c r="K27" s="49" t="s">
        <v>386</v>
      </c>
      <c r="M27" s="343"/>
      <c r="V27" s="339" t="s">
        <v>951</v>
      </c>
      <c r="BR27">
        <v>0</v>
      </c>
      <c r="BS27">
        <v>0</v>
      </c>
      <c r="BT27" s="95" t="s">
        <v>148</v>
      </c>
      <c r="BU27" s="95" t="s">
        <v>148</v>
      </c>
      <c r="BV27">
        <v>0</v>
      </c>
      <c r="BW27">
        <v>0</v>
      </c>
      <c r="BX27">
        <v>0</v>
      </c>
      <c r="BY27">
        <v>0</v>
      </c>
      <c r="BZ27" s="98" t="s">
        <v>148</v>
      </c>
      <c r="CA27" s="98" t="s">
        <v>148</v>
      </c>
      <c r="CB27">
        <v>0</v>
      </c>
      <c r="CC27">
        <v>0</v>
      </c>
      <c r="CD27">
        <v>0</v>
      </c>
      <c r="CE27">
        <v>0</v>
      </c>
      <c r="CF27">
        <v>0</v>
      </c>
      <c r="CG27">
        <v>0</v>
      </c>
      <c r="CH27">
        <v>0</v>
      </c>
      <c r="CI27">
        <v>0</v>
      </c>
      <c r="CJ27">
        <v>0</v>
      </c>
      <c r="CK27">
        <v>0</v>
      </c>
      <c r="CL27">
        <v>0</v>
      </c>
      <c r="CM27">
        <v>0</v>
      </c>
      <c r="CN27">
        <v>0</v>
      </c>
      <c r="CO27">
        <v>0</v>
      </c>
      <c r="CP27">
        <v>0</v>
      </c>
      <c r="CQ27">
        <v>0</v>
      </c>
      <c r="CR27">
        <v>0</v>
      </c>
      <c r="CS27">
        <v>0</v>
      </c>
      <c r="CT27">
        <v>0</v>
      </c>
      <c r="CU27" s="95" t="s">
        <v>148</v>
      </c>
      <c r="CV27">
        <v>0</v>
      </c>
      <c r="CW27">
        <v>0</v>
      </c>
      <c r="CX27">
        <v>0</v>
      </c>
      <c r="CY27" t="s">
        <v>458</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t="s">
        <v>458</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row>
    <row r="28" spans="2:191">
      <c r="J28" s="208" t="s">
        <v>728</v>
      </c>
      <c r="K28" s="48" t="s">
        <v>417</v>
      </c>
      <c r="M28" s="343"/>
      <c r="V28" s="339" t="s">
        <v>952</v>
      </c>
      <c r="BT28" s="365" t="s">
        <v>474</v>
      </c>
      <c r="BU28" s="365" t="s">
        <v>474</v>
      </c>
      <c r="BZ28" t="s">
        <v>154</v>
      </c>
      <c r="CA28" t="s">
        <v>154</v>
      </c>
      <c r="CU28" s="365" t="s">
        <v>474</v>
      </c>
      <c r="CY28" t="s">
        <v>459</v>
      </c>
      <c r="FI28" t="s">
        <v>459</v>
      </c>
    </row>
    <row r="29" spans="2:191">
      <c r="J29" s="208" t="s">
        <v>10</v>
      </c>
      <c r="K29" s="49" t="s">
        <v>217</v>
      </c>
      <c r="M29" s="343"/>
      <c r="V29" s="339" t="s">
        <v>935</v>
      </c>
      <c r="BO29" t="str">
        <f ca="1">OFFSET('Support Sheet'!$BR$26,1,MATCH('Trial Balance'!$G29,'Support Sheet'!$BR$26:$GC$26,0)-1,COUNTA(OFFSET('Support Sheet'!$BR$26,1,MATCH('Trial Balance'!$G29,'Support Sheet'!$BR$26:$GC$26,0)-1,15)),1)</f>
        <v>Closing stock</v>
      </c>
      <c r="BZ29" t="s">
        <v>474</v>
      </c>
      <c r="CA29" t="s">
        <v>474</v>
      </c>
    </row>
    <row r="30" spans="2:191">
      <c r="J30" s="208"/>
      <c r="K30" s="207" t="s">
        <v>178</v>
      </c>
      <c r="M30" s="343"/>
      <c r="V30" s="339" t="s">
        <v>953</v>
      </c>
    </row>
    <row r="31" spans="2:191">
      <c r="J31" s="208"/>
      <c r="K31" s="49" t="s">
        <v>226</v>
      </c>
      <c r="M31" s="343"/>
      <c r="V31" s="339" t="s">
        <v>937</v>
      </c>
      <c r="BO31">
        <f ca="1">OFFSET($BR$26,1,MATCH('Trial Balance'!$G9,'Support Sheet'!$BR$26:$GC$26,0)-1,5,1)</f>
        <v>0</v>
      </c>
    </row>
    <row r="32" spans="2:191">
      <c r="J32" s="208"/>
      <c r="K32" s="48" t="s">
        <v>101</v>
      </c>
      <c r="M32" s="343"/>
      <c r="V32" s="339" t="s">
        <v>954</v>
      </c>
      <c r="BO32">
        <f ca="1">COUNTA(OFFSET($BR$26,1,MATCH('Trial Balance'!$G9,'Support Sheet'!$BR$26:$GC$26,0)-1,15))</f>
        <v>1</v>
      </c>
    </row>
    <row r="33" spans="10:67">
      <c r="J33" s="208"/>
      <c r="K33" t="s">
        <v>103</v>
      </c>
      <c r="M33" s="343"/>
      <c r="V33" s="339" t="s">
        <v>955</v>
      </c>
    </row>
    <row r="34" spans="10:67">
      <c r="J34" s="490"/>
      <c r="K34" s="98" t="s">
        <v>161</v>
      </c>
      <c r="M34" s="343"/>
      <c r="V34" s="339" t="s">
        <v>956</v>
      </c>
      <c r="BO34">
        <f ca="1">OFFSET('Support Sheet'!$BR$26,1,MATCH('Trial Balance'!$G9,'Support Sheet'!$BR$26:$GC$26,0)-1,COUNTA(OFFSET('Support Sheet'!$BR$26,1,MATCH('Trial Balance'!$G9,'Support Sheet'!$BR$26:$GC$26,0)-1,15)),1)</f>
        <v>0</v>
      </c>
    </row>
    <row r="35" spans="10:67">
      <c r="J35" s="208"/>
      <c r="K35" s="49" t="s">
        <v>353</v>
      </c>
      <c r="M35" s="343"/>
      <c r="V35" s="339" t="s">
        <v>957</v>
      </c>
    </row>
    <row r="36" spans="10:67">
      <c r="J36" s="208"/>
      <c r="K36" s="98" t="s">
        <v>160</v>
      </c>
      <c r="M36" s="343"/>
      <c r="V36" s="339" t="s">
        <v>958</v>
      </c>
    </row>
    <row r="37" spans="10:67">
      <c r="J37" s="208"/>
      <c r="K37" s="98" t="s">
        <v>356</v>
      </c>
      <c r="M37" s="343"/>
      <c r="V37" s="339" t="s">
        <v>959</v>
      </c>
    </row>
    <row r="38" spans="10:67">
      <c r="J38" s="208"/>
      <c r="K38" s="310" t="s">
        <v>471</v>
      </c>
      <c r="M38" s="343"/>
      <c r="V38" s="339" t="s">
        <v>960</v>
      </c>
    </row>
    <row r="39" spans="10:67">
      <c r="J39" s="208"/>
      <c r="K39" s="207" t="s">
        <v>168</v>
      </c>
      <c r="M39" s="343"/>
      <c r="V39" s="339" t="s">
        <v>961</v>
      </c>
    </row>
    <row r="40" spans="10:67">
      <c r="J40" s="208"/>
      <c r="K40" s="98" t="s">
        <v>105</v>
      </c>
      <c r="M40" s="343"/>
      <c r="V40" s="339" t="s">
        <v>962</v>
      </c>
    </row>
    <row r="41" spans="10:67">
      <c r="J41" s="208"/>
      <c r="K41" s="330" t="s">
        <v>470</v>
      </c>
      <c r="M41" s="343"/>
      <c r="V41" s="339" t="s">
        <v>963</v>
      </c>
    </row>
    <row r="42" spans="10:67">
      <c r="J42" s="208"/>
      <c r="K42" s="49" t="s">
        <v>389</v>
      </c>
      <c r="M42" s="343"/>
      <c r="V42" s="339" t="s">
        <v>964</v>
      </c>
    </row>
    <row r="43" spans="10:67">
      <c r="J43" s="208"/>
      <c r="K43" s="207" t="s">
        <v>166</v>
      </c>
      <c r="M43" s="343"/>
      <c r="V43" s="339" t="s">
        <v>965</v>
      </c>
    </row>
    <row r="44" spans="10:67" ht="15" thickBot="1">
      <c r="J44" s="208"/>
      <c r="K44" s="48" t="s">
        <v>388</v>
      </c>
      <c r="M44" s="343"/>
      <c r="V44" s="340" t="s">
        <v>966</v>
      </c>
    </row>
    <row r="45" spans="10:67">
      <c r="J45" s="208"/>
      <c r="K45" s="49" t="s">
        <v>387</v>
      </c>
      <c r="M45" s="343"/>
    </row>
    <row r="46" spans="10:67">
      <c r="J46" s="208"/>
      <c r="K46" t="s">
        <v>65</v>
      </c>
      <c r="M46" s="343"/>
    </row>
    <row r="47" spans="10:67">
      <c r="J47" s="208"/>
      <c r="K47" s="207" t="s">
        <v>181</v>
      </c>
      <c r="M47" s="343"/>
    </row>
    <row r="48" spans="10:67">
      <c r="J48" s="208"/>
      <c r="K48" s="310" t="s">
        <v>357</v>
      </c>
      <c r="M48" s="343"/>
    </row>
    <row r="49" spans="10:13">
      <c r="J49" s="208"/>
      <c r="K49" s="207" t="s">
        <v>165</v>
      </c>
      <c r="M49" s="343"/>
    </row>
    <row r="50" spans="10:13">
      <c r="J50" s="208"/>
      <c r="K50" s="49" t="s">
        <v>227</v>
      </c>
      <c r="M50" s="343"/>
    </row>
    <row r="51" spans="10:13">
      <c r="J51" s="208"/>
      <c r="K51" t="s">
        <v>468</v>
      </c>
      <c r="M51" s="343"/>
    </row>
    <row r="52" spans="10:13">
      <c r="J52" s="208"/>
      <c r="K52" t="s">
        <v>303</v>
      </c>
      <c r="M52" s="343"/>
    </row>
    <row r="53" spans="10:13">
      <c r="J53" s="208"/>
      <c r="K53" s="49" t="s">
        <v>240</v>
      </c>
      <c r="M53" s="343"/>
    </row>
    <row r="54" spans="10:13">
      <c r="J54" s="208"/>
      <c r="K54" s="49" t="s">
        <v>228</v>
      </c>
      <c r="M54" s="343"/>
    </row>
    <row r="55" spans="10:13">
      <c r="J55" s="208"/>
      <c r="K55" t="s">
        <v>465</v>
      </c>
      <c r="M55" s="343"/>
    </row>
    <row r="56" spans="10:13">
      <c r="J56" s="208"/>
      <c r="K56" s="207" t="s">
        <v>170</v>
      </c>
      <c r="M56" s="343"/>
    </row>
    <row r="57" spans="10:13">
      <c r="J57" s="208"/>
      <c r="K57" s="49" t="s">
        <v>354</v>
      </c>
      <c r="M57" s="343"/>
    </row>
    <row r="58" spans="10:13">
      <c r="J58" s="208"/>
      <c r="K58" s="207" t="s">
        <v>173</v>
      </c>
      <c r="M58" s="343"/>
    </row>
    <row r="59" spans="10:13">
      <c r="J59" s="208"/>
      <c r="K59" s="207" t="s">
        <v>174</v>
      </c>
      <c r="M59" s="343"/>
    </row>
    <row r="60" spans="10:13">
      <c r="J60" s="208"/>
      <c r="K60" s="98" t="s">
        <v>104</v>
      </c>
      <c r="M60" s="343"/>
    </row>
    <row r="61" spans="10:13">
      <c r="J61" s="208"/>
      <c r="K61" s="310" t="s">
        <v>358</v>
      </c>
      <c r="M61" s="343"/>
    </row>
    <row r="62" spans="10:13">
      <c r="J62" s="208"/>
      <c r="K62" t="s">
        <v>67</v>
      </c>
      <c r="M62" s="343"/>
    </row>
    <row r="63" spans="10:13">
      <c r="J63" s="208"/>
      <c r="K63" s="49" t="s">
        <v>244</v>
      </c>
      <c r="M63" s="343"/>
    </row>
    <row r="64" spans="10:13">
      <c r="J64" s="208"/>
      <c r="K64" s="49" t="s">
        <v>473</v>
      </c>
      <c r="M64" s="343"/>
    </row>
    <row r="65" spans="10:13">
      <c r="J65" s="208"/>
      <c r="K65" s="310" t="s">
        <v>447</v>
      </c>
      <c r="M65" s="343"/>
    </row>
    <row r="66" spans="10:13">
      <c r="J66" s="208"/>
      <c r="K66" s="49" t="s">
        <v>391</v>
      </c>
      <c r="M66" s="343"/>
    </row>
    <row r="67" spans="10:13">
      <c r="J67" s="208"/>
      <c r="K67" s="207" t="s">
        <v>175</v>
      </c>
      <c r="M67" s="343"/>
    </row>
    <row r="68" spans="10:13">
      <c r="J68" s="208"/>
      <c r="K68" t="s">
        <v>455</v>
      </c>
      <c r="M68" s="343"/>
    </row>
    <row r="69" spans="10:13">
      <c r="J69" s="208"/>
      <c r="K69" s="49" t="s">
        <v>238</v>
      </c>
      <c r="M69" s="343"/>
    </row>
    <row r="70" spans="10:13">
      <c r="J70" s="208"/>
      <c r="K70" s="49" t="s">
        <v>270</v>
      </c>
      <c r="M70" s="491"/>
    </row>
    <row r="71" spans="10:13">
      <c r="J71" s="208"/>
      <c r="K71" s="207" t="s">
        <v>167</v>
      </c>
      <c r="M71" s="491"/>
    </row>
    <row r="72" spans="10:13">
      <c r="J72" s="208"/>
      <c r="K72" s="207" t="s">
        <v>177</v>
      </c>
      <c r="M72" s="343"/>
    </row>
    <row r="73" spans="10:13">
      <c r="J73" s="208"/>
      <c r="K73" s="49" t="s">
        <v>269</v>
      </c>
      <c r="M73" s="343"/>
    </row>
    <row r="74" spans="10:13">
      <c r="J74" s="208"/>
      <c r="K74" s="49" t="s">
        <v>687</v>
      </c>
      <c r="M74" s="343"/>
    </row>
    <row r="75" spans="10:13">
      <c r="J75" s="208"/>
      <c r="K75" s="207" t="s">
        <v>172</v>
      </c>
      <c r="M75" s="343"/>
    </row>
    <row r="76" spans="10:13">
      <c r="J76" s="208"/>
      <c r="K76" s="98" t="s">
        <v>151</v>
      </c>
      <c r="M76" s="491"/>
    </row>
    <row r="77" spans="10:13">
      <c r="J77" s="208"/>
      <c r="K77" s="207" t="s">
        <v>171</v>
      </c>
      <c r="M77" s="491"/>
    </row>
    <row r="78" spans="10:13">
      <c r="J78" s="208"/>
      <c r="K78" s="207" t="s">
        <v>176</v>
      </c>
      <c r="M78" s="343"/>
    </row>
    <row r="79" spans="10:13">
      <c r="J79" s="208"/>
      <c r="K79" s="49" t="s">
        <v>218</v>
      </c>
      <c r="M79" s="343"/>
    </row>
    <row r="80" spans="10:13">
      <c r="J80" s="208"/>
      <c r="K80" s="98" t="s">
        <v>159</v>
      </c>
      <c r="M80" s="343"/>
    </row>
    <row r="81" spans="10:13">
      <c r="J81" s="208"/>
      <c r="K81" s="310" t="s">
        <v>448</v>
      </c>
      <c r="M81" s="343"/>
    </row>
    <row r="82" spans="10:13">
      <c r="J82" s="208"/>
      <c r="K82" s="310" t="s">
        <v>445</v>
      </c>
      <c r="M82" s="343"/>
    </row>
    <row r="83" spans="10:13">
      <c r="J83" s="208"/>
      <c r="K83" t="s">
        <v>216</v>
      </c>
      <c r="M83" s="343"/>
    </row>
    <row r="84" spans="10:13">
      <c r="J84" s="208"/>
      <c r="K84" s="95" t="s">
        <v>433</v>
      </c>
      <c r="M84" s="343"/>
    </row>
    <row r="85" spans="10:13">
      <c r="J85" s="208"/>
      <c r="K85" s="207" t="s">
        <v>163</v>
      </c>
      <c r="M85" s="343"/>
    </row>
    <row r="86" spans="10:13">
      <c r="J86" s="208"/>
      <c r="K86" t="s">
        <v>475</v>
      </c>
      <c r="M86" s="343"/>
    </row>
    <row r="87" spans="10:13">
      <c r="J87" s="208"/>
      <c r="K87" s="207" t="s">
        <v>164</v>
      </c>
      <c r="M87" s="343"/>
    </row>
    <row r="88" spans="10:13">
      <c r="J88" s="208"/>
      <c r="K88" t="s">
        <v>223</v>
      </c>
      <c r="M88" s="343"/>
    </row>
    <row r="89" spans="10:13">
      <c r="J89" s="208"/>
      <c r="K89" s="49" t="s">
        <v>237</v>
      </c>
      <c r="M89" s="343"/>
    </row>
    <row r="90" spans="10:13">
      <c r="J90" s="208"/>
      <c r="K90" s="207" t="s">
        <v>169</v>
      </c>
      <c r="M90" s="343"/>
    </row>
    <row r="91" spans="10:13">
      <c r="J91" s="208"/>
      <c r="K91" s="49" t="s">
        <v>390</v>
      </c>
      <c r="M91" s="343"/>
    </row>
    <row r="92" spans="10:13">
      <c r="J92" s="208"/>
      <c r="K92" s="49" t="s">
        <v>385</v>
      </c>
      <c r="M92" s="343"/>
    </row>
    <row r="93" spans="10:13">
      <c r="J93" s="208"/>
      <c r="K93" s="327" t="s">
        <v>384</v>
      </c>
      <c r="M93" s="343"/>
    </row>
    <row r="94" spans="10:13">
      <c r="J94" s="208"/>
      <c r="K94" s="49" t="s">
        <v>484</v>
      </c>
      <c r="M94" s="343"/>
    </row>
    <row r="95" spans="10:13">
      <c r="J95" s="208"/>
      <c r="K95" s="49" t="s">
        <v>154</v>
      </c>
      <c r="M95" s="343"/>
    </row>
    <row r="96" spans="10:13">
      <c r="J96" s="208"/>
      <c r="K96" t="s">
        <v>729</v>
      </c>
      <c r="M96" s="343"/>
    </row>
    <row r="97" spans="10:13">
      <c r="J97" s="208"/>
      <c r="K97" t="s">
        <v>731</v>
      </c>
      <c r="M97" s="343"/>
    </row>
    <row r="98" spans="10:13">
      <c r="J98" s="208"/>
      <c r="K98" s="158" t="s">
        <v>769</v>
      </c>
      <c r="M98" s="343"/>
    </row>
    <row r="99" spans="10:13">
      <c r="J99" s="208"/>
      <c r="K99" s="492">
        <v>0</v>
      </c>
      <c r="M99" s="343"/>
    </row>
    <row r="100" spans="10:13" ht="15" thickBot="1">
      <c r="J100" s="312"/>
      <c r="K100" s="324" t="s">
        <v>792</v>
      </c>
      <c r="L100" s="324"/>
      <c r="M100" s="344"/>
    </row>
    <row r="101" spans="10:13">
      <c r="K101" s="49"/>
    </row>
    <row r="103" spans="10:13">
      <c r="K103" s="158"/>
    </row>
    <row r="104" spans="10:13">
      <c r="K104" s="158"/>
    </row>
    <row r="105" spans="10:13">
      <c r="K105" s="158"/>
    </row>
    <row r="107" spans="10:13">
      <c r="M107" s="329"/>
    </row>
    <row r="108" spans="10:13">
      <c r="M108" s="329"/>
    </row>
    <row r="110" spans="10:13">
      <c r="K110" s="158"/>
    </row>
    <row r="114" spans="11:12">
      <c r="K114" s="310"/>
    </row>
    <row r="115" spans="11:12">
      <c r="K115" s="310"/>
    </row>
    <row r="116" spans="11:12">
      <c r="K116" s="330"/>
    </row>
    <row r="117" spans="11:12">
      <c r="K117" s="310"/>
    </row>
    <row r="118" spans="11:12">
      <c r="K118" s="310"/>
    </row>
    <row r="121" spans="11:12">
      <c r="K121" s="49"/>
    </row>
    <row r="122" spans="11:12">
      <c r="K122" s="49"/>
    </row>
    <row r="123" spans="11:12">
      <c r="K123" s="49"/>
    </row>
    <row r="125" spans="11:12">
      <c r="K125" s="98"/>
      <c r="L125" s="98"/>
    </row>
    <row r="126" spans="11:12">
      <c r="K126" s="98"/>
    </row>
    <row r="128" spans="11:12">
      <c r="K128" s="98"/>
    </row>
    <row r="131" spans="11:12">
      <c r="L131" s="95"/>
    </row>
    <row r="136" spans="11:12">
      <c r="K136" s="98"/>
    </row>
    <row r="139" spans="11:12">
      <c r="K139" s="98"/>
      <c r="L139" s="95"/>
    </row>
    <row r="141" spans="11:12">
      <c r="K141" s="98"/>
    </row>
    <row r="142" spans="11:12">
      <c r="K142" s="98"/>
    </row>
    <row r="143" spans="11:12">
      <c r="K143" s="98"/>
    </row>
    <row r="144" spans="11:12">
      <c r="K144" s="98"/>
    </row>
    <row r="146" spans="11:11">
      <c r="K146" s="310"/>
    </row>
    <row r="147" spans="11:11">
      <c r="K147" s="310"/>
    </row>
    <row r="148" spans="11:11">
      <c r="K148" s="310"/>
    </row>
    <row r="150" spans="11:11">
      <c r="K150" s="207"/>
    </row>
    <row r="151" spans="11:11">
      <c r="K151" s="207"/>
    </row>
    <row r="153" spans="11:11">
      <c r="K153" s="207"/>
    </row>
    <row r="154" spans="11:11">
      <c r="K154" s="207"/>
    </row>
    <row r="155" spans="11:11">
      <c r="K155" s="207"/>
    </row>
    <row r="156" spans="11:11">
      <c r="K156" s="207"/>
    </row>
    <row r="157" spans="11:11">
      <c r="K157" s="207"/>
    </row>
    <row r="158" spans="11:11">
      <c r="K158" s="207"/>
    </row>
    <row r="159" spans="11:11">
      <c r="K159" s="207"/>
    </row>
    <row r="160" spans="11:11">
      <c r="K160" s="207"/>
    </row>
    <row r="161" spans="11:11">
      <c r="K161" s="207"/>
    </row>
    <row r="162" spans="11:11">
      <c r="K162" s="207"/>
    </row>
    <row r="163" spans="11:11">
      <c r="K163" s="207"/>
    </row>
    <row r="164" spans="11:11">
      <c r="K164" s="207"/>
    </row>
    <row r="165" spans="11:11">
      <c r="K165" s="207"/>
    </row>
    <row r="166" spans="11:11">
      <c r="K166" s="207"/>
    </row>
    <row r="167" spans="11:11">
      <c r="K167" s="207"/>
    </row>
  </sheetData>
  <autoFilter ref="J2:M2" xr:uid="{4B824E50-5D71-4BB8-B7BB-4455597E9180}">
    <sortState xmlns:xlrd2="http://schemas.microsoft.com/office/spreadsheetml/2017/richdata2" ref="J3:M93">
      <sortCondition ref="J2"/>
    </sortState>
  </autoFilter>
  <mergeCells count="2">
    <mergeCell ref="J1:M1"/>
    <mergeCell ref="B1:C1"/>
  </mergeCells>
  <conditionalFormatting sqref="K36:K44">
    <cfRule type="duplicateValues" dxfId="22" priority="4"/>
  </conditionalFormatting>
  <conditionalFormatting sqref="AM3:AM11">
    <cfRule type="duplicateValues" dxfId="21" priority="3"/>
  </conditionalFormatting>
  <conditionalFormatting sqref="EA2:EI2">
    <cfRule type="duplicateValues" dxfId="20" priority="2"/>
  </conditionalFormatting>
  <conditionalFormatting sqref="EA26:EI26">
    <cfRule type="duplicateValues" dxfId="1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A538F-FD65-450A-815D-6A00510F737F}">
  <sheetPr>
    <tabColor theme="6" tint="-0.249977111117893"/>
  </sheetPr>
  <dimension ref="A1:B17"/>
  <sheetViews>
    <sheetView showGridLines="0" workbookViewId="0">
      <selection activeCell="A17" sqref="A17"/>
    </sheetView>
  </sheetViews>
  <sheetFormatPr defaultRowHeight="14.4"/>
  <cols>
    <col min="1" max="1" width="34.5546875" bestFit="1" customWidth="1"/>
    <col min="2" max="2" width="57.109375" bestFit="1" customWidth="1"/>
  </cols>
  <sheetData>
    <row r="1" spans="1:2">
      <c r="A1" s="923" t="s">
        <v>852</v>
      </c>
      <c r="B1" s="923"/>
    </row>
    <row r="2" spans="1:2">
      <c r="A2" s="923"/>
      <c r="B2" s="923"/>
    </row>
    <row r="3" spans="1:2" ht="15" thickBot="1"/>
    <row r="4" spans="1:2" ht="16.2" thickBot="1">
      <c r="A4" s="861" t="s">
        <v>0</v>
      </c>
      <c r="B4" s="862" t="s">
        <v>851</v>
      </c>
    </row>
    <row r="5" spans="1:2">
      <c r="A5" s="883" t="s">
        <v>843</v>
      </c>
      <c r="B5" s="884" t="str">
        <f>IF((SUMIFS('Trial Balance'!$D:$D,'Trial Balance'!$F:$F,BS!$AA$40,'Trial Balance'!$G:$G,BS!$AB$40,'Trial Balance'!$H:$H,BS!$AC$40,'Trial Balance'!$I:$I,BS!$AD$40)/'Support Sheet'!$G$10)=SUM('PPE &amp; Intangibles '!L43:M44),"Data Matched","Different data in schedule and Trial Balance")</f>
        <v>Data Matched</v>
      </c>
    </row>
    <row r="6" spans="1:2">
      <c r="A6" s="737" t="s">
        <v>844</v>
      </c>
      <c r="B6" s="738" t="str">
        <f>IF((SUMIFS('Trial Balance'!$D:$D,'Trial Balance'!$F:$F,BS!$AA$41,'Trial Balance'!$G:$G,BS!$AB$41,'Trial Balance'!$H:$H,BS!$AC$41,'Trial Balance'!$I:$I,BS!$AD$41)/'Support Sheet'!$G$10)=SUM('PPE &amp; Intangibles '!$L$57:$M$58),"Data Matched","Different data in schedule and Trial Balance")</f>
        <v>Data Matched</v>
      </c>
    </row>
    <row r="7" spans="1:2">
      <c r="A7" s="737" t="s">
        <v>847</v>
      </c>
      <c r="B7" s="738" t="str">
        <f>IF((SUMIFS('Trial Balance'!$D:$D,'Trial Balance'!$F:$F,BS!$AA$38,'Trial Balance'!$G:$G,BS!$AB$38,'Trial Balance'!$H:$H,BS!$AC$38,'Trial Balance'!$I:$I,BS!$AD$38)/'Support Sheet'!$G$10)='PPE &amp; Intangibles '!$L$18,"Data Matched","Different data in schedule and Trial Balance")</f>
        <v>Data Matched</v>
      </c>
    </row>
    <row r="8" spans="1:2">
      <c r="A8" s="737" t="s">
        <v>285</v>
      </c>
      <c r="B8" s="738" t="str">
        <f>IF((SUMIFS('Trial Balance'!$D:$D,'Trial Balance'!$F:$F,BS!$AA$39,'Trial Balance'!$G:$G,BS!$AB$39,'Trial Balance'!$H:$H,BS!$AC$39,'Trial Balance'!$I:$I,BS!$AD$39)/'Support Sheet'!$G$10)='PPE &amp; Intangibles '!$L$36,"Data Matched","Different data in schedule and Trial Balance")</f>
        <v>Data Matched</v>
      </c>
    </row>
    <row r="9" spans="1:2">
      <c r="A9" s="737" t="s">
        <v>485</v>
      </c>
      <c r="B9" s="738" t="str">
        <f>IF(SUMIFS('Trial Balance'!$D:$D,'Trial Balance'!$F:$F,'Share Capital'!$AA16,'Trial Balance'!$G:$G,'Share Capital'!$AB16,'Trial Balance'!$H:$H,'Share Capital'!$AC16,'Trial Balance'!$I:$I,'Share Capital'!$AD16)=('Share Capital and WIP info'!C8*'Share Capital and WIP info'!C7),"Data Matched","Amount in TB not equal to (Issued shares*Face Value)")</f>
        <v>Data Matched</v>
      </c>
    </row>
    <row r="10" spans="1:2">
      <c r="A10" s="737" t="s">
        <v>333</v>
      </c>
      <c r="B10" s="738" t="str">
        <f>IF(SUMIFS('Trial Balance'!$D:$D,'Trial Balance'!$F:$F,"Trade Receivable/Payable",'Trial Balance'!$G:$G,$A10,'Trial Balance'!$H:$H,0,'Trial Balance'!$I:$I,0)/'Support Sheet'!$G$10=('BS Notes '!$I$46),"Data Matched","Amount in TB not equal to Amount in schedule")</f>
        <v>Data Matched</v>
      </c>
    </row>
    <row r="11" spans="1:2">
      <c r="A11" s="737" t="s">
        <v>237</v>
      </c>
      <c r="B11" s="738" t="str">
        <f>IF(SUMIFS('Trial Balance'!$D:$D,'Trial Balance'!$F:$F,"Trade Receivable/Payable",'Trial Balance'!$G:$G,$A11,'Trial Balance'!$H:$H,0,'Trial Balance'!$I:$I,0)/'Support Sheet'!$G$10=('BS Notes'!$H$81),"Data Matched","Amount in TB not equal to Amount in schedule")</f>
        <v>Data Matched</v>
      </c>
    </row>
    <row r="12" spans="1:2">
      <c r="A12" s="737" t="s">
        <v>853</v>
      </c>
      <c r="B12" s="738" t="str">
        <f>IF('CashFlow Statement'!$D$57=BS!$E$51,"Data Matched","Amount in BS not equal to Amount as per cash flow statement")</f>
        <v>Amount in BS not equal to Amount as per cash flow statement</v>
      </c>
    </row>
    <row r="13" spans="1:2">
      <c r="A13" s="737" t="s">
        <v>872</v>
      </c>
      <c r="B13" s="738" t="str">
        <f>IF(BS!$E$33=BS!$E$54,"Data Matched","Total Asset not equal to Equity + Liability")</f>
        <v>Total Asset not equal to Equity + Liability</v>
      </c>
    </row>
    <row r="14" spans="1:2">
      <c r="A14" s="737" t="s">
        <v>873</v>
      </c>
      <c r="B14" s="738" t="str">
        <f>IF(BS!$F$33=BS!$F$54,"Data Matched","Total Asset not equal to Equity + Liability")</f>
        <v>Data Matched</v>
      </c>
    </row>
    <row r="15" spans="1:2">
      <c r="A15" s="737" t="s">
        <v>875</v>
      </c>
      <c r="B15" s="738" t="str">
        <f>IF('Trial Balance'!$D$4='Trial Balance'!$D$5,"Data Matched","Total Debit not equal to Total Credit")</f>
        <v>Total Debit not equal to Total Credit</v>
      </c>
    </row>
    <row r="16" spans="1:2">
      <c r="A16" s="859" t="s">
        <v>874</v>
      </c>
      <c r="B16" s="860" t="str">
        <f>IF('Trial Balance'!$E$4='Trial Balance'!$E$5,"Data Matched","Total Debit not equal to Total Credit")</f>
        <v>Data Matched</v>
      </c>
    </row>
    <row r="17" spans="1:2" ht="15" thickBot="1">
      <c r="A17" s="743" t="s">
        <v>980</v>
      </c>
      <c r="B17" s="885" t="str">
        <f>IF('Share Capital and WIP info'!$H$99=0,"Data Matched","Specify reason for changes in ratio")</f>
        <v>Specify reason for changes in ratio</v>
      </c>
    </row>
  </sheetData>
  <mergeCells count="1">
    <mergeCell ref="A1:B2"/>
  </mergeCells>
  <conditionalFormatting sqref="B5:B17">
    <cfRule type="cellIs" dxfId="51" priority="1" operator="notEqual">
      <formula>"Data Matched"</formula>
    </cfRule>
    <cfRule type="expression" dxfId="50" priority="2">
      <formula>$B5="Data Matched"</formula>
    </cfRule>
  </conditionalFormatting>
  <hyperlinks>
    <hyperlink ref="A5" location="'Share Capital and WIP info'!B58" display="Capital WIP" xr:uid="{656FF6B3-494D-4D7A-AB85-C16728433E6C}"/>
    <hyperlink ref="A6" location="'Share Capital and WIP info'!F58" display="Intangible Asset Under Development" xr:uid="{3700ACC8-DF92-4835-8D85-7187D42893B6}"/>
    <hyperlink ref="A7" location="'PPE Data'!A11" display="Property Plant And Equipment" xr:uid="{076D2B5C-A982-4D02-BC41-680E3C510A0A}"/>
    <hyperlink ref="A8" location="'Intangible Asset Data'!A10" display="Intangible Assets" xr:uid="{F71B9AFA-A57A-4ED1-8C4B-80420CC83B8B}"/>
    <hyperlink ref="A9" location="'Share Capital and WIP info'!C8" display="Share Capital" xr:uid="{FCF19B80-961F-4816-9B53-4216D0B36DA5}"/>
    <hyperlink ref="A11" location="'Debtor&amp;Creditor Ageing Schedule'!B3" display="Trade Payables" xr:uid="{EEC001C3-E46F-4A14-9D04-A0BD71EC067E}"/>
    <hyperlink ref="A10" location="'Debtor&amp;Creditor Ageing Schedule'!J3" display="Trade Receivables" xr:uid="{652045F3-FC94-47CC-BB0F-B9CB67825A85}"/>
    <hyperlink ref="A12" location="'CashFlow Statement'!D58" display="Cash And Cash Equivalents" xr:uid="{DB0F6DD5-71D3-410D-9FC0-75969B18D0FA}"/>
    <hyperlink ref="A13" location="BS!E33" display="Current Year Balance Sheet" xr:uid="{C3D3E3BE-63E4-47FE-B6EB-3475DE1411A0}"/>
    <hyperlink ref="A14" location="BS!F33" display="Previous Year Balance Sheet" xr:uid="{93A123A6-3DE9-4FF6-9EFE-F20ED3D76761}"/>
    <hyperlink ref="A15" location="'Trial Balance'!D4" display="Current Year TB Total" xr:uid="{E8D28263-9983-446E-8FD5-0FF92DFCAD5E}"/>
    <hyperlink ref="A16" location="'Trial Balance'!E4" display="Previous Year TB Total" xr:uid="{9499B944-FBBB-4630-93C8-F8BBCAC2BA4E}"/>
    <hyperlink ref="A17" location="'Share Capital and WIP info'!B97" display="Reasons for changes in Ratios" xr:uid="{DCD0CEC8-6E53-4093-8545-20008A0D2F93}"/>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1BF47-715F-4D51-8485-86534D5D824C}">
  <sheetPr>
    <tabColor theme="1"/>
    <pageSetUpPr fitToPage="1"/>
  </sheetPr>
  <dimension ref="B1:AD76"/>
  <sheetViews>
    <sheetView showGridLines="0" view="pageBreakPreview" zoomScale="95" zoomScaleNormal="100" workbookViewId="0">
      <selection activeCell="B1" sqref="B1:I1"/>
    </sheetView>
  </sheetViews>
  <sheetFormatPr defaultRowHeight="14.4"/>
  <cols>
    <col min="2" max="2" width="5.33203125" customWidth="1"/>
    <col min="3" max="3" width="51.5546875" bestFit="1" customWidth="1"/>
    <col min="4" max="4" width="19.33203125" bestFit="1" customWidth="1"/>
    <col min="5" max="5" width="15.88671875" bestFit="1" customWidth="1"/>
    <col min="6" max="7" width="12.6640625" bestFit="1" customWidth="1"/>
    <col min="8" max="9" width="17.6640625" bestFit="1" customWidth="1"/>
    <col min="10" max="26" width="0" hidden="1" customWidth="1"/>
    <col min="27" max="27" width="24.33203125" bestFit="1" customWidth="1"/>
    <col min="28" max="28" width="27.109375" bestFit="1" customWidth="1"/>
    <col min="29" max="29" width="15.6640625" bestFit="1" customWidth="1"/>
    <col min="30" max="30" width="10.44140625" bestFit="1" customWidth="1"/>
  </cols>
  <sheetData>
    <row r="1" spans="2:30" ht="18">
      <c r="B1" s="975" t="str">
        <f>IF('Control Sheet'!$C$3&gt;0,'Control Sheet'!$C$3,'Control Sheet'!$B$3)</f>
        <v>Saptaranga Research and Organic Private Limited</v>
      </c>
      <c r="C1" s="975"/>
      <c r="D1" s="975"/>
      <c r="E1" s="975"/>
      <c r="F1" s="975"/>
      <c r="G1" s="975"/>
      <c r="H1" s="975"/>
      <c r="I1" s="975"/>
    </row>
    <row r="2" spans="2:30">
      <c r="B2" s="1014" t="str">
        <f>IF('Control Sheet'!$C$4&gt;0,'Control Sheet'!$C$4,'Control Sheet'!$B$4)</f>
        <v xml:space="preserve">Plot No 45, </v>
      </c>
      <c r="C2" s="1014"/>
      <c r="D2" s="1014"/>
      <c r="E2" s="1014"/>
      <c r="F2" s="1014"/>
      <c r="G2" s="1014"/>
      <c r="H2" s="1014"/>
      <c r="I2" s="1014"/>
    </row>
    <row r="3" spans="2:30">
      <c r="B3" s="1014" t="str">
        <f>IF('Control Sheet'!$C$5&gt;0,'Control Sheet'!$C$5,'Control Sheet'!$B$5)</f>
        <v>Ravindra Nagar P.M.G. Society</v>
      </c>
      <c r="C3" s="1014"/>
      <c r="D3" s="1014"/>
      <c r="E3" s="1014"/>
      <c r="F3" s="1014"/>
      <c r="G3" s="1014"/>
      <c r="H3" s="1014"/>
      <c r="I3" s="1014"/>
    </row>
    <row r="4" spans="2:30">
      <c r="B4" s="1014" t="str">
        <f>IF('Control Sheet'!$C$6&gt;0,'Control Sheet'!$C$6,'Control Sheet'!$B$6)</f>
        <v>Nagpur MH 440022 IN</v>
      </c>
      <c r="C4" s="1014"/>
      <c r="D4" s="1014"/>
      <c r="E4" s="1014"/>
      <c r="F4" s="1014"/>
      <c r="G4" s="1014"/>
      <c r="H4" s="1014"/>
      <c r="I4" s="1014"/>
    </row>
    <row r="5" spans="2:30" ht="18">
      <c r="B5" s="604"/>
      <c r="C5" s="604"/>
      <c r="D5" s="604"/>
      <c r="E5" s="604"/>
      <c r="F5" s="604"/>
      <c r="G5" s="604"/>
      <c r="H5" s="604"/>
      <c r="I5" s="604"/>
    </row>
    <row r="6" spans="2:30">
      <c r="B6" s="985" t="str">
        <f>IF('Control Sheet'!$C$7&gt;0,CONCATENATE("NOTES ANNEXED TO AND FORMING PART OF ACOUNTS FOR THE YEAR ENDING"," ",TEXT('Control Sheet'!$C$7,"DD-MMM-YYYY")),"NOTES ANNEXED TO AND FORMING PART OF ACOUNTS FOR THE YEAR ENDING &lt;Date&gt;")</f>
        <v>NOTES ANNEXED TO AND FORMING PART OF ACOUNTS FOR THE YEAR ENDING 31-Mar-2023</v>
      </c>
      <c r="C6" s="985"/>
      <c r="D6" s="985"/>
      <c r="E6" s="985"/>
      <c r="F6" s="985"/>
      <c r="G6" s="985"/>
      <c r="H6" s="985"/>
      <c r="I6" s="985"/>
    </row>
    <row r="7" spans="2:30">
      <c r="B7" s="33"/>
      <c r="C7" s="33"/>
      <c r="D7" s="33"/>
      <c r="E7" s="33"/>
      <c r="F7" s="33"/>
      <c r="G7" s="33"/>
      <c r="H7" s="33"/>
      <c r="I7" s="33"/>
    </row>
    <row r="8" spans="2:30" ht="15" thickBot="1">
      <c r="B8" s="614"/>
      <c r="C8" s="614"/>
      <c r="D8" s="614"/>
      <c r="E8" s="614"/>
      <c r="F8" s="614"/>
      <c r="G8" s="614"/>
      <c r="H8" s="614"/>
      <c r="I8" s="915" t="str">
        <f>IF('Control Sheet'!$D$18="Specify in Cell E16",'Support Sheet'!$G$10,'Control Sheet'!$C$18)</f>
        <v>In Rs. hundreds</v>
      </c>
    </row>
    <row r="9" spans="2:30">
      <c r="B9" s="100" t="s">
        <v>911</v>
      </c>
      <c r="C9" s="101"/>
      <c r="D9" s="102"/>
      <c r="E9" s="290"/>
      <c r="F9" s="102"/>
      <c r="G9" s="102"/>
      <c r="H9" s="115" t="str">
        <f>IF('Control Sheet'!$C$7&gt;0,CONCATENATE("As on"," ",TEXT('Control Sheet'!$C$7,"DD-MMM-YYYY"))," &lt;CY Balance Sheet Date&gt;")</f>
        <v>As on 31-Mar-2023</v>
      </c>
      <c r="I9" s="115" t="str">
        <f>IF('Control Sheet'!$C$8&gt;0,CONCATENATE("As on"," ",TEXT('Control Sheet'!$C$8,"DD-MMM-YYYY"))," &lt;CY Balance Sheet Date&gt;")</f>
        <v>As on 31-Mar-2022</v>
      </c>
      <c r="M9" s="231" t="s">
        <v>311</v>
      </c>
      <c r="AA9" s="227" t="s">
        <v>451</v>
      </c>
      <c r="AB9" s="227" t="s">
        <v>452</v>
      </c>
      <c r="AC9" s="227" t="s">
        <v>453</v>
      </c>
      <c r="AD9" s="227" t="s">
        <v>456</v>
      </c>
    </row>
    <row r="10" spans="2:30" ht="28.8">
      <c r="B10" s="328" t="str">
        <f>'Support Sheet'!C2</f>
        <v>(i)</v>
      </c>
      <c r="C10" s="63" t="s">
        <v>432</v>
      </c>
      <c r="D10" s="99"/>
      <c r="E10" s="291"/>
      <c r="F10" s="99"/>
      <c r="G10" s="99"/>
      <c r="H10" s="504"/>
      <c r="I10" s="505"/>
      <c r="M10" s="170" t="s">
        <v>312</v>
      </c>
    </row>
    <row r="11" spans="2:30">
      <c r="B11" s="294"/>
      <c r="C11" s="304" t="s">
        <v>434</v>
      </c>
      <c r="D11" s="99"/>
      <c r="E11" s="99"/>
      <c r="F11" s="99"/>
      <c r="G11" s="99"/>
      <c r="H11" s="499">
        <f>SUMIFS('Trial Balance'!$D:$D,'Trial Balance'!$F:$F,'BS Notes '!$AA11,'Trial Balance'!$G:$G,'BS Notes '!$AB11,'Trial Balance'!$H:$H,'BS Notes '!$AC11,'Trial Balance'!$I:$I,'BS Notes '!$AD11)/'Support Sheet'!$G$10</f>
        <v>0</v>
      </c>
      <c r="I11" s="500">
        <f>SUMIFS('Trial Balance'!$E:$E,'Trial Balance'!$F:$F,'BS Notes '!$AA11,'Trial Balance'!$G:$G,'BS Notes '!$AB11,'Trial Balance'!$H:$H,'BS Notes '!$AC11,'Trial Balance'!$I:$I,'BS Notes '!$AD11)/'Support Sheet'!$G$10</f>
        <v>0</v>
      </c>
      <c r="M11" s="170" t="s">
        <v>313</v>
      </c>
      <c r="AA11" t="s">
        <v>311</v>
      </c>
      <c r="AB11" t="s">
        <v>465</v>
      </c>
      <c r="AC11">
        <v>0</v>
      </c>
      <c r="AD11" s="329" t="s">
        <v>457</v>
      </c>
    </row>
    <row r="12" spans="2:30">
      <c r="B12" s="294"/>
      <c r="C12" s="304" t="s">
        <v>435</v>
      </c>
      <c r="D12" s="99"/>
      <c r="E12" s="99"/>
      <c r="F12" s="99"/>
      <c r="G12" s="99"/>
      <c r="H12" s="499">
        <f>SUMIFS('Trial Balance'!$D:$D,'Trial Balance'!$F:$F,'BS Notes '!$AA12,'Trial Balance'!$G:$G,'BS Notes '!$AB12,'Trial Balance'!$H:$H,'BS Notes '!$AC12,'Trial Balance'!$I:$I,'BS Notes '!$AD12)/'Support Sheet'!$G$10</f>
        <v>0</v>
      </c>
      <c r="I12" s="500">
        <f>SUMIFS('Trial Balance'!$E:$E,'Trial Balance'!$F:$F,'BS Notes '!$AA12,'Trial Balance'!$G:$G,'BS Notes '!$AB12,'Trial Balance'!$H:$H,'BS Notes '!$AC12,'Trial Balance'!$I:$I,'BS Notes '!$AD12)/'Support Sheet'!$G$10</f>
        <v>0</v>
      </c>
      <c r="M12" s="170" t="s">
        <v>314</v>
      </c>
      <c r="AA12" t="s">
        <v>311</v>
      </c>
      <c r="AB12" t="s">
        <v>465</v>
      </c>
      <c r="AC12">
        <v>0</v>
      </c>
      <c r="AD12" s="329" t="s">
        <v>460</v>
      </c>
    </row>
    <row r="13" spans="2:30">
      <c r="B13" s="294"/>
      <c r="C13" s="304" t="s">
        <v>436</v>
      </c>
      <c r="D13" s="99"/>
      <c r="E13" s="99"/>
      <c r="F13" s="99"/>
      <c r="G13" s="99"/>
      <c r="H13" s="499">
        <f>SUMIFS('Trial Balance'!$D:$D,'Trial Balance'!$F:$F,'BS Notes '!$AA13,'Trial Balance'!$G:$G,'BS Notes '!$AB13,'Trial Balance'!$H:$H,'BS Notes '!$AC13,'Trial Balance'!$I:$I,'BS Notes '!$AD13)/'Support Sheet'!$G$10</f>
        <v>0</v>
      </c>
      <c r="I13" s="500">
        <f>SUMIFS('Trial Balance'!$E:$E,'Trial Balance'!$F:$F,'BS Notes '!$AA13,'Trial Balance'!$G:$G,'BS Notes '!$AB13,'Trial Balance'!$H:$H,'BS Notes '!$AC13,'Trial Balance'!$I:$I,'BS Notes '!$AD13)/'Support Sheet'!$G$10</f>
        <v>0</v>
      </c>
      <c r="M13" s="170" t="s">
        <v>315</v>
      </c>
      <c r="AA13" t="s">
        <v>311</v>
      </c>
      <c r="AB13" t="s">
        <v>465</v>
      </c>
      <c r="AC13">
        <v>0</v>
      </c>
      <c r="AD13" t="s">
        <v>464</v>
      </c>
    </row>
    <row r="14" spans="2:30">
      <c r="B14" s="305" t="str">
        <f>'Support Sheet'!C3</f>
        <v>(ii)</v>
      </c>
      <c r="C14" s="95" t="s">
        <v>433</v>
      </c>
      <c r="D14" s="98"/>
      <c r="E14" s="98"/>
      <c r="F14" s="98"/>
      <c r="G14" s="98"/>
      <c r="H14" s="499">
        <f>SUMIFS('Trial Balance'!$D:$D,'Trial Balance'!$F:$F,'BS Notes '!$AA14,'Trial Balance'!$G:$G,'BS Notes '!$AB14,'Trial Balance'!$H:$H,'BS Notes '!$AC14,'Trial Balance'!$I:$I,'BS Notes '!$AD14)/'Support Sheet'!$G$10</f>
        <v>0</v>
      </c>
      <c r="I14" s="500">
        <f>SUMIFS('Trial Balance'!$E:$E,'Trial Balance'!$F:$F,'BS Notes '!$AA14,'Trial Balance'!$G:$G,'BS Notes '!$AB14,'Trial Balance'!$H:$H,'BS Notes '!$AC14,'Trial Balance'!$I:$I,'BS Notes '!$AD14)/'Support Sheet'!$G$10</f>
        <v>0</v>
      </c>
      <c r="M14" s="170" t="s">
        <v>437</v>
      </c>
      <c r="AA14" t="s">
        <v>311</v>
      </c>
      <c r="AB14" s="95" t="s">
        <v>433</v>
      </c>
      <c r="AC14">
        <v>0</v>
      </c>
      <c r="AD14">
        <v>0</v>
      </c>
    </row>
    <row r="15" spans="2:30">
      <c r="B15" s="305" t="str">
        <f>'Support Sheet'!C4</f>
        <v>(iii)</v>
      </c>
      <c r="C15" s="98" t="s">
        <v>104</v>
      </c>
      <c r="D15" s="98"/>
      <c r="E15" s="98"/>
      <c r="F15" s="98"/>
      <c r="G15" s="98"/>
      <c r="H15" s="499">
        <f>SUMIFS('Trial Balance'!$D:$D,'Trial Balance'!$F:$F,'BS Notes '!$AA15,'Trial Balance'!$G:$G,'BS Notes '!$AB15,'Trial Balance'!$H:$H,'BS Notes '!$AC15,'Trial Balance'!$I:$I,'BS Notes '!$AD15)/'Support Sheet'!$G$10</f>
        <v>0</v>
      </c>
      <c r="I15" s="500">
        <f>SUMIFS('Trial Balance'!$E:$E,'Trial Balance'!$F:$F,'BS Notes '!$AA15,'Trial Balance'!$G:$G,'BS Notes '!$AB15,'Trial Balance'!$H:$H,'BS Notes '!$AC15,'Trial Balance'!$I:$I,'BS Notes '!$AD15)/'Support Sheet'!$G$10</f>
        <v>0</v>
      </c>
      <c r="L15" s="172"/>
      <c r="M15" s="306" t="s">
        <v>438</v>
      </c>
      <c r="AA15" t="s">
        <v>311</v>
      </c>
      <c r="AB15" s="98" t="str">
        <f>C15</f>
        <v>Other Assets</v>
      </c>
      <c r="AC15">
        <v>0</v>
      </c>
      <c r="AD15">
        <v>0</v>
      </c>
    </row>
    <row r="16" spans="2:30" ht="15" thickBot="1">
      <c r="B16" s="1015" t="s">
        <v>102</v>
      </c>
      <c r="C16" s="1016"/>
      <c r="D16" s="1016"/>
      <c r="E16" s="105"/>
      <c r="F16" s="105"/>
      <c r="G16" s="106"/>
      <c r="H16" s="501">
        <f>SUM(H11:H15)</f>
        <v>0</v>
      </c>
      <c r="I16" s="502">
        <f>SUM(I11:I15)</f>
        <v>0</v>
      </c>
      <c r="L16" s="172"/>
      <c r="M16" s="306" t="s">
        <v>439</v>
      </c>
    </row>
    <row r="17" spans="2:30" ht="15" thickBot="1">
      <c r="B17" s="128"/>
      <c r="C17" s="128"/>
      <c r="D17" s="128"/>
      <c r="E17" s="128"/>
      <c r="F17" s="128"/>
      <c r="G17" s="128"/>
      <c r="H17" s="510"/>
      <c r="I17" s="510"/>
      <c r="L17" s="172"/>
      <c r="M17" s="172"/>
    </row>
    <row r="18" spans="2:30">
      <c r="B18" s="100" t="s">
        <v>912</v>
      </c>
      <c r="C18" s="101"/>
      <c r="D18" s="102"/>
      <c r="E18" s="102"/>
      <c r="F18" s="102"/>
      <c r="G18" s="102"/>
      <c r="H18" s="503" t="str">
        <f>IF('Control Sheet'!$C$7&gt;0,CONCATENATE("As on"," ",TEXT('Control Sheet'!$C$7,"DD-MMM-YYYY"))," &lt;CY Balance Sheet Date&gt;")</f>
        <v>As on 31-Mar-2023</v>
      </c>
      <c r="I18" s="503" t="str">
        <f>IF('Control Sheet'!$C$8&gt;0,CONCATENATE("As on"," ",TEXT('Control Sheet'!$C$8,"DD-MMM-YYYY"))," &lt;CY Balance Sheet Date&gt;")</f>
        <v>As on 31-Mar-2022</v>
      </c>
      <c r="M18" s="231" t="s">
        <v>317</v>
      </c>
      <c r="AA18" s="227" t="s">
        <v>451</v>
      </c>
      <c r="AB18" s="227" t="s">
        <v>452</v>
      </c>
      <c r="AC18" s="227" t="s">
        <v>453</v>
      </c>
      <c r="AD18" s="227" t="s">
        <v>456</v>
      </c>
    </row>
    <row r="19" spans="2:30">
      <c r="B19" s="294" t="str">
        <f>'Support Sheet'!C2</f>
        <v>(i)</v>
      </c>
      <c r="C19" s="614" t="s">
        <v>288</v>
      </c>
      <c r="D19" s="99"/>
      <c r="E19" s="99"/>
      <c r="F19" s="99"/>
      <c r="G19" s="99"/>
      <c r="H19" s="499">
        <f>SUMIFS('Trial Balance'!$D:$D,'Trial Balance'!$F:$F,'BS Notes '!$AA19,'Trial Balance'!$G:$G,'BS Notes '!$AB19,'Trial Balance'!$H:$H,'BS Notes '!$AC19,'Trial Balance'!$I:$I,'BS Notes '!$AD19)/'Support Sheet'!$G$10</f>
        <v>0</v>
      </c>
      <c r="I19" s="500">
        <f>SUMIFS('Trial Balance'!$E:$E,'Trial Balance'!$F:$F,'BS Notes '!$AA19,'Trial Balance'!$G:$G,'BS Notes '!$AB19,'Trial Balance'!$H:$H,'BS Notes '!$AC19,'Trial Balance'!$I:$I,'BS Notes '!$AD19)/'Support Sheet'!$G$10</f>
        <v>0</v>
      </c>
      <c r="M19" s="307" t="s">
        <v>440</v>
      </c>
      <c r="AA19" t="s">
        <v>317</v>
      </c>
      <c r="AB19" t="s">
        <v>288</v>
      </c>
      <c r="AC19">
        <v>0</v>
      </c>
      <c r="AD19">
        <v>0</v>
      </c>
    </row>
    <row r="20" spans="2:30">
      <c r="B20" s="294" t="str">
        <f>'Support Sheet'!C3</f>
        <v>(ii)</v>
      </c>
      <c r="C20" s="614" t="s">
        <v>289</v>
      </c>
      <c r="D20" s="99"/>
      <c r="E20" s="99"/>
      <c r="F20" s="99"/>
      <c r="G20" s="99"/>
      <c r="H20" s="499">
        <f>SUMIFS('Trial Balance'!$D:$D,'Trial Balance'!$F:$F,'BS Notes '!$AA20,'Trial Balance'!$G:$G,'BS Notes '!$AB20,'Trial Balance'!$H:$H,'BS Notes '!$AC20,'Trial Balance'!$I:$I,'BS Notes '!$AD20)/'Support Sheet'!$G$10</f>
        <v>0</v>
      </c>
      <c r="I20" s="500">
        <f>SUMIFS('Trial Balance'!$E:$E,'Trial Balance'!$F:$F,'BS Notes '!$AA20,'Trial Balance'!$G:$G,'BS Notes '!$AB20,'Trial Balance'!$H:$H,'BS Notes '!$AC20,'Trial Balance'!$I:$I,'BS Notes '!$AD20)/'Support Sheet'!$G$10</f>
        <v>0</v>
      </c>
      <c r="M20" s="307" t="s">
        <v>441</v>
      </c>
      <c r="AA20" t="s">
        <v>317</v>
      </c>
      <c r="AB20" t="s">
        <v>289</v>
      </c>
      <c r="AC20">
        <v>0</v>
      </c>
      <c r="AD20">
        <v>0</v>
      </c>
    </row>
    <row r="21" spans="2:30">
      <c r="B21" s="294" t="str">
        <f>'Support Sheet'!C4</f>
        <v>(iii)</v>
      </c>
      <c r="C21" s="614" t="s">
        <v>290</v>
      </c>
      <c r="D21" s="99"/>
      <c r="E21" s="99"/>
      <c r="F21" s="99"/>
      <c r="G21" s="99"/>
      <c r="H21" s="499">
        <f>SUMIFS('Trial Balance'!$D:$D,'Trial Balance'!$F:$F,'BS Notes '!$AA21,'Trial Balance'!$G:$G,'BS Notes '!$AB21,'Trial Balance'!$H:$H,'BS Notes '!$AC21,'Trial Balance'!$I:$I,'BS Notes '!$AD21)/'Support Sheet'!$G$10</f>
        <v>0</v>
      </c>
      <c r="I21" s="500">
        <f>SUMIFS('Trial Balance'!$E:$E,'Trial Balance'!$F:$F,'BS Notes '!$AA21,'Trial Balance'!$G:$G,'BS Notes '!$AB21,'Trial Balance'!$H:$H,'BS Notes '!$AC21,'Trial Balance'!$I:$I,'BS Notes '!$AD21)/'Support Sheet'!$G$10</f>
        <v>0</v>
      </c>
      <c r="M21" s="307" t="s">
        <v>442</v>
      </c>
      <c r="AA21" t="s">
        <v>317</v>
      </c>
      <c r="AB21" t="s">
        <v>290</v>
      </c>
      <c r="AC21">
        <v>0</v>
      </c>
      <c r="AD21">
        <v>0</v>
      </c>
    </row>
    <row r="22" spans="2:30">
      <c r="B22" s="294" t="str">
        <f>'Support Sheet'!C5</f>
        <v>(iv)</v>
      </c>
      <c r="C22" s="614" t="s">
        <v>291</v>
      </c>
      <c r="D22" s="99"/>
      <c r="E22" s="99"/>
      <c r="F22" s="99"/>
      <c r="G22" s="99"/>
      <c r="H22" s="499">
        <f>SUMIFS('Trial Balance'!$D:$D,'Trial Balance'!$F:$F,'BS Notes '!$AA22,'Trial Balance'!$G:$G,'BS Notes '!$AB22,'Trial Balance'!$H:$H,'BS Notes '!$AC22,'Trial Balance'!$I:$I,'BS Notes '!$AD22)/'Support Sheet'!$G$10</f>
        <v>0</v>
      </c>
      <c r="I22" s="500">
        <f>SUMIFS('Trial Balance'!$E:$E,'Trial Balance'!$F:$F,'BS Notes '!$AA22,'Trial Balance'!$G:$G,'BS Notes '!$AB22,'Trial Balance'!$H:$H,'BS Notes '!$AC22,'Trial Balance'!$I:$I,'BS Notes '!$AD22)/'Support Sheet'!$G$10</f>
        <v>0</v>
      </c>
      <c r="M22" s="307" t="s">
        <v>444</v>
      </c>
      <c r="AA22" t="s">
        <v>317</v>
      </c>
      <c r="AB22" t="s">
        <v>291</v>
      </c>
      <c r="AC22">
        <v>0</v>
      </c>
      <c r="AD22">
        <v>0</v>
      </c>
    </row>
    <row r="23" spans="2:30">
      <c r="B23" s="294" t="str">
        <f>'Support Sheet'!C6</f>
        <v>(v)</v>
      </c>
      <c r="C23" s="614" t="s">
        <v>292</v>
      </c>
      <c r="D23" s="99"/>
      <c r="E23" s="99"/>
      <c r="F23" s="99"/>
      <c r="G23" s="99"/>
      <c r="H23" s="499">
        <f>SUMIFS('Trial Balance'!$D:$D,'Trial Balance'!$F:$F,'BS Notes '!$AA23,'Trial Balance'!$G:$G,'BS Notes '!$AB23,'Trial Balance'!$H:$H,'BS Notes '!$AC23,'Trial Balance'!$I:$I,'BS Notes '!$AD23)/'Support Sheet'!$G$10</f>
        <v>0</v>
      </c>
      <c r="I23" s="500">
        <f>SUMIFS('Trial Balance'!$E:$E,'Trial Balance'!$F:$F,'BS Notes '!$AA23,'Trial Balance'!$G:$G,'BS Notes '!$AB23,'Trial Balance'!$H:$H,'BS Notes '!$AC23,'Trial Balance'!$I:$I,'BS Notes '!$AD23)/'Support Sheet'!$G$10</f>
        <v>0</v>
      </c>
      <c r="M23" s="307" t="s">
        <v>443</v>
      </c>
      <c r="AA23" t="s">
        <v>317</v>
      </c>
      <c r="AB23" t="s">
        <v>292</v>
      </c>
      <c r="AC23">
        <v>0</v>
      </c>
      <c r="AD23">
        <v>0</v>
      </c>
    </row>
    <row r="24" spans="2:30">
      <c r="B24" s="294" t="str">
        <f>'Support Sheet'!C7</f>
        <v>(vi)</v>
      </c>
      <c r="C24" s="614" t="s">
        <v>293</v>
      </c>
      <c r="D24" s="99"/>
      <c r="E24" s="99"/>
      <c r="F24" s="99"/>
      <c r="G24" s="99"/>
      <c r="H24" s="499">
        <f>SUMIFS('Trial Balance'!$D:$D,'Trial Balance'!$F:$F,'BS Notes '!$AA24,'Trial Balance'!$G:$G,'BS Notes '!$AB24,'Trial Balance'!$H:$H,'BS Notes '!$AC24,'Trial Balance'!$I:$I,'BS Notes '!$AD24)/'Support Sheet'!$G$10</f>
        <v>0</v>
      </c>
      <c r="I24" s="500">
        <f>SUMIFS('Trial Balance'!$E:$E,'Trial Balance'!$F:$F,'BS Notes '!$AA24,'Trial Balance'!$G:$G,'BS Notes '!$AB24,'Trial Balance'!$H:$H,'BS Notes '!$AC24,'Trial Balance'!$I:$I,'BS Notes '!$AD24)/'Support Sheet'!$G$10</f>
        <v>0</v>
      </c>
      <c r="M24" s="170" t="s">
        <v>297</v>
      </c>
      <c r="AA24" t="s">
        <v>317</v>
      </c>
      <c r="AB24" t="s">
        <v>293</v>
      </c>
      <c r="AC24">
        <v>0</v>
      </c>
      <c r="AD24">
        <v>0</v>
      </c>
    </row>
    <row r="25" spans="2:30">
      <c r="B25" s="294" t="str">
        <f>'Support Sheet'!C8</f>
        <v>(vii)</v>
      </c>
      <c r="C25" s="614" t="s">
        <v>318</v>
      </c>
      <c r="D25" s="99"/>
      <c r="E25" s="289"/>
      <c r="F25" s="99"/>
      <c r="G25" s="99"/>
      <c r="H25" s="499">
        <f>SUMIFS('Trial Balance'!$D:$D,'Trial Balance'!$F:$F,'BS Notes '!$AA25,'Trial Balance'!$G:$G,'BS Notes '!$AB25,'Trial Balance'!$H:$H,'BS Notes '!$AC25,'Trial Balance'!$I:$I,'BS Notes '!$AD25)/'Support Sheet'!$G$10</f>
        <v>0</v>
      </c>
      <c r="I25" s="500">
        <f>SUMIFS('Trial Balance'!$E:$E,'Trial Balance'!$F:$F,'BS Notes '!$AA25,'Trial Balance'!$G:$G,'BS Notes '!$AB25,'Trial Balance'!$H:$H,'BS Notes '!$AC25,'Trial Balance'!$I:$I,'BS Notes '!$AD25)/'Support Sheet'!$G$10</f>
        <v>0</v>
      </c>
      <c r="M25" s="170" t="s">
        <v>319</v>
      </c>
      <c r="AA25" t="s">
        <v>317</v>
      </c>
      <c r="AB25" t="str">
        <f>C25</f>
        <v xml:space="preserve"> Other Investments (Specify Nature)</v>
      </c>
      <c r="AC25">
        <v>0</v>
      </c>
      <c r="AD25">
        <v>0</v>
      </c>
    </row>
    <row r="26" spans="2:30" ht="15" thickBot="1">
      <c r="B26" s="1011" t="s">
        <v>14</v>
      </c>
      <c r="C26" s="1012"/>
      <c r="D26" s="1012"/>
      <c r="E26" s="288"/>
      <c r="F26" s="105"/>
      <c r="G26" s="106"/>
      <c r="H26" s="519">
        <f>SUM(H19:H25)</f>
        <v>0</v>
      </c>
      <c r="I26" s="502">
        <f>SUM(I19:I25)</f>
        <v>0</v>
      </c>
      <c r="M26" t="s">
        <v>320</v>
      </c>
    </row>
    <row r="27" spans="2:30" ht="15" thickBot="1">
      <c r="B27" s="226"/>
      <c r="C27" s="104"/>
      <c r="D27" s="226"/>
      <c r="E27" s="226"/>
      <c r="F27" s="226"/>
      <c r="G27" s="226"/>
      <c r="H27" s="510"/>
      <c r="I27" s="669"/>
      <c r="M27" t="s">
        <v>321</v>
      </c>
    </row>
    <row r="28" spans="2:30">
      <c r="B28" s="100" t="s">
        <v>913</v>
      </c>
      <c r="C28" s="101"/>
      <c r="D28" s="102"/>
      <c r="E28" s="102"/>
      <c r="F28" s="102"/>
      <c r="G28" s="102"/>
      <c r="H28" s="503" t="str">
        <f>IF('Control Sheet'!$C$7&gt;0,CONCATENATE("As on"," ",TEXT('Control Sheet'!$C$7,"DD-MMM-YYYY"))," &lt;CY Balance Sheet Date&gt;")</f>
        <v>As on 31-Mar-2023</v>
      </c>
      <c r="I28" s="503" t="str">
        <f>IF('Control Sheet'!$C$8&gt;0,CONCATENATE("As on"," ",TEXT('Control Sheet'!$C$8,"DD-MMM-YYYY"))," &lt;CY Balance Sheet Date&gt;")</f>
        <v>As on 31-Mar-2022</v>
      </c>
      <c r="M28" t="s">
        <v>322</v>
      </c>
      <c r="AA28" s="227" t="s">
        <v>451</v>
      </c>
      <c r="AB28" s="227" t="s">
        <v>452</v>
      </c>
      <c r="AC28" s="227" t="s">
        <v>453</v>
      </c>
      <c r="AD28" s="227" t="s">
        <v>456</v>
      </c>
    </row>
    <row r="29" spans="2:30">
      <c r="B29" s="294" t="str">
        <f>'Support Sheet'!C2</f>
        <v>(i)</v>
      </c>
      <c r="C29" s="49" t="s">
        <v>325</v>
      </c>
      <c r="D29" s="291"/>
      <c r="E29" s="99"/>
      <c r="F29" s="99"/>
      <c r="G29" s="99"/>
      <c r="H29" s="499">
        <f>SUMIFS('Trial Balance'!$D:$D,'Trial Balance'!$F:$F,'BS Notes '!$AA29,'Trial Balance'!$G:$G,'BS Notes '!$AB29,'Trial Balance'!$H:$H,'BS Notes '!$AC29,'Trial Balance'!$I:$I,'BS Notes '!$AD29)/'Support Sheet'!$G$10</f>
        <v>0</v>
      </c>
      <c r="I29" s="500">
        <f>SUMIFS('Trial Balance'!$E:$E,'Trial Balance'!$F:$F,'BS Notes '!$AA29,'Trial Balance'!$G:$G,'BS Notes '!$AB29,'Trial Balance'!$H:$H,'BS Notes '!$AC29,'Trial Balance'!$I:$I,'BS Notes '!$AD29)/'Support Sheet'!$G$10</f>
        <v>0</v>
      </c>
      <c r="AA29" t="s">
        <v>466</v>
      </c>
      <c r="AB29" s="49" t="s">
        <v>325</v>
      </c>
      <c r="AC29">
        <v>0</v>
      </c>
      <c r="AD29">
        <v>0</v>
      </c>
    </row>
    <row r="30" spans="2:30">
      <c r="B30" s="294" t="str">
        <f>'Support Sheet'!C3</f>
        <v>(ii)</v>
      </c>
      <c r="C30" s="49" t="s">
        <v>326</v>
      </c>
      <c r="D30" s="99"/>
      <c r="E30" s="99"/>
      <c r="F30" s="99"/>
      <c r="G30" s="99"/>
      <c r="H30" s="499">
        <f>SUMIFS('Trial Balance'!$D:$D,'Trial Balance'!$F:$F,'BS Notes '!$AA30,'Trial Balance'!$G:$G,'BS Notes '!$AB30,'Trial Balance'!$H:$H,'BS Notes '!$AC30,'Trial Balance'!$I:$I,'BS Notes '!$AD30)/'Support Sheet'!$G$10</f>
        <v>0</v>
      </c>
      <c r="I30" s="500">
        <f>SUMIFS('Trial Balance'!$E:$E,'Trial Balance'!$F:$F,'BS Notes '!$AA30,'Trial Balance'!$G:$G,'BS Notes '!$AB30,'Trial Balance'!$H:$H,'BS Notes '!$AC30,'Trial Balance'!$I:$I,'BS Notes '!$AD30)/'Support Sheet'!$G$10</f>
        <v>0</v>
      </c>
      <c r="AA30" t="s">
        <v>466</v>
      </c>
      <c r="AB30" s="49" t="s">
        <v>326</v>
      </c>
      <c r="AC30">
        <v>0</v>
      </c>
      <c r="AD30">
        <v>0</v>
      </c>
    </row>
    <row r="31" spans="2:30">
      <c r="B31" s="294" t="str">
        <f>'Support Sheet'!C4</f>
        <v>(iii)</v>
      </c>
      <c r="C31" s="49" t="s">
        <v>327</v>
      </c>
      <c r="D31" s="99"/>
      <c r="E31" s="99"/>
      <c r="F31" s="99"/>
      <c r="G31" s="99"/>
      <c r="H31" s="499">
        <f>SUMIFS('Trial Balance'!$D:$D,'Trial Balance'!$F:$F,'BS Notes '!$AA31,'Trial Balance'!$G:$G,'BS Notes '!$AB31,'Trial Balance'!$H:$H,'BS Notes '!$AC31,'Trial Balance'!$I:$I,'BS Notes '!$AD31)/'Support Sheet'!$G$10</f>
        <v>0</v>
      </c>
      <c r="I31" s="500">
        <f>SUMIFS('Trial Balance'!$E:$E,'Trial Balance'!$F:$F,'BS Notes '!$AA31,'Trial Balance'!$G:$G,'BS Notes '!$AB31,'Trial Balance'!$H:$H,'BS Notes '!$AC31,'Trial Balance'!$I:$I,'BS Notes '!$AD31)/'Support Sheet'!$G$10</f>
        <v>0</v>
      </c>
      <c r="AA31" t="s">
        <v>466</v>
      </c>
      <c r="AB31" s="49" t="s">
        <v>327</v>
      </c>
      <c r="AC31">
        <v>0</v>
      </c>
      <c r="AD31">
        <v>0</v>
      </c>
    </row>
    <row r="32" spans="2:30">
      <c r="B32" s="294" t="str">
        <f>'Support Sheet'!C5</f>
        <v>(iv)</v>
      </c>
      <c r="C32" s="49" t="s">
        <v>328</v>
      </c>
      <c r="D32" s="99"/>
      <c r="E32" s="99"/>
      <c r="F32" s="99"/>
      <c r="G32" s="99"/>
      <c r="H32" s="499">
        <f>SUMIFS('Trial Balance'!$D:$D,'Trial Balance'!$F:$F,'BS Notes '!$AA32,'Trial Balance'!$G:$G,'BS Notes '!$AB32,'Trial Balance'!$H:$H,'BS Notes '!$AC32,'Trial Balance'!$I:$I,'BS Notes '!$AD32)/'Support Sheet'!$G$10</f>
        <v>0</v>
      </c>
      <c r="I32" s="500">
        <f>SUMIFS('Trial Balance'!$E:$E,'Trial Balance'!$F:$F,'BS Notes '!$AA32,'Trial Balance'!$G:$G,'BS Notes '!$AB32,'Trial Balance'!$H:$H,'BS Notes '!$AC32,'Trial Balance'!$I:$I,'BS Notes '!$AD32)/'Support Sheet'!$G$10</f>
        <v>0</v>
      </c>
      <c r="AA32" t="s">
        <v>466</v>
      </c>
      <c r="AB32" s="49" t="s">
        <v>328</v>
      </c>
      <c r="AC32">
        <v>0</v>
      </c>
      <c r="AD32">
        <v>0</v>
      </c>
    </row>
    <row r="33" spans="2:30">
      <c r="B33" s="294" t="str">
        <f>'Support Sheet'!C6</f>
        <v>(v)</v>
      </c>
      <c r="C33" s="49" t="s">
        <v>329</v>
      </c>
      <c r="D33" s="99"/>
      <c r="E33" s="99"/>
      <c r="F33" s="99"/>
      <c r="G33" s="99"/>
      <c r="H33" s="499">
        <f>SUMIFS('Trial Balance'!$D:$D,'Trial Balance'!$F:$F,'BS Notes '!$AA33,'Trial Balance'!$G:$G,'BS Notes '!$AB33,'Trial Balance'!$H:$H,'BS Notes '!$AC33,'Trial Balance'!$I:$I,'BS Notes '!$AD33)/'Support Sheet'!$G$10</f>
        <v>0</v>
      </c>
      <c r="I33" s="500">
        <f>SUMIFS('Trial Balance'!$E:$E,'Trial Balance'!$F:$F,'BS Notes '!$AA33,'Trial Balance'!$G:$G,'BS Notes '!$AB33,'Trial Balance'!$H:$H,'BS Notes '!$AC33,'Trial Balance'!$I:$I,'BS Notes '!$AD33)/'Support Sheet'!$G$10</f>
        <v>0</v>
      </c>
      <c r="AA33" t="s">
        <v>466</v>
      </c>
      <c r="AB33" s="49" t="s">
        <v>329</v>
      </c>
      <c r="AC33">
        <v>0</v>
      </c>
      <c r="AD33">
        <v>0</v>
      </c>
    </row>
    <row r="34" spans="2:30">
      <c r="B34" s="294" t="str">
        <f>'Support Sheet'!C7</f>
        <v>(vi)</v>
      </c>
      <c r="C34" s="49" t="s">
        <v>330</v>
      </c>
      <c r="D34" s="99"/>
      <c r="E34" s="99"/>
      <c r="F34" s="99"/>
      <c r="G34" s="99"/>
      <c r="H34" s="499">
        <f>SUMIFS('Trial Balance'!$D:$D,'Trial Balance'!$F:$F,'BS Notes '!$AA34,'Trial Balance'!$G:$G,'BS Notes '!$AB34,'Trial Balance'!$H:$H,'BS Notes '!$AC34,'Trial Balance'!$I:$I,'BS Notes '!$AD34)/'Support Sheet'!$G$10</f>
        <v>0</v>
      </c>
      <c r="I34" s="500">
        <f>SUMIFS('Trial Balance'!$E:$E,'Trial Balance'!$F:$F,'BS Notes '!$AA34,'Trial Balance'!$G:$G,'BS Notes '!$AB34,'Trial Balance'!$H:$H,'BS Notes '!$AC34,'Trial Balance'!$I:$I,'BS Notes '!$AD34)/'Support Sheet'!$G$10</f>
        <v>0</v>
      </c>
      <c r="AA34" t="s">
        <v>466</v>
      </c>
      <c r="AB34" s="49" t="s">
        <v>330</v>
      </c>
      <c r="AC34">
        <v>0</v>
      </c>
      <c r="AD34">
        <v>0</v>
      </c>
    </row>
    <row r="35" spans="2:30">
      <c r="B35" s="294" t="str">
        <f>'Support Sheet'!C8</f>
        <v>(vii)</v>
      </c>
      <c r="C35" s="49" t="s">
        <v>1009</v>
      </c>
      <c r="D35" s="289"/>
      <c r="E35" s="289"/>
      <c r="F35" s="99"/>
      <c r="G35" s="99"/>
      <c r="H35" s="499">
        <f>SUMIFS('Trial Balance'!$D:$D,'Trial Balance'!$F:$F,'BS Notes '!$AA35,'Trial Balance'!$G:$G,'BS Notes '!$AB35,'Trial Balance'!$H:$H,'BS Notes '!$AC35,'Trial Balance'!$I:$I,'BS Notes '!$AD35)/'Support Sheet'!$G$10</f>
        <v>0</v>
      </c>
      <c r="I35" s="500">
        <f>SUMIFS('Trial Balance'!$E:$E,'Trial Balance'!$F:$F,'BS Notes '!$AA35,'Trial Balance'!$G:$G,'BS Notes '!$AB35,'Trial Balance'!$H:$H,'BS Notes '!$AC35,'Trial Balance'!$I:$I,'BS Notes '!$AD35)/'Support Sheet'!$G$10</f>
        <v>0</v>
      </c>
      <c r="AA35" t="s">
        <v>466</v>
      </c>
      <c r="AB35" s="49" t="str">
        <f>C35</f>
        <v xml:space="preserve"> Other Inventory (Specify Nature)</v>
      </c>
      <c r="AC35">
        <v>0</v>
      </c>
      <c r="AD35">
        <v>0</v>
      </c>
    </row>
    <row r="36" spans="2:30" ht="15" thickBot="1">
      <c r="B36" s="1011" t="s">
        <v>14</v>
      </c>
      <c r="C36" s="1012"/>
      <c r="D36" s="1012"/>
      <c r="E36" s="288"/>
      <c r="F36" s="105"/>
      <c r="G36" s="106"/>
      <c r="H36" s="114">
        <f>SUM(H29:H35)</f>
        <v>0</v>
      </c>
      <c r="I36" s="119">
        <f>SUM(I29:I35)</f>
        <v>0</v>
      </c>
    </row>
    <row r="37" spans="2:30">
      <c r="B37" s="226" t="s">
        <v>331</v>
      </c>
      <c r="C37" s="104"/>
      <c r="D37" s="104"/>
      <c r="E37" s="118"/>
      <c r="F37" s="118"/>
      <c r="G37" s="614"/>
      <c r="H37" s="614"/>
      <c r="I37" s="614"/>
    </row>
    <row r="38" spans="2:30">
      <c r="B38" s="226" t="s">
        <v>332</v>
      </c>
      <c r="C38" s="104"/>
      <c r="D38" s="104"/>
      <c r="E38" s="118"/>
      <c r="F38" s="118"/>
      <c r="G38" s="614"/>
      <c r="H38" s="614"/>
      <c r="I38" s="614"/>
    </row>
    <row r="39" spans="2:30" ht="15" thickBot="1">
      <c r="B39" s="614"/>
      <c r="C39" s="614"/>
      <c r="D39" s="614"/>
      <c r="E39" s="614"/>
      <c r="F39" s="614"/>
      <c r="G39" s="614"/>
      <c r="H39" s="614"/>
      <c r="I39" s="614"/>
    </row>
    <row r="40" spans="2:30" ht="15" thickBot="1">
      <c r="B40" s="142" t="s">
        <v>914</v>
      </c>
      <c r="C40" s="142"/>
      <c r="D40" s="1021" t="s">
        <v>377</v>
      </c>
      <c r="E40" s="1022"/>
      <c r="F40" s="1022"/>
      <c r="G40" s="1022"/>
      <c r="H40" s="1022"/>
      <c r="I40" s="1050" t="s">
        <v>14</v>
      </c>
      <c r="M40" s="231" t="s">
        <v>333</v>
      </c>
    </row>
    <row r="41" spans="2:30" ht="15" thickBot="1">
      <c r="B41" s="143"/>
      <c r="C41" s="282" t="str">
        <f>IF('Control Sheet'!$C$7&gt;0,CONCATENATE("As on"," ",TEXT('Control Sheet'!$C$7,"DD-MMM-YYYY"))," &lt;CY Balance Sheet Date&gt;")</f>
        <v>As on 31-Mar-2023</v>
      </c>
      <c r="D41" s="144" t="s">
        <v>378</v>
      </c>
      <c r="E41" s="144" t="s">
        <v>379</v>
      </c>
      <c r="F41" s="144" t="s">
        <v>374</v>
      </c>
      <c r="G41" s="145" t="s">
        <v>375</v>
      </c>
      <c r="H41" s="283" t="s">
        <v>376</v>
      </c>
      <c r="I41" s="1051"/>
      <c r="M41" s="170" t="s">
        <v>312</v>
      </c>
    </row>
    <row r="42" spans="2:30">
      <c r="B42" s="308" t="str">
        <f>'Support Sheet'!C2</f>
        <v>(i)</v>
      </c>
      <c r="C42" s="147" t="s">
        <v>805</v>
      </c>
      <c r="D42" s="193">
        <f>SUMIFS(Table35[Current year Amount],Table35[Ageing],'BS Notes '!D$41,Table35[Type],'BS Notes '!$C42)/'Support Sheet'!$G$10</f>
        <v>0</v>
      </c>
      <c r="E42" s="193">
        <f>SUMIFS(Table35[Current year Amount],Table35[Ageing],'BS Notes '!E$41,Table35[Type],'BS Notes '!$C42)/'Support Sheet'!$G$10</f>
        <v>0</v>
      </c>
      <c r="F42" s="193">
        <f>SUMIFS(Table35[Current year Amount],Table35[Ageing],'BS Notes '!F$41,Table35[Type],'BS Notes '!$C42)/'Support Sheet'!$G$10</f>
        <v>0</v>
      </c>
      <c r="G42" s="193">
        <f>SUMIFS(Table35[Current year Amount],Table35[Ageing],'BS Notes '!G$41,Table35[Type],'BS Notes '!$C42)/'Support Sheet'!$G$10</f>
        <v>0</v>
      </c>
      <c r="H42" s="193">
        <f>SUMIFS(Table35[Current year Amount],Table35[Ageing],'BS Notes '!H$41,Table35[Type],'BS Notes '!$C42)/'Support Sheet'!$G$10</f>
        <v>0</v>
      </c>
      <c r="I42" s="520">
        <f>SUM(D42:H42)</f>
        <v>0</v>
      </c>
      <c r="M42" s="170" t="s">
        <v>313</v>
      </c>
    </row>
    <row r="43" spans="2:30">
      <c r="B43" s="308" t="str">
        <f>'Support Sheet'!C3</f>
        <v>(ii)</v>
      </c>
      <c r="C43" s="147" t="s">
        <v>806</v>
      </c>
      <c r="D43" s="193">
        <f>SUMIFS(Table35[Current year Amount],Table35[Ageing],'BS Notes '!D$41,Table35[Type],'BS Notes '!$C43)/'Support Sheet'!$G$10</f>
        <v>0</v>
      </c>
      <c r="E43" s="193">
        <f>SUMIFS(Table35[Current year Amount],Table35[Ageing],'BS Notes '!E$41,Table35[Type],'BS Notes '!$C43)/'Support Sheet'!$G$10</f>
        <v>0</v>
      </c>
      <c r="F43" s="193">
        <f>SUMIFS(Table35[Current year Amount],Table35[Ageing],'BS Notes '!F$41,Table35[Type],'BS Notes '!$C43)/'Support Sheet'!$G$10</f>
        <v>0</v>
      </c>
      <c r="G43" s="193">
        <f>SUMIFS(Table35[Current year Amount],Table35[Ageing],'BS Notes '!G$41,Table35[Type],'BS Notes '!$C43)/'Support Sheet'!$G$10</f>
        <v>0</v>
      </c>
      <c r="H43" s="193">
        <f>SUMIFS(Table35[Current year Amount],Table35[Ageing],'BS Notes '!H$41,Table35[Type],'BS Notes '!$C43)/'Support Sheet'!$G$10</f>
        <v>0</v>
      </c>
      <c r="I43" s="124">
        <f>SUM(D43:H43)</f>
        <v>0</v>
      </c>
      <c r="M43" s="170" t="s">
        <v>314</v>
      </c>
    </row>
    <row r="44" spans="2:30">
      <c r="B44" s="308" t="str">
        <f>'Support Sheet'!C4</f>
        <v>(iii)</v>
      </c>
      <c r="C44" s="558" t="s">
        <v>807</v>
      </c>
      <c r="D44" s="193">
        <f>SUMIFS(Table35[Current year Amount],Table35[Ageing],'BS Notes '!D$41,Table35[Type],'BS Notes '!$C44)/'Support Sheet'!$G$10</f>
        <v>0</v>
      </c>
      <c r="E44" s="193">
        <f>SUMIFS(Table35[Current year Amount],Table35[Ageing],'BS Notes '!E$41,Table35[Type],'BS Notes '!$C44)/'Support Sheet'!$G$10</f>
        <v>0</v>
      </c>
      <c r="F44" s="193">
        <f>SUMIFS(Table35[Current year Amount],Table35[Ageing],'BS Notes '!F$41,Table35[Type],'BS Notes '!$C44)/'Support Sheet'!$G$10</f>
        <v>0</v>
      </c>
      <c r="G44" s="193">
        <f>SUMIFS(Table35[Current year Amount],Table35[Ageing],'BS Notes '!G$41,Table35[Type],'BS Notes '!$C44)/'Support Sheet'!$G$10</f>
        <v>0</v>
      </c>
      <c r="H44" s="193">
        <f>SUMIFS(Table35[Current year Amount],Table35[Ageing],'BS Notes '!H$41,Table35[Type],'BS Notes '!$C44)/'Support Sheet'!$G$10</f>
        <v>0</v>
      </c>
      <c r="I44" s="124">
        <f>SUM(D44:H44)</f>
        <v>0</v>
      </c>
      <c r="M44" s="170" t="s">
        <v>315</v>
      </c>
    </row>
    <row r="45" spans="2:30">
      <c r="B45" s="308" t="str">
        <f>'Support Sheet'!C5</f>
        <v>(iv)</v>
      </c>
      <c r="C45" s="147" t="s">
        <v>808</v>
      </c>
      <c r="D45" s="193">
        <f>SUMIFS(Table35[Current year Amount],Table35[Ageing],'BS Notes '!D$41,Table35[Type],'BS Notes '!$C45)/'Support Sheet'!$G$10</f>
        <v>0</v>
      </c>
      <c r="E45" s="193">
        <f>SUMIFS(Table35[Current year Amount],Table35[Ageing],'BS Notes '!E$41,Table35[Type],'BS Notes '!$C45)/'Support Sheet'!$G$10</f>
        <v>0</v>
      </c>
      <c r="F45" s="193">
        <f>SUMIFS(Table35[Current year Amount],Table35[Ageing],'BS Notes '!F$41,Table35[Type],'BS Notes '!$C45)/'Support Sheet'!$G$10</f>
        <v>0</v>
      </c>
      <c r="G45" s="193">
        <f>SUMIFS(Table35[Current year Amount],Table35[Ageing],'BS Notes '!G$41,Table35[Type],'BS Notes '!$C45)/'Support Sheet'!$G$10</f>
        <v>0</v>
      </c>
      <c r="H45" s="193">
        <f>SUMIFS(Table35[Current year Amount],Table35[Ageing],'BS Notes '!H$41,Table35[Type],'BS Notes '!$C45)/'Support Sheet'!$G$10</f>
        <v>0</v>
      </c>
      <c r="I45" s="124">
        <f>SUM(D45:H45)</f>
        <v>0</v>
      </c>
      <c r="M45" s="170" t="s">
        <v>316</v>
      </c>
    </row>
    <row r="46" spans="2:30" ht="15" thickBot="1">
      <c r="B46" s="1048" t="s">
        <v>102</v>
      </c>
      <c r="C46" s="1052"/>
      <c r="D46" s="521"/>
      <c r="E46" s="521"/>
      <c r="F46" s="522"/>
      <c r="G46" s="522"/>
      <c r="H46" s="523"/>
      <c r="I46" s="524">
        <f>SUM(I42:I45)</f>
        <v>0</v>
      </c>
    </row>
    <row r="47" spans="2:30" ht="15" thickBot="1">
      <c r="B47" s="149"/>
      <c r="C47" s="665"/>
      <c r="D47" s="665"/>
      <c r="E47" s="665"/>
      <c r="F47" s="665"/>
      <c r="G47" s="665"/>
      <c r="H47" s="665"/>
      <c r="I47" s="666"/>
    </row>
    <row r="48" spans="2:30" ht="15" thickBot="1">
      <c r="B48" s="150"/>
      <c r="C48" s="284" t="str">
        <f>IF('Control Sheet'!$C$8&gt;0,CONCATENATE("As on"," ",TEXT('Control Sheet'!$C$8,"DD-MMM-YYYY"))," &lt;CY Balance Sheet Date&gt;")</f>
        <v>As on 31-Mar-2022</v>
      </c>
      <c r="D48" s="285" t="s">
        <v>378</v>
      </c>
      <c r="E48" s="285" t="s">
        <v>379</v>
      </c>
      <c r="F48" s="285" t="s">
        <v>374</v>
      </c>
      <c r="G48" s="286" t="s">
        <v>375</v>
      </c>
      <c r="H48" s="287" t="s">
        <v>376</v>
      </c>
      <c r="I48" s="667" t="s">
        <v>14</v>
      </c>
    </row>
    <row r="49" spans="2:30">
      <c r="B49" s="308" t="str">
        <f>'Support Sheet'!C2</f>
        <v>(i)</v>
      </c>
      <c r="C49" s="147" t="s">
        <v>805</v>
      </c>
      <c r="D49" s="193">
        <f>SUMIFS(Table35[Previous Year Amount],Table35[[Ageing ]],'BS Notes '!D$48,Table35[[Type ]],'BS Notes '!$C49)/'Support Sheet'!$G$10</f>
        <v>0</v>
      </c>
      <c r="E49" s="193">
        <f>SUMIFS(Table35[Previous Year Amount],Table35[[Ageing ]],'BS Notes '!E$48,Table35[[Type ]],'BS Notes '!$C49)/'Support Sheet'!$G$10</f>
        <v>0</v>
      </c>
      <c r="F49" s="193">
        <f>SUMIFS(Table35[Previous Year Amount],Table35[[Ageing ]],'BS Notes '!F$48,Table35[[Type ]],'BS Notes '!$C49)/'Support Sheet'!$G$10</f>
        <v>0</v>
      </c>
      <c r="G49" s="193">
        <f>SUMIFS(Table35[Previous Year Amount],Table35[[Ageing ]],'BS Notes '!G$48,Table35[[Type ]],'BS Notes '!$C49)/'Support Sheet'!$G$10</f>
        <v>0</v>
      </c>
      <c r="H49" s="193">
        <f>SUMIFS(Table35[Previous Year Amount],Table35[[Ageing ]],'BS Notes '!H$48,Table35[[Type ]],'BS Notes '!$C49)/'Support Sheet'!$G$10</f>
        <v>0</v>
      </c>
      <c r="I49" s="124">
        <f>SUM(D49:H49)</f>
        <v>0</v>
      </c>
    </row>
    <row r="50" spans="2:30">
      <c r="B50" s="308" t="str">
        <f>'Support Sheet'!C3</f>
        <v>(ii)</v>
      </c>
      <c r="C50" s="147" t="s">
        <v>806</v>
      </c>
      <c r="D50" s="193">
        <f>SUMIFS(Table35[Previous Year Amount],Table35[[Ageing ]],'BS Notes '!D$48,Table35[[Type ]],'BS Notes '!$C50)/'Support Sheet'!$G$10</f>
        <v>0</v>
      </c>
      <c r="E50" s="193">
        <f>SUMIFS(Table35[Previous Year Amount],Table35[[Ageing ]],'BS Notes '!E$48,Table35[[Type ]],'BS Notes '!$C50)/'Support Sheet'!$G$10</f>
        <v>0</v>
      </c>
      <c r="F50" s="193">
        <f>SUMIFS(Table35[Previous Year Amount],Table35[[Ageing ]],'BS Notes '!F$48,Table35[[Type ]],'BS Notes '!$C50)/'Support Sheet'!$G$10</f>
        <v>0</v>
      </c>
      <c r="G50" s="193">
        <f>SUMIFS(Table35[Previous Year Amount],Table35[[Ageing ]],'BS Notes '!G$48,Table35[[Type ]],'BS Notes '!$C50)/'Support Sheet'!$G$10</f>
        <v>0</v>
      </c>
      <c r="H50" s="193">
        <f>SUMIFS(Table35[Previous Year Amount],Table35[[Ageing ]],'BS Notes '!H$48,Table35[[Type ]],'BS Notes '!$C50)/'Support Sheet'!$G$10</f>
        <v>0</v>
      </c>
      <c r="I50" s="124">
        <f>SUM(D50:H50)</f>
        <v>0</v>
      </c>
    </row>
    <row r="51" spans="2:30">
      <c r="B51" s="308" t="str">
        <f>'Support Sheet'!C4</f>
        <v>(iii)</v>
      </c>
      <c r="C51" s="558" t="s">
        <v>807</v>
      </c>
      <c r="D51" s="193">
        <f>SUMIFS(Table35[Previous Year Amount],Table35[[Ageing ]],'BS Notes '!D$48,Table35[[Type ]],'BS Notes '!$C51)/'Support Sheet'!$G$10</f>
        <v>0</v>
      </c>
      <c r="E51" s="193">
        <f>SUMIFS(Table35[Previous Year Amount],Table35[[Ageing ]],'BS Notes '!E$48,Table35[[Type ]],'BS Notes '!$C51)/'Support Sheet'!$G$10</f>
        <v>0</v>
      </c>
      <c r="F51" s="193">
        <f>SUMIFS(Table35[Previous Year Amount],Table35[[Ageing ]],'BS Notes '!F$48,Table35[[Type ]],'BS Notes '!$C51)/'Support Sheet'!$G$10</f>
        <v>0</v>
      </c>
      <c r="G51" s="193">
        <f>SUMIFS(Table35[Previous Year Amount],Table35[[Ageing ]],'BS Notes '!G$48,Table35[[Type ]],'BS Notes '!$C51)/'Support Sheet'!$G$10</f>
        <v>0</v>
      </c>
      <c r="H51" s="193">
        <f>SUMIFS(Table35[Previous Year Amount],Table35[[Ageing ]],'BS Notes '!H$48,Table35[[Type ]],'BS Notes '!$C51)/'Support Sheet'!$G$10</f>
        <v>0</v>
      </c>
      <c r="I51" s="124">
        <f>SUM(D51:H51)</f>
        <v>0</v>
      </c>
    </row>
    <row r="52" spans="2:30">
      <c r="B52" s="308" t="str">
        <f>'Support Sheet'!C5</f>
        <v>(iv)</v>
      </c>
      <c r="C52" s="147" t="s">
        <v>808</v>
      </c>
      <c r="D52" s="193">
        <f>SUMIFS(Table35[Previous Year Amount],Table35[[Ageing ]],'BS Notes '!D$48,Table35[[Type ]],'BS Notes '!$C52)/'Support Sheet'!$G$10</f>
        <v>0</v>
      </c>
      <c r="E52" s="193">
        <f>SUMIFS(Table35[Previous Year Amount],Table35[[Ageing ]],'BS Notes '!E$48,Table35[[Type ]],'BS Notes '!$C52)/'Support Sheet'!$G$10</f>
        <v>0</v>
      </c>
      <c r="F52" s="193">
        <f>SUMIFS(Table35[Previous Year Amount],Table35[[Ageing ]],'BS Notes '!F$48,Table35[[Type ]],'BS Notes '!$C52)/'Support Sheet'!$G$10</f>
        <v>0</v>
      </c>
      <c r="G52" s="193">
        <f>SUMIFS(Table35[Previous Year Amount],Table35[[Ageing ]],'BS Notes '!G$48,Table35[[Type ]],'BS Notes '!$C52)/'Support Sheet'!$G$10</f>
        <v>0</v>
      </c>
      <c r="H52" s="193">
        <f>SUMIFS(Table35[Previous Year Amount],Table35[[Ageing ]],'BS Notes '!H$48,Table35[[Type ]],'BS Notes '!$C52)/'Support Sheet'!$G$10</f>
        <v>0</v>
      </c>
      <c r="I52" s="124">
        <f>SUM(D52:H52)</f>
        <v>0</v>
      </c>
    </row>
    <row r="53" spans="2:30" ht="15" thickBot="1">
      <c r="B53" s="1048" t="s">
        <v>102</v>
      </c>
      <c r="C53" s="1052"/>
      <c r="D53" s="521"/>
      <c r="E53" s="521"/>
      <c r="F53" s="522"/>
      <c r="G53" s="522"/>
      <c r="H53" s="523"/>
      <c r="I53" s="524">
        <f>SUM(I49:I52)</f>
        <v>0</v>
      </c>
    </row>
    <row r="54" spans="2:30" ht="15" thickBot="1">
      <c r="B54" s="151"/>
      <c r="C54" s="151"/>
      <c r="D54" s="152"/>
      <c r="E54" s="152"/>
      <c r="F54" s="151"/>
      <c r="G54" s="151"/>
      <c r="H54" s="153"/>
      <c r="I54" s="153"/>
    </row>
    <row r="55" spans="2:30">
      <c r="B55" s="154" t="s">
        <v>915</v>
      </c>
      <c r="C55" s="155"/>
      <c r="D55" s="155"/>
      <c r="E55" s="156"/>
      <c r="F55" s="156"/>
      <c r="G55" s="157"/>
      <c r="H55" s="115" t="str">
        <f>IF('Control Sheet'!$C$7&gt;0,CONCATENATE("As on"," ",TEXT('Control Sheet'!$C$7,"DD-MMM-YYYY"))," &lt;CY Balance Sheet Date&gt;")</f>
        <v>As on 31-Mar-2023</v>
      </c>
      <c r="I55" s="115" t="str">
        <f>IF('Control Sheet'!$C$8&gt;0,CONCATENATE("As on"," ",TEXT('Control Sheet'!$C$8,"DD-MMM-YYYY"))," &lt;CY Balance Sheet Date&gt;")</f>
        <v>As on 31-Mar-2022</v>
      </c>
      <c r="M55" s="231" t="s">
        <v>336</v>
      </c>
      <c r="AA55" s="227" t="s">
        <v>451</v>
      </c>
      <c r="AB55" s="227" t="s">
        <v>452</v>
      </c>
      <c r="AC55" s="227" t="s">
        <v>453</v>
      </c>
      <c r="AD55" s="227" t="s">
        <v>456</v>
      </c>
    </row>
    <row r="56" spans="2:30">
      <c r="B56" s="308" t="str">
        <f>'Support Sheet'!C2</f>
        <v>(i)</v>
      </c>
      <c r="C56" s="158" t="s">
        <v>334</v>
      </c>
      <c r="D56" s="158"/>
      <c r="E56" s="153"/>
      <c r="F56" s="153"/>
      <c r="G56" s="159"/>
      <c r="H56" s="499">
        <f>SUMIFS('Trial Balance'!$D:$D,'Trial Balance'!$F:$F,'BS Notes '!$AA56,'Trial Balance'!$G:$G,'BS Notes '!$AB56,'Trial Balance'!$H:$H,'BS Notes '!$AC56,'Trial Balance'!$I:$I,'BS Notes '!$AD56)/'Support Sheet'!$G$10</f>
        <v>0</v>
      </c>
      <c r="I56" s="500">
        <f>SUMIFS('Trial Balance'!$E:$E,'Trial Balance'!$F:$F,'BS Notes '!$AA56,'Trial Balance'!$G:$G,'BS Notes '!$AB56,'Trial Balance'!$H:$H,'BS Notes '!$AC56,'Trial Balance'!$I:$I,'BS Notes '!$AD56)/'Support Sheet'!$G$10</f>
        <v>0</v>
      </c>
      <c r="M56" s="170" t="s">
        <v>337</v>
      </c>
      <c r="AA56" t="s">
        <v>336</v>
      </c>
      <c r="AB56" s="158" t="s">
        <v>334</v>
      </c>
      <c r="AC56">
        <v>0</v>
      </c>
      <c r="AD56">
        <v>0</v>
      </c>
    </row>
    <row r="57" spans="2:30">
      <c r="B57" s="308" t="str">
        <f>'Support Sheet'!C3</f>
        <v>(ii)</v>
      </c>
      <c r="C57" s="158" t="s">
        <v>335</v>
      </c>
      <c r="D57" s="158"/>
      <c r="E57" s="158"/>
      <c r="F57" s="158"/>
      <c r="G57" s="147"/>
      <c r="H57" s="499">
        <f>SUMIFS('Trial Balance'!$D:$D,'Trial Balance'!$F:$F,'BS Notes '!$AA57,'Trial Balance'!$G:$G,'BS Notes '!$AB57,'Trial Balance'!$H:$H,'BS Notes '!$AC57,'Trial Balance'!$I:$I,'BS Notes '!$AD57)/'Support Sheet'!$G$10</f>
        <v>7.4367999999999999</v>
      </c>
      <c r="I57" s="500">
        <f>SUMIFS('Trial Balance'!$E:$E,'Trial Balance'!$F:$F,'BS Notes '!$AA57,'Trial Balance'!$G:$G,'BS Notes '!$AB57,'Trial Balance'!$H:$H,'BS Notes '!$AC57,'Trial Balance'!$I:$I,'BS Notes '!$AD57)/'Support Sheet'!$G$10</f>
        <v>120</v>
      </c>
      <c r="M57" s="170" t="s">
        <v>338</v>
      </c>
      <c r="AA57" t="s">
        <v>336</v>
      </c>
      <c r="AB57" s="158" t="s">
        <v>335</v>
      </c>
      <c r="AC57">
        <v>0</v>
      </c>
      <c r="AD57">
        <v>0</v>
      </c>
    </row>
    <row r="58" spans="2:30">
      <c r="B58" s="308" t="str">
        <f>'Support Sheet'!C4</f>
        <v>(iii)</v>
      </c>
      <c r="C58" s="158" t="s">
        <v>769</v>
      </c>
      <c r="D58" s="158"/>
      <c r="E58" s="158"/>
      <c r="F58" s="158"/>
      <c r="G58" s="147"/>
      <c r="H58" s="499">
        <f>SUMIFS('Trial Balance'!$D:$D,'Trial Balance'!$F:$F,'BS Notes '!$AA58,'Trial Balance'!$G:$G,'BS Notes '!$AB58,'Trial Balance'!$H:$H,'BS Notes '!$AC58,'Trial Balance'!$I:$I,'BS Notes '!$AD58)/'Support Sheet'!$G$10</f>
        <v>6998.2338</v>
      </c>
      <c r="I58" s="500">
        <f>SUMIFS('Trial Balance'!$E:$E,'Trial Balance'!$F:$F,'BS Notes '!$AA58,'Trial Balance'!$G:$G,'BS Notes '!$AB58,'Trial Balance'!$H:$H,'BS Notes '!$AC58,'Trial Balance'!$I:$I,'BS Notes '!$AD58)/'Support Sheet'!$G$10</f>
        <v>52.26</v>
      </c>
      <c r="M58" s="170"/>
      <c r="AA58" t="s">
        <v>336</v>
      </c>
      <c r="AB58" s="158" t="s">
        <v>769</v>
      </c>
      <c r="AC58">
        <v>0</v>
      </c>
      <c r="AD58">
        <v>0</v>
      </c>
    </row>
    <row r="59" spans="2:30">
      <c r="B59" s="308" t="str">
        <f>'Support Sheet'!C5</f>
        <v>(iv)</v>
      </c>
      <c r="C59" s="158" t="s">
        <v>1010</v>
      </c>
      <c r="D59" s="158"/>
      <c r="E59" s="158"/>
      <c r="F59" s="158"/>
      <c r="G59" s="147"/>
      <c r="H59" s="499">
        <f>SUMIFS('Trial Balance'!$D:$D,'Trial Balance'!$F:$F,'BS Notes '!$AA59,'Trial Balance'!$G:$G,'BS Notes '!$AB59,'Trial Balance'!$H:$H,'BS Notes '!$AC59,'Trial Balance'!$I:$I,'BS Notes '!$AD59)/'Support Sheet'!$G$10</f>
        <v>0</v>
      </c>
      <c r="I59" s="500">
        <f>SUMIFS('Trial Balance'!$E:$E,'Trial Balance'!$F:$F,'BS Notes '!$AA59,'Trial Balance'!$G:$G,'BS Notes '!$AB59,'Trial Balance'!$H:$H,'BS Notes '!$AC59,'Trial Balance'!$I:$I,'BS Notes '!$AD59)/'Support Sheet'!$G$10</f>
        <v>0</v>
      </c>
      <c r="M59" s="170" t="s">
        <v>339</v>
      </c>
      <c r="AA59" t="s">
        <v>336</v>
      </c>
      <c r="AB59" s="158" t="str">
        <f>C59</f>
        <v>Other C &amp; CE (Specify Nature)</v>
      </c>
      <c r="AC59">
        <v>0</v>
      </c>
      <c r="AD59">
        <v>0</v>
      </c>
    </row>
    <row r="60" spans="2:30" ht="15" thickBot="1">
      <c r="B60" s="1048" t="s">
        <v>102</v>
      </c>
      <c r="C60" s="1049"/>
      <c r="D60" s="1049"/>
      <c r="E60" s="1049"/>
      <c r="F60" s="148"/>
      <c r="G60" s="160"/>
      <c r="H60" s="525">
        <f>SUM(H56:H59)</f>
        <v>7005.6706000000004</v>
      </c>
      <c r="I60" s="526">
        <f>SUM(I56:I59)</f>
        <v>172.26</v>
      </c>
      <c r="M60" s="170" t="s">
        <v>340</v>
      </c>
    </row>
    <row r="61" spans="2:30" ht="15" thickBot="1">
      <c r="B61" s="161"/>
      <c r="C61" s="161"/>
      <c r="D61" s="162"/>
      <c r="E61" s="161"/>
      <c r="F61" s="161"/>
      <c r="G61" s="161"/>
      <c r="H61" s="96"/>
      <c r="I61" s="96"/>
    </row>
    <row r="62" spans="2:30">
      <c r="B62" s="154" t="s">
        <v>916</v>
      </c>
      <c r="C62" s="155"/>
      <c r="D62" s="155"/>
      <c r="E62" s="156"/>
      <c r="F62" s="163"/>
      <c r="G62" s="157"/>
      <c r="H62" s="503" t="str">
        <f>IF('Control Sheet'!$C$7&gt;0,CONCATENATE("As on"," ",TEXT('Control Sheet'!$C$7,"DD-MMM-YYYY"))," &lt;CY Balance Sheet Date&gt;")</f>
        <v>As on 31-Mar-2023</v>
      </c>
      <c r="I62" s="503" t="str">
        <f>IF('Control Sheet'!$C$8&gt;0,CONCATENATE("As on"," ",TEXT('Control Sheet'!$C$8,"DD-MMM-YYYY"))," &lt;CY Balance Sheet Date&gt;")</f>
        <v>As on 31-Mar-2022</v>
      </c>
      <c r="M62" s="231" t="s">
        <v>341</v>
      </c>
    </row>
    <row r="63" spans="2:30">
      <c r="B63" s="308" t="str">
        <f>'Support Sheet'!C2</f>
        <v>(i)</v>
      </c>
      <c r="C63" s="158" t="s">
        <v>303</v>
      </c>
      <c r="D63" s="158"/>
      <c r="E63" s="153"/>
      <c r="F63" s="165"/>
      <c r="G63" s="159"/>
      <c r="H63" s="527"/>
      <c r="I63" s="528"/>
      <c r="M63" t="s">
        <v>342</v>
      </c>
    </row>
    <row r="64" spans="2:30">
      <c r="B64" s="308"/>
      <c r="C64" s="304" t="s">
        <v>434</v>
      </c>
      <c r="D64" s="158"/>
      <c r="E64" s="153"/>
      <c r="F64" s="153"/>
      <c r="G64" s="159"/>
      <c r="H64" s="499">
        <f>SUMIFS('Trial Balance'!$D:$D,'Trial Balance'!$F:$F,'BS Notes '!$AA64,'Trial Balance'!$G:$G,'BS Notes '!$AB64,'Trial Balance'!$H:$H,'BS Notes '!$AC64,'Trial Balance'!$I:$I,'BS Notes '!$AD64)/'Support Sheet'!$G$10</f>
        <v>0</v>
      </c>
      <c r="I64" s="500">
        <f>SUMIFS('Trial Balance'!$E:$E,'Trial Balance'!$F:$F,'BS Notes '!$AA64,'Trial Balance'!$G:$G,'BS Notes '!$AB64,'Trial Balance'!$H:$H,'BS Notes '!$AC64,'Trial Balance'!$I:$I,'BS Notes '!$AD64)/'Support Sheet'!$G$10</f>
        <v>0</v>
      </c>
      <c r="M64" t="s">
        <v>304</v>
      </c>
      <c r="AA64" t="s">
        <v>467</v>
      </c>
      <c r="AB64" t="s">
        <v>468</v>
      </c>
      <c r="AC64">
        <v>0</v>
      </c>
      <c r="AD64" s="329" t="s">
        <v>457</v>
      </c>
    </row>
    <row r="65" spans="2:30">
      <c r="B65" s="308"/>
      <c r="C65" s="304" t="s">
        <v>435</v>
      </c>
      <c r="D65" s="158"/>
      <c r="E65" s="153"/>
      <c r="F65" s="153"/>
      <c r="G65" s="159"/>
      <c r="H65" s="499">
        <f>SUMIFS('Trial Balance'!$D:$D,'Trial Balance'!$F:$F,'BS Notes '!$AA65,'Trial Balance'!$G:$G,'BS Notes '!$AB65,'Trial Balance'!$H:$H,'BS Notes '!$AC65,'Trial Balance'!$I:$I,'BS Notes '!$AD65)/'Support Sheet'!$G$10</f>
        <v>0</v>
      </c>
      <c r="I65" s="500">
        <f>SUMIFS('Trial Balance'!$E:$E,'Trial Balance'!$F:$F,'BS Notes '!$AA65,'Trial Balance'!$G:$G,'BS Notes '!$AB65,'Trial Balance'!$H:$H,'BS Notes '!$AC65,'Trial Balance'!$I:$I,'BS Notes '!$AD65)/'Support Sheet'!$G$10</f>
        <v>0</v>
      </c>
      <c r="M65" t="s">
        <v>305</v>
      </c>
      <c r="AA65" t="s">
        <v>467</v>
      </c>
      <c r="AB65" t="s">
        <v>468</v>
      </c>
      <c r="AC65">
        <v>0</v>
      </c>
      <c r="AD65" s="329" t="s">
        <v>460</v>
      </c>
    </row>
    <row r="66" spans="2:30">
      <c r="B66" s="308"/>
      <c r="C66" s="304" t="s">
        <v>436</v>
      </c>
      <c r="D66" s="158"/>
      <c r="E66" s="153"/>
      <c r="F66" s="153"/>
      <c r="G66" s="159"/>
      <c r="H66" s="499">
        <f>SUMIFS('Trial Balance'!$D:$D,'Trial Balance'!$F:$F,'BS Notes '!$AA66,'Trial Balance'!$G:$G,'BS Notes '!$AB66,'Trial Balance'!$H:$H,'BS Notes '!$AC66,'Trial Balance'!$I:$I,'BS Notes '!$AD66)/'Support Sheet'!$G$10</f>
        <v>0</v>
      </c>
      <c r="I66" s="500">
        <f>SUMIFS('Trial Balance'!$E:$E,'Trial Balance'!$F:$F,'BS Notes '!$AA66,'Trial Balance'!$G:$G,'BS Notes '!$AB66,'Trial Balance'!$H:$H,'BS Notes '!$AC66,'Trial Balance'!$I:$I,'BS Notes '!$AD66)/'Support Sheet'!$G$10</f>
        <v>0</v>
      </c>
      <c r="M66" t="s">
        <v>306</v>
      </c>
      <c r="AA66" t="s">
        <v>467</v>
      </c>
      <c r="AB66" t="s">
        <v>468</v>
      </c>
      <c r="AC66">
        <v>0</v>
      </c>
      <c r="AD66" t="s">
        <v>464</v>
      </c>
    </row>
    <row r="67" spans="2:30">
      <c r="B67" s="308" t="str">
        <f>'Support Sheet'!C3</f>
        <v>(ii)</v>
      </c>
      <c r="C67" s="158" t="s">
        <v>1012</v>
      </c>
      <c r="D67" s="158"/>
      <c r="E67" s="153"/>
      <c r="F67" s="153"/>
      <c r="G67" s="159"/>
      <c r="H67" s="499">
        <f>SUMIFS('Trial Balance'!$D:$D,'Trial Balance'!$F:$F,'BS Notes '!$AA67,'Trial Balance'!$G:$G,'BS Notes '!$AB67,'Trial Balance'!$H:$H,'BS Notes '!$AC67,'Trial Balance'!$I:$I,'BS Notes '!$AD67)/'Support Sheet'!$G$10</f>
        <v>0</v>
      </c>
      <c r="I67" s="500">
        <f>SUMIFS('Trial Balance'!$E:$E,'Trial Balance'!$F:$F,'BS Notes '!$AA67,'Trial Balance'!$G:$G,'BS Notes '!$AB67,'Trial Balance'!$H:$H,'BS Notes '!$AC67,'Trial Balance'!$I:$I,'BS Notes '!$AD67)/'Support Sheet'!$G$10</f>
        <v>0</v>
      </c>
      <c r="M67" t="s">
        <v>309</v>
      </c>
      <c r="AA67" t="s">
        <v>467</v>
      </c>
      <c r="AB67" s="158" t="str">
        <f>C67</f>
        <v>Other Short Term Loans and Advances (Specify Nature)</v>
      </c>
      <c r="AC67">
        <v>0</v>
      </c>
      <c r="AD67">
        <v>0</v>
      </c>
    </row>
    <row r="68" spans="2:30" ht="15" thickBot="1">
      <c r="B68" s="1048" t="s">
        <v>102</v>
      </c>
      <c r="C68" s="1049"/>
      <c r="D68" s="1049"/>
      <c r="E68" s="1049"/>
      <c r="F68" s="148"/>
      <c r="G68" s="160"/>
      <c r="H68" s="529">
        <f>SUM(H64:H67)</f>
        <v>0</v>
      </c>
      <c r="I68" s="526">
        <f>SUM(I64:I67)</f>
        <v>0</v>
      </c>
      <c r="M68" t="s">
        <v>343</v>
      </c>
    </row>
    <row r="69" spans="2:30" ht="15" thickBot="1">
      <c r="B69" s="162"/>
      <c r="C69" s="168"/>
      <c r="D69" s="161"/>
      <c r="E69" s="162"/>
      <c r="F69" s="162"/>
      <c r="G69" s="162"/>
      <c r="H69" s="96"/>
      <c r="I69" s="96"/>
    </row>
    <row r="70" spans="2:30">
      <c r="B70" s="154" t="s">
        <v>917</v>
      </c>
      <c r="C70" s="169"/>
      <c r="D70" s="155"/>
      <c r="E70" s="163"/>
      <c r="F70" s="156"/>
      <c r="G70" s="157"/>
      <c r="H70" s="503" t="str">
        <f>IF('Control Sheet'!$C$7&gt;0,CONCATENATE("As on"," ",TEXT('Control Sheet'!$C$7,"DD-MMM-YYYY"))," &lt;CY Balance Sheet Date&gt;")</f>
        <v>As on 31-Mar-2023</v>
      </c>
      <c r="I70" s="503" t="str">
        <f>IF('Control Sheet'!$C$8&gt;0,CONCATENATE("As on"," ",TEXT('Control Sheet'!$C$8,"DD-MMM-YYYY"))," &lt;CY Balance Sheet Date&gt;")</f>
        <v>As on 31-Mar-2022</v>
      </c>
    </row>
    <row r="71" spans="2:30">
      <c r="B71" s="164"/>
      <c r="C71" s="170" t="s">
        <v>1003</v>
      </c>
      <c r="D71" s="158"/>
      <c r="E71" s="165"/>
      <c r="F71" s="165"/>
      <c r="G71" s="153"/>
      <c r="H71" s="499">
        <f>SUMIFS('Trial Balance'!$D:$D,'Trial Balance'!$F:$F,'BS Notes '!$AA71,'Trial Balance'!$G:$G,'BS Notes '!$AB71,'Trial Balance'!$H:$H,'BS Notes '!$AC71,'Trial Balance'!$I:$I,'BS Notes '!$AD71)/'Support Sheet'!$G$10</f>
        <v>-20.913800000000002</v>
      </c>
      <c r="I71" s="500">
        <f>SUMIFS('Trial Balance'!$E:$E,'Trial Balance'!$F:$F,'BS Notes '!$AA71,'Trial Balance'!$G:$G,'BS Notes '!$AB71,'Trial Balance'!$H:$H,'BS Notes '!$AC71,'Trial Balance'!$I:$I,'BS Notes '!$AD71)/'Support Sheet'!$G$10</f>
        <v>0</v>
      </c>
      <c r="AA71" t="s">
        <v>67</v>
      </c>
      <c r="AB71" s="907" t="str">
        <f>C71</f>
        <v>Other Current Assets 1</v>
      </c>
      <c r="AC71">
        <v>0</v>
      </c>
      <c r="AD71">
        <v>0</v>
      </c>
    </row>
    <row r="72" spans="2:30">
      <c r="B72" s="164"/>
      <c r="C72" s="170" t="s">
        <v>1004</v>
      </c>
      <c r="D72" s="158"/>
      <c r="E72" s="153"/>
      <c r="F72" s="153"/>
      <c r="G72" s="153"/>
      <c r="H72" s="499">
        <f>SUMIFS('Trial Balance'!$D:$D,'Trial Balance'!$F:$F,'BS Notes '!$AA72,'Trial Balance'!$G:$G,'BS Notes '!$AB72,'Trial Balance'!$H:$H,'BS Notes '!$AC72,'Trial Balance'!$I:$I,'BS Notes '!$AD72)/'Support Sheet'!$G$10</f>
        <v>500</v>
      </c>
      <c r="I72" s="500">
        <f>SUMIFS('Trial Balance'!$E:$E,'Trial Balance'!$F:$F,'BS Notes '!$AA72,'Trial Balance'!$G:$G,'BS Notes '!$AB72,'Trial Balance'!$H:$H,'BS Notes '!$AC72,'Trial Balance'!$I:$I,'BS Notes '!$AD72)/'Support Sheet'!$G$10</f>
        <v>0</v>
      </c>
      <c r="AA72" t="s">
        <v>67</v>
      </c>
      <c r="AB72" s="907" t="str">
        <f t="shared" ref="AB72:AB75" si="0">C72</f>
        <v>Other Current Assets 2</v>
      </c>
      <c r="AC72">
        <v>0</v>
      </c>
      <c r="AD72">
        <v>0</v>
      </c>
    </row>
    <row r="73" spans="2:30">
      <c r="B73" s="164"/>
      <c r="C73" s="170" t="s">
        <v>1005</v>
      </c>
      <c r="D73" s="158"/>
      <c r="E73" s="153"/>
      <c r="F73" s="153"/>
      <c r="G73" s="153"/>
      <c r="H73" s="499">
        <f>SUMIFS('Trial Balance'!$D:$D,'Trial Balance'!$F:$F,'BS Notes '!$AA73,'Trial Balance'!$G:$G,'BS Notes '!$AB73,'Trial Balance'!$H:$H,'BS Notes '!$AC73,'Trial Balance'!$I:$I,'BS Notes '!$AD73)/'Support Sheet'!$G$10</f>
        <v>0</v>
      </c>
      <c r="I73" s="500">
        <f>SUMIFS('Trial Balance'!$E:$E,'Trial Balance'!$F:$F,'BS Notes '!$AA73,'Trial Balance'!$G:$G,'BS Notes '!$AB73,'Trial Balance'!$H:$H,'BS Notes '!$AC73,'Trial Balance'!$I:$I,'BS Notes '!$AD73)/'Support Sheet'!$G$10</f>
        <v>0</v>
      </c>
      <c r="AA73" t="s">
        <v>67</v>
      </c>
      <c r="AB73" s="907" t="str">
        <f t="shared" si="0"/>
        <v>Other Current Assets 3</v>
      </c>
      <c r="AC73">
        <v>0</v>
      </c>
      <c r="AD73">
        <v>0</v>
      </c>
    </row>
    <row r="74" spans="2:30">
      <c r="B74" s="164"/>
      <c r="C74" s="170" t="s">
        <v>1006</v>
      </c>
      <c r="D74" s="158"/>
      <c r="E74" s="153"/>
      <c r="F74" s="153"/>
      <c r="G74" s="153"/>
      <c r="H74" s="499">
        <f>SUMIFS('Trial Balance'!$D:$D,'Trial Balance'!$F:$F,'BS Notes '!$AA74,'Trial Balance'!$G:$G,'BS Notes '!$AB74,'Trial Balance'!$H:$H,'BS Notes '!$AC74,'Trial Balance'!$I:$I,'BS Notes '!$AD74)/'Support Sheet'!$G$10</f>
        <v>0</v>
      </c>
      <c r="I74" s="500">
        <f>SUMIFS('Trial Balance'!$E:$E,'Trial Balance'!$F:$F,'BS Notes '!$AA74,'Trial Balance'!$G:$G,'BS Notes '!$AB74,'Trial Balance'!$H:$H,'BS Notes '!$AC74,'Trial Balance'!$I:$I,'BS Notes '!$AD74)/'Support Sheet'!$G$10</f>
        <v>0</v>
      </c>
      <c r="AA74" t="s">
        <v>67</v>
      </c>
      <c r="AB74" s="907" t="str">
        <f t="shared" si="0"/>
        <v>Other Current Assets 4</v>
      </c>
      <c r="AC74">
        <v>0</v>
      </c>
      <c r="AD74">
        <v>0</v>
      </c>
    </row>
    <row r="75" spans="2:30">
      <c r="B75" s="164"/>
      <c r="C75" s="170" t="s">
        <v>1007</v>
      </c>
      <c r="D75" s="171"/>
      <c r="E75" s="166"/>
      <c r="F75" s="166"/>
      <c r="G75" s="153"/>
      <c r="H75" s="499">
        <f>SUMIFS('Trial Balance'!$D:$D,'Trial Balance'!$F:$F,'BS Notes '!$AA75,'Trial Balance'!$G:$G,'BS Notes '!$AB75,'Trial Balance'!$H:$H,'BS Notes '!$AC75,'Trial Balance'!$I:$I,'BS Notes '!$AD75)/'Support Sheet'!$G$10</f>
        <v>0</v>
      </c>
      <c r="I75" s="500">
        <f>SUMIFS('Trial Balance'!$E:$E,'Trial Balance'!$F:$F,'BS Notes '!$AA75,'Trial Balance'!$G:$G,'BS Notes '!$AB75,'Trial Balance'!$H:$H,'BS Notes '!$AC75,'Trial Balance'!$I:$I,'BS Notes '!$AD75)/'Support Sheet'!$G$10</f>
        <v>0</v>
      </c>
      <c r="AA75" t="s">
        <v>67</v>
      </c>
      <c r="AB75" s="907" t="str">
        <f t="shared" si="0"/>
        <v>Other Current Assets 5</v>
      </c>
      <c r="AC75">
        <v>0</v>
      </c>
      <c r="AD75">
        <v>0</v>
      </c>
    </row>
    <row r="76" spans="2:30" ht="15" thickBot="1">
      <c r="B76" s="1048" t="s">
        <v>102</v>
      </c>
      <c r="C76" s="1049"/>
      <c r="D76" s="1049"/>
      <c r="E76" s="1049"/>
      <c r="F76" s="167"/>
      <c r="G76" s="160"/>
      <c r="H76" s="529">
        <f>SUM(H71:H75)</f>
        <v>479.08620000000002</v>
      </c>
      <c r="I76" s="526">
        <f>SUM(I71:I75)</f>
        <v>0</v>
      </c>
    </row>
  </sheetData>
  <mergeCells count="15">
    <mergeCell ref="B76:E76"/>
    <mergeCell ref="I40:I41"/>
    <mergeCell ref="B46:C46"/>
    <mergeCell ref="B60:E60"/>
    <mergeCell ref="B68:E68"/>
    <mergeCell ref="D40:H40"/>
    <mergeCell ref="B53:C53"/>
    <mergeCell ref="B1:I1"/>
    <mergeCell ref="B2:I2"/>
    <mergeCell ref="B6:I6"/>
    <mergeCell ref="B36:D36"/>
    <mergeCell ref="B26:D26"/>
    <mergeCell ref="B16:D16"/>
    <mergeCell ref="B3:I3"/>
    <mergeCell ref="B4:I4"/>
  </mergeCells>
  <hyperlinks>
    <hyperlink ref="M56" r:id="rId1" display="https://www.mca.gov.in/content/mca/global/en/acts-rules/ebooks/acts.html?act=NTk2MQ==" xr:uid="{7605046C-157B-49D8-91CB-149115472046}"/>
  </hyperlinks>
  <pageMargins left="0.7" right="0.7" top="0.75" bottom="0.75" header="0.3" footer="0.3"/>
  <pageSetup paperSize="9" scale="57" fitToHeight="0" orientation="portrait" verticalDpi="30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9505D-9EE7-437C-854A-EE25E59CB020}">
  <sheetPr>
    <tabColor theme="1"/>
    <pageSetUpPr fitToPage="1"/>
  </sheetPr>
  <dimension ref="B1:AF129"/>
  <sheetViews>
    <sheetView showGridLines="0" view="pageBreakPreview" topLeftCell="B34" zoomScaleNormal="100" zoomScaleSheetLayoutView="100" workbookViewId="0">
      <selection activeCell="F35" sqref="F35"/>
    </sheetView>
  </sheetViews>
  <sheetFormatPr defaultRowHeight="14.4"/>
  <cols>
    <col min="2" max="2" width="5.5546875" bestFit="1" customWidth="1"/>
    <col min="3" max="3" width="47" bestFit="1" customWidth="1"/>
    <col min="4" max="4" width="10" bestFit="1" customWidth="1"/>
    <col min="5" max="6" width="23.109375" bestFit="1" customWidth="1"/>
    <col min="7" max="7" width="0" hidden="1" customWidth="1"/>
    <col min="8" max="26" width="9.109375" hidden="1" customWidth="1"/>
    <col min="27" max="27" width="18.5546875" bestFit="1" customWidth="1"/>
    <col min="28" max="28" width="35.33203125" bestFit="1" customWidth="1"/>
    <col min="29" max="29" width="15.109375" bestFit="1" customWidth="1"/>
    <col min="30" max="30" width="7.109375" bestFit="1" customWidth="1"/>
  </cols>
  <sheetData>
    <row r="1" spans="2:30" ht="18">
      <c r="B1" s="975" t="str">
        <f>IF('Control Sheet'!$C$3&gt;0,'Control Sheet'!$C$3,'Control Sheet'!$B$3)</f>
        <v>Saptaranga Research and Organic Private Limited</v>
      </c>
      <c r="C1" s="975"/>
      <c r="D1" s="975"/>
      <c r="E1" s="975"/>
      <c r="F1" s="975"/>
      <c r="G1" s="31"/>
      <c r="H1" s="31"/>
      <c r="I1" s="31"/>
      <c r="J1" s="31"/>
      <c r="K1" s="31"/>
      <c r="L1" s="31"/>
      <c r="M1" s="31"/>
      <c r="N1" s="31"/>
    </row>
    <row r="2" spans="2:30">
      <c r="B2" s="976" t="str">
        <f>IF('Control Sheet'!$C$4&gt;0,'Control Sheet'!$C$4,'Control Sheet'!$B$4)</f>
        <v xml:space="preserve">Plot No 45, </v>
      </c>
      <c r="C2" s="976"/>
      <c r="D2" s="976"/>
      <c r="E2" s="976"/>
      <c r="F2" s="976"/>
      <c r="G2" s="111"/>
      <c r="H2" s="111"/>
      <c r="I2" s="111"/>
      <c r="J2" s="111"/>
      <c r="K2" s="111"/>
      <c r="L2" s="111"/>
      <c r="M2" s="111"/>
      <c r="N2" s="111"/>
    </row>
    <row r="3" spans="2:30">
      <c r="B3" s="976" t="str">
        <f>IF('Control Sheet'!$C$5&gt;0,'Control Sheet'!$C$5,'Control Sheet'!$B$5)</f>
        <v>Ravindra Nagar P.M.G. Society</v>
      </c>
      <c r="C3" s="976"/>
      <c r="D3" s="976"/>
      <c r="E3" s="976"/>
      <c r="F3" s="976"/>
      <c r="G3" s="111"/>
      <c r="H3" s="111"/>
      <c r="I3" s="111"/>
      <c r="J3" s="111"/>
      <c r="K3" s="111"/>
      <c r="L3" s="111"/>
      <c r="M3" s="111"/>
      <c r="N3" s="111"/>
    </row>
    <row r="4" spans="2:30">
      <c r="B4" s="976" t="str">
        <f>IF('Control Sheet'!$C$6&gt;0,'Control Sheet'!$C$6,'Control Sheet'!$B$6)</f>
        <v>Nagpur MH 440022 IN</v>
      </c>
      <c r="C4" s="976"/>
      <c r="D4" s="976"/>
      <c r="E4" s="976"/>
      <c r="F4" s="976"/>
      <c r="G4" s="111"/>
      <c r="H4" s="111"/>
      <c r="I4" s="111"/>
      <c r="J4" s="111"/>
      <c r="K4" s="111"/>
      <c r="L4" s="111"/>
      <c r="M4" s="111"/>
      <c r="N4" s="111"/>
    </row>
    <row r="5" spans="2:30">
      <c r="B5" s="605"/>
      <c r="C5" s="605"/>
      <c r="D5" s="605"/>
      <c r="E5" s="605"/>
      <c r="F5" s="605"/>
      <c r="G5" s="111"/>
      <c r="H5" s="111"/>
      <c r="I5" s="111"/>
      <c r="J5" s="111"/>
      <c r="K5" s="111"/>
      <c r="L5" s="111"/>
      <c r="M5" s="111"/>
      <c r="N5" s="111"/>
    </row>
    <row r="6" spans="2:30">
      <c r="B6" s="985" t="str">
        <f>IF('Control Sheet'!$C$7&gt;0,CONCATENATE("NOTES ANNEXED TO AND FORMING PART OF ACOUNTS FOR THE YEAR ENDING"," ",TEXT('Control Sheet'!$C$7,"DD-MMM-YYYY")),"NOTES ANNEXED TO AND FORMING PART OF ACOUNTS FOR THE YEAR ENDING &lt;Date&gt;")</f>
        <v>NOTES ANNEXED TO AND FORMING PART OF ACOUNTS FOR THE YEAR ENDING 31-Mar-2023</v>
      </c>
      <c r="C6" s="985"/>
      <c r="D6" s="985"/>
      <c r="E6" s="985"/>
      <c r="F6" s="985"/>
      <c r="G6" s="202"/>
    </row>
    <row r="7" spans="2:30">
      <c r="B7" s="33"/>
      <c r="C7" s="33"/>
      <c r="D7" s="33"/>
      <c r="E7" s="33"/>
      <c r="F7" s="33"/>
      <c r="G7" s="202"/>
    </row>
    <row r="8" spans="2:30" ht="15" thickBot="1">
      <c r="B8" s="614"/>
      <c r="C8" s="98"/>
      <c r="D8" s="98"/>
      <c r="E8" s="310"/>
      <c r="F8" s="670" t="str">
        <f>IF('Control Sheet'!$D$18="Specify in Cell E16",'Support Sheet'!$G$10,'Control Sheet'!$C$18)</f>
        <v>In Rs. hundreds</v>
      </c>
      <c r="G8" s="203"/>
    </row>
    <row r="9" spans="2:30">
      <c r="B9" s="1005" t="s">
        <v>918</v>
      </c>
      <c r="C9" s="1006"/>
      <c r="D9" s="185"/>
      <c r="E9" s="186" t="s">
        <v>32</v>
      </c>
      <c r="F9" s="187" t="s">
        <v>32</v>
      </c>
      <c r="I9" s="257" t="s">
        <v>352</v>
      </c>
    </row>
    <row r="10" spans="2:30" ht="15" thickBot="1">
      <c r="B10" s="1058"/>
      <c r="C10" s="1059"/>
      <c r="D10" s="188"/>
      <c r="E10" s="607">
        <f>IF('Control Sheet'!$C$7&gt;0,'Control Sheet'!$C$7,'Control Sheet'!$B$7)</f>
        <v>45016</v>
      </c>
      <c r="F10" s="608">
        <f>IF('Control Sheet'!$C$8&gt;0,'Control Sheet'!$C$8,'Control Sheet'!$B$8)</f>
        <v>44651</v>
      </c>
      <c r="I10" t="s">
        <v>349</v>
      </c>
      <c r="AA10" s="227" t="s">
        <v>451</v>
      </c>
      <c r="AB10" s="227" t="s">
        <v>452</v>
      </c>
      <c r="AC10" s="227" t="s">
        <v>453</v>
      </c>
      <c r="AD10" s="227" t="s">
        <v>456</v>
      </c>
    </row>
    <row r="11" spans="2:30">
      <c r="B11" s="671" t="str">
        <f>'Support Sheet'!C2</f>
        <v>(i)</v>
      </c>
      <c r="C11" s="96" t="s">
        <v>448</v>
      </c>
      <c r="D11" s="189"/>
      <c r="E11" s="499">
        <f>SUMIFS('Trial Balance'!$D:$D,'Trial Balance'!$F:$F,'PL Notes'!$AA11,'Trial Balance'!$G:$G,'PL Notes'!$AB11,'Trial Balance'!$H:$H,'PL Notes'!$AC11,'Trial Balance'!$I:$I,'PL Notes'!$AD11)/'Support Sheet'!$G$10</f>
        <v>3725.1448</v>
      </c>
      <c r="F11" s="500">
        <f>SUMIFS('Trial Balance'!$E:$E,'Trial Balance'!$F:$F,'PL Notes'!$AA11,'Trial Balance'!$G:$G,'PL Notes'!$AB11,'Trial Balance'!$H:$H,'PL Notes'!$AC11,'Trial Balance'!$I:$I,'PL Notes'!$AD11)/'Support Sheet'!$G$10</f>
        <v>120</v>
      </c>
      <c r="I11" t="s">
        <v>350</v>
      </c>
      <c r="AA11" t="s">
        <v>469</v>
      </c>
      <c r="AB11" s="310" t="s">
        <v>448</v>
      </c>
      <c r="AC11">
        <v>0</v>
      </c>
      <c r="AD11">
        <v>0</v>
      </c>
    </row>
    <row r="12" spans="2:30">
      <c r="B12" s="671" t="str">
        <f>'Support Sheet'!C3</f>
        <v>(ii)</v>
      </c>
      <c r="C12" s="96" t="s">
        <v>445</v>
      </c>
      <c r="D12" s="133"/>
      <c r="E12" s="499">
        <f>SUMIFS('Trial Balance'!$D:$D,'Trial Balance'!$F:$F,'PL Notes'!$AA12,'Trial Balance'!$G:$G,'PL Notes'!$AB12,'Trial Balance'!$H:$H,'PL Notes'!$AC12,'Trial Balance'!$I:$I,'PL Notes'!$AD12)/'Support Sheet'!$G$10</f>
        <v>0</v>
      </c>
      <c r="F12" s="500">
        <f>SUMIFS('Trial Balance'!$E:$E,'Trial Balance'!$F:$F,'PL Notes'!$AA12,'Trial Balance'!$G:$G,'PL Notes'!$AB12,'Trial Balance'!$H:$H,'PL Notes'!$AC12,'Trial Balance'!$I:$I,'PL Notes'!$AD12)/'Support Sheet'!$G$10</f>
        <v>0</v>
      </c>
      <c r="I12" t="s">
        <v>351</v>
      </c>
      <c r="AA12" t="s">
        <v>469</v>
      </c>
      <c r="AB12" s="310" t="s">
        <v>811</v>
      </c>
      <c r="AC12">
        <v>0</v>
      </c>
      <c r="AD12">
        <v>0</v>
      </c>
    </row>
    <row r="13" spans="2:30" ht="28.8">
      <c r="B13" s="672" t="str">
        <f>'Support Sheet'!C4</f>
        <v>(iii)</v>
      </c>
      <c r="C13" s="309" t="s">
        <v>446</v>
      </c>
      <c r="D13" s="133"/>
      <c r="E13" s="499">
        <f>SUMIFS('Trial Balance'!$D:$D,'Trial Balance'!$F:$F,'PL Notes'!$AA13,'Trial Balance'!$G:$G,'PL Notes'!$AB13,'Trial Balance'!$H:$H,'PL Notes'!$AC13,'Trial Balance'!$I:$I,'PL Notes'!$AD13)/'Support Sheet'!$G$10</f>
        <v>0</v>
      </c>
      <c r="F13" s="500">
        <f>SUMIFS('Trial Balance'!$E:$E,'Trial Balance'!$F:$F,'PL Notes'!$AA13,'Trial Balance'!$G:$G,'PL Notes'!$AB13,'Trial Balance'!$H:$H,'PL Notes'!$AC13,'Trial Balance'!$I:$I,'PL Notes'!$AD13)/'Support Sheet'!$G$10</f>
        <v>0</v>
      </c>
      <c r="AA13" t="s">
        <v>469</v>
      </c>
      <c r="AB13" s="330" t="s">
        <v>470</v>
      </c>
      <c r="AC13">
        <v>0</v>
      </c>
      <c r="AD13">
        <v>0</v>
      </c>
    </row>
    <row r="14" spans="2:30">
      <c r="B14" s="671" t="str">
        <f>'Support Sheet'!C5</f>
        <v>(iv)</v>
      </c>
      <c r="C14" s="309" t="s">
        <v>447</v>
      </c>
      <c r="D14" s="133"/>
      <c r="E14" s="499">
        <f>SUMIFS('Trial Balance'!$D:$D,'Trial Balance'!$F:$F,'PL Notes'!$AA14,'Trial Balance'!$G:$G,'PL Notes'!$AB14,'Trial Balance'!$H:$H,'PL Notes'!$AC14,'Trial Balance'!$I:$I,'PL Notes'!$AD14)/'Support Sheet'!$G$10</f>
        <v>0</v>
      </c>
      <c r="F14" s="500">
        <f>SUMIFS('Trial Balance'!$E:$E,'Trial Balance'!$F:$F,'PL Notes'!$AA14,'Trial Balance'!$G:$G,'PL Notes'!$AB14,'Trial Balance'!$H:$H,'PL Notes'!$AC14,'Trial Balance'!$I:$I,'PL Notes'!$AD14)/'Support Sheet'!$G$10</f>
        <v>0</v>
      </c>
      <c r="AA14" t="s">
        <v>469</v>
      </c>
      <c r="AB14" s="310" t="s">
        <v>447</v>
      </c>
      <c r="AC14">
        <v>0</v>
      </c>
      <c r="AD14">
        <v>0</v>
      </c>
    </row>
    <row r="15" spans="2:30" ht="15" thickBot="1">
      <c r="B15" s="671" t="str">
        <f>'Support Sheet'!C6</f>
        <v>(v)</v>
      </c>
      <c r="C15" s="309" t="s">
        <v>348</v>
      </c>
      <c r="D15" s="133"/>
      <c r="E15" s="499">
        <f>SUMIFS('Trial Balance'!$D:$D,'Trial Balance'!$F:$F,'PL Notes'!$AA15,'Trial Balance'!$G:$G,'PL Notes'!$AB15,'Trial Balance'!$H:$H,'PL Notes'!$AC15,'Trial Balance'!$I:$I,'PL Notes'!$AD15)/'Support Sheet'!$G$10</f>
        <v>0</v>
      </c>
      <c r="F15" s="500">
        <f>SUMIFS('Trial Balance'!$E:$E,'Trial Balance'!$F:$F,'PL Notes'!$AA15,'Trial Balance'!$G:$G,'PL Notes'!$AB15,'Trial Balance'!$H:$H,'PL Notes'!$AC15,'Trial Balance'!$I:$I,'PL Notes'!$AD15)/'Support Sheet'!$G$10</f>
        <v>0</v>
      </c>
      <c r="AA15" t="s">
        <v>469</v>
      </c>
      <c r="AB15" s="310" t="s">
        <v>471</v>
      </c>
      <c r="AC15">
        <v>0</v>
      </c>
      <c r="AD15">
        <v>0</v>
      </c>
    </row>
    <row r="16" spans="2:30" ht="15" thickBot="1">
      <c r="B16" s="673"/>
      <c r="C16" s="1053" t="s">
        <v>14</v>
      </c>
      <c r="D16" s="1054"/>
      <c r="E16" s="530">
        <f>SUM(E11:E14)-E15</f>
        <v>3725.1448</v>
      </c>
      <c r="F16" s="531">
        <f>SUM(F11:F14)-F15</f>
        <v>120</v>
      </c>
    </row>
    <row r="17" spans="2:30" ht="15" thickBot="1">
      <c r="B17" s="614"/>
      <c r="C17" s="98"/>
      <c r="D17" s="98"/>
      <c r="E17" s="196"/>
      <c r="F17" s="196"/>
    </row>
    <row r="18" spans="2:30">
      <c r="B18" s="1005" t="s">
        <v>919</v>
      </c>
      <c r="C18" s="1006"/>
      <c r="D18" s="191"/>
      <c r="E18" s="186" t="s">
        <v>32</v>
      </c>
      <c r="F18" s="187" t="s">
        <v>32</v>
      </c>
    </row>
    <row r="19" spans="2:30" ht="15" thickBot="1">
      <c r="B19" s="1058"/>
      <c r="C19" s="1059"/>
      <c r="D19" s="192"/>
      <c r="E19" s="607">
        <f>IF('Control Sheet'!$C$7&gt;0,'Control Sheet'!$C$7,'Control Sheet'!$B$7)</f>
        <v>45016</v>
      </c>
      <c r="F19" s="608">
        <f>IF('Control Sheet'!$C$8&gt;0,'Control Sheet'!$C$8,'Control Sheet'!$B$8)</f>
        <v>44651</v>
      </c>
      <c r="I19" s="356" t="s">
        <v>516</v>
      </c>
      <c r="AA19" s="227" t="s">
        <v>451</v>
      </c>
      <c r="AB19" s="227" t="s">
        <v>452</v>
      </c>
      <c r="AC19" s="227" t="s">
        <v>453</v>
      </c>
      <c r="AD19" s="227" t="s">
        <v>456</v>
      </c>
    </row>
    <row r="20" spans="2:30" ht="28.8">
      <c r="B20" s="674" t="str">
        <f>'Support Sheet'!C2</f>
        <v>(i)</v>
      </c>
      <c r="C20" s="225" t="s">
        <v>841</v>
      </c>
      <c r="D20" s="202"/>
      <c r="E20" s="499">
        <f>SUMIFS('Trial Balance'!$D:$D,'Trial Balance'!$F:$F,'PL Notes'!$AA20,'Trial Balance'!$G:$G,'PL Notes'!$AB20,'Trial Balance'!$H:$H,'PL Notes'!$AC20,'Trial Balance'!$I:$I,'PL Notes'!$AD20)/'Support Sheet'!$G$10</f>
        <v>144</v>
      </c>
      <c r="F20" s="500">
        <f>SUMIFS('Trial Balance'!$E:$E,'Trial Balance'!$F:$F,'PL Notes'!$AA20,'Trial Balance'!$G:$G,'PL Notes'!$AB20,'Trial Balance'!$H:$H,'PL Notes'!$AC20,'Trial Balance'!$I:$I,'PL Notes'!$AD20)/'Support Sheet'!$G$10</f>
        <v>0</v>
      </c>
      <c r="I20" s="354" t="s">
        <v>517</v>
      </c>
      <c r="AA20" t="s">
        <v>472</v>
      </c>
      <c r="AB20" t="str">
        <f>C20</f>
        <v>Interest Income (If the company is other than a fincance company)</v>
      </c>
      <c r="AC20">
        <v>0</v>
      </c>
      <c r="AD20">
        <v>0</v>
      </c>
    </row>
    <row r="21" spans="2:30">
      <c r="B21" s="671" t="str">
        <f>'Support Sheet'!C3</f>
        <v>(ii)</v>
      </c>
      <c r="C21" s="225" t="s">
        <v>353</v>
      </c>
      <c r="D21" s="202"/>
      <c r="E21" s="499">
        <f>SUMIFS('Trial Balance'!$D:$D,'Trial Balance'!$F:$F,'PL Notes'!$AA21,'Trial Balance'!$G:$G,'PL Notes'!$AB21,'Trial Balance'!$H:$H,'PL Notes'!$AC21,'Trial Balance'!$I:$I,'PL Notes'!$AD21)/'Support Sheet'!$G$10</f>
        <v>0</v>
      </c>
      <c r="F21" s="500">
        <f>SUMIFS('Trial Balance'!$E:$E,'Trial Balance'!$F:$F,'PL Notes'!$AA21,'Trial Balance'!$G:$G,'PL Notes'!$AB21,'Trial Balance'!$H:$H,'PL Notes'!$AC21,'Trial Balance'!$I:$I,'PL Notes'!$AD21)/'Support Sheet'!$G$10</f>
        <v>0</v>
      </c>
      <c r="I21" s="355" t="s">
        <v>518</v>
      </c>
      <c r="AA21" t="s">
        <v>472</v>
      </c>
      <c r="AB21" t="str">
        <f t="shared" ref="AB21:AB23" si="0">C21</f>
        <v>Dividend Income</v>
      </c>
      <c r="AC21">
        <v>0</v>
      </c>
      <c r="AD21">
        <v>0</v>
      </c>
    </row>
    <row r="22" spans="2:30">
      <c r="B22" s="671" t="str">
        <f>'Support Sheet'!C4</f>
        <v>(iii)</v>
      </c>
      <c r="C22" s="225" t="s">
        <v>354</v>
      </c>
      <c r="D22" s="202"/>
      <c r="E22" s="499">
        <f>SUMIFS('Trial Balance'!$D:$D,'Trial Balance'!$F:$F,'PL Notes'!$AA22,'Trial Balance'!$G:$G,'PL Notes'!$AB22,'Trial Balance'!$H:$H,'PL Notes'!$AC22,'Trial Balance'!$I:$I,'PL Notes'!$AD22)/'Support Sheet'!$G$10</f>
        <v>0</v>
      </c>
      <c r="F22" s="500">
        <f>SUMIFS('Trial Balance'!$E:$E,'Trial Balance'!$F:$F,'PL Notes'!$AA22,'Trial Balance'!$G:$G,'PL Notes'!$AB22,'Trial Balance'!$H:$H,'PL Notes'!$AC22,'Trial Balance'!$I:$I,'PL Notes'!$AD22)/'Support Sheet'!$G$10</f>
        <v>0</v>
      </c>
      <c r="I22" s="355" t="s">
        <v>519</v>
      </c>
      <c r="AA22" t="s">
        <v>472</v>
      </c>
      <c r="AB22" t="str">
        <f t="shared" si="0"/>
        <v>Net Gain/Loss On Sale Of Investments</v>
      </c>
      <c r="AC22">
        <v>0</v>
      </c>
      <c r="AD22">
        <v>0</v>
      </c>
    </row>
    <row r="23" spans="2:30" ht="29.4" thickBot="1">
      <c r="B23" s="675" t="str">
        <f>'Support Sheet'!C5</f>
        <v>(iv)</v>
      </c>
      <c r="C23" s="316" t="s">
        <v>355</v>
      </c>
      <c r="D23" s="259"/>
      <c r="E23" s="499">
        <f>SUMIFS('Trial Balance'!$D:$D,'Trial Balance'!$F:$F,'PL Notes'!$AA23,'Trial Balance'!$G:$G,'PL Notes'!$AB23,'Trial Balance'!$H:$H,'PL Notes'!$AC23,'Trial Balance'!$I:$I,'PL Notes'!$AD23)/'Support Sheet'!$G$10</f>
        <v>0</v>
      </c>
      <c r="F23" s="500">
        <f>SUMIFS('Trial Balance'!$E:$E,'Trial Balance'!$F:$F,'PL Notes'!$AA23,'Trial Balance'!$G:$G,'PL Notes'!$AB23,'Trial Balance'!$H:$H,'PL Notes'!$AC23,'Trial Balance'!$I:$I,'PL Notes'!$AD23)/'Support Sheet'!$G$10</f>
        <v>0</v>
      </c>
      <c r="I23" s="354" t="s">
        <v>520</v>
      </c>
      <c r="AA23" t="s">
        <v>472</v>
      </c>
      <c r="AB23" t="str">
        <f t="shared" si="0"/>
        <v>Other Non - Operating Income (net of expenses directly attributable to such income)</v>
      </c>
      <c r="AC23">
        <v>0</v>
      </c>
      <c r="AD23">
        <v>0</v>
      </c>
    </row>
    <row r="24" spans="2:30" ht="15" thickBot="1">
      <c r="B24" s="673"/>
      <c r="C24" s="1053" t="s">
        <v>14</v>
      </c>
      <c r="D24" s="1054"/>
      <c r="E24" s="530">
        <f>SUM(E20:E23)</f>
        <v>144</v>
      </c>
      <c r="F24" s="531">
        <f>SUM(F20:F23)</f>
        <v>0</v>
      </c>
      <c r="I24" s="354" t="s">
        <v>521</v>
      </c>
    </row>
    <row r="25" spans="2:30" ht="15" thickBot="1">
      <c r="B25" s="614"/>
      <c r="C25" s="98"/>
      <c r="D25" s="98"/>
      <c r="E25" s="189"/>
      <c r="F25" s="189"/>
    </row>
    <row r="26" spans="2:30">
      <c r="B26" s="1005" t="s">
        <v>920</v>
      </c>
      <c r="C26" s="1006"/>
      <c r="D26" s="121"/>
      <c r="E26" s="186" t="s">
        <v>32</v>
      </c>
      <c r="F26" s="187" t="s">
        <v>32</v>
      </c>
    </row>
    <row r="27" spans="2:30" ht="15" thickBot="1">
      <c r="B27" s="1058"/>
      <c r="C27" s="1059"/>
      <c r="D27" s="192"/>
      <c r="E27" s="607">
        <f>IF('Control Sheet'!$C$7&gt;0,'Control Sheet'!$C$7,'Control Sheet'!$B$7)</f>
        <v>45016</v>
      </c>
      <c r="F27" s="608">
        <f>IF('Control Sheet'!$C$8&gt;0,'Control Sheet'!$C$8,'Control Sheet'!$B$8)</f>
        <v>44651</v>
      </c>
    </row>
    <row r="28" spans="2:30">
      <c r="B28" s="676"/>
      <c r="C28" s="141" t="s">
        <v>147</v>
      </c>
      <c r="D28" s="98"/>
      <c r="E28" s="512"/>
      <c r="F28" s="532"/>
      <c r="AA28" s="227" t="s">
        <v>451</v>
      </c>
      <c r="AB28" s="227" t="s">
        <v>452</v>
      </c>
      <c r="AC28" s="227" t="s">
        <v>453</v>
      </c>
      <c r="AD28" s="331" t="s">
        <v>456</v>
      </c>
    </row>
    <row r="29" spans="2:30">
      <c r="B29" s="671" t="str">
        <f>'Support Sheet'!C2</f>
        <v>(i)</v>
      </c>
      <c r="C29" s="98" t="s">
        <v>148</v>
      </c>
      <c r="D29" s="98"/>
      <c r="E29" s="499">
        <f>SUMIFS('Trial Balance'!$D:$D,'Trial Balance'!$F:$F,'PL Notes'!$AA29,'Trial Balance'!$G:$G,'PL Notes'!$AB29,'Trial Balance'!$H:$H,'PL Notes'!$AC29,'Trial Balance'!$I:$I,'PL Notes'!$AD29)/'Support Sheet'!$G$10</f>
        <v>0</v>
      </c>
      <c r="F29" s="500">
        <f>SUMIFS('Trial Balance'!$E:$E,'Trial Balance'!$F:$F,'PL Notes'!$AA29,'Trial Balance'!$G:$G,'PL Notes'!$AB29,'Trial Balance'!$H:$H,'PL Notes'!$AC29,'Trial Balance'!$I:$I,'PL Notes'!$AD29)/'Support Sheet'!$G$10</f>
        <v>0</v>
      </c>
      <c r="AA29" t="s">
        <v>41</v>
      </c>
      <c r="AB29" s="98" t="s">
        <v>151</v>
      </c>
      <c r="AC29" s="98" t="s">
        <v>148</v>
      </c>
      <c r="AD29">
        <v>0</v>
      </c>
    </row>
    <row r="30" spans="2:30">
      <c r="B30" s="671" t="str">
        <f>'Support Sheet'!C3</f>
        <v>(ii)</v>
      </c>
      <c r="C30" s="98" t="s">
        <v>149</v>
      </c>
      <c r="D30" s="98"/>
      <c r="E30" s="499">
        <f>SUMIFS('Trial Balance'!$D:$D,'Trial Balance'!$F:$F,'PL Notes'!$AA30,'Trial Balance'!$G:$G,'PL Notes'!$AB30,'Trial Balance'!$H:$H,'PL Notes'!$AC30,'Trial Balance'!$I:$I,'PL Notes'!$AD30)/'Support Sheet'!$G$10</f>
        <v>1766.4185</v>
      </c>
      <c r="F30" s="500">
        <f>SUMIFS('Trial Balance'!$E:$E,'Trial Balance'!$F:$F,'PL Notes'!$AA30,'Trial Balance'!$G:$G,'PL Notes'!$AB30,'Trial Balance'!$H:$H,'PL Notes'!$AC30,'Trial Balance'!$I:$I,'PL Notes'!$AD30)/'Support Sheet'!$G$10</f>
        <v>95</v>
      </c>
      <c r="AA30" t="s">
        <v>41</v>
      </c>
      <c r="AB30" s="98" t="s">
        <v>151</v>
      </c>
      <c r="AC30" t="s">
        <v>154</v>
      </c>
      <c r="AD30">
        <v>0</v>
      </c>
    </row>
    <row r="31" spans="2:30">
      <c r="B31" s="671"/>
      <c r="C31" s="98"/>
      <c r="D31" s="98"/>
      <c r="E31" s="533">
        <f>SUM(E29:E30)</f>
        <v>1766.4185</v>
      </c>
      <c r="F31" s="534">
        <f>SUM(F29:F30)</f>
        <v>95</v>
      </c>
    </row>
    <row r="32" spans="2:30">
      <c r="B32" s="671" t="str">
        <f>'Support Sheet'!C4</f>
        <v>(iii)</v>
      </c>
      <c r="C32" s="98" t="s">
        <v>150</v>
      </c>
      <c r="D32" s="98"/>
      <c r="E32" s="499">
        <f>SUMIFS('Trial Balance'!$D:$D,'Trial Balance'!$F:$F,'PL Notes'!$AA32,'Trial Balance'!$G:$G,'PL Notes'!$AB32,'Trial Balance'!$H:$H,'PL Notes'!$AC32,'Trial Balance'!$I:$I,'PL Notes'!$AD32)/'Support Sheet'!$G$10</f>
        <v>0</v>
      </c>
      <c r="F32" s="500">
        <f>SUMIFS('Trial Balance'!$E:$E,'Trial Balance'!$F:$F,'PL Notes'!$AA32,'Trial Balance'!$G:$G,'PL Notes'!$AB32,'Trial Balance'!$H:$H,'PL Notes'!$AC32,'Trial Balance'!$I:$I,'PL Notes'!$AD32)/'Support Sheet'!$G$10</f>
        <v>0</v>
      </c>
      <c r="AA32" t="s">
        <v>41</v>
      </c>
      <c r="AB32" s="98" t="s">
        <v>151</v>
      </c>
      <c r="AC32" t="s">
        <v>474</v>
      </c>
      <c r="AD32">
        <v>0</v>
      </c>
    </row>
    <row r="33" spans="2:30" ht="15" thickBot="1">
      <c r="B33" s="671" t="str">
        <f>'Support Sheet'!C5</f>
        <v>(iv)</v>
      </c>
      <c r="C33" s="98" t="s">
        <v>151</v>
      </c>
      <c r="D33" s="98" t="s">
        <v>152</v>
      </c>
      <c r="E33" s="535">
        <f>E31-E32</f>
        <v>1766.4185</v>
      </c>
      <c r="F33" s="536">
        <f>F31-F32</f>
        <v>95</v>
      </c>
    </row>
    <row r="34" spans="2:30" ht="60.75" customHeight="1" thickTop="1">
      <c r="B34" s="671"/>
      <c r="C34" s="141" t="s">
        <v>153</v>
      </c>
      <c r="D34" s="98"/>
      <c r="E34" s="537"/>
      <c r="F34" s="532"/>
    </row>
    <row r="35" spans="2:30">
      <c r="B35" s="671" t="str">
        <f>'Support Sheet'!C2</f>
        <v>(i)</v>
      </c>
      <c r="C35" s="98" t="s">
        <v>148</v>
      </c>
      <c r="D35" s="98"/>
      <c r="E35" s="499">
        <f>SUMIFS('Trial Balance'!$D:$D,'Trial Balance'!$F:$F,'PL Notes'!$AA35,'Trial Balance'!$G:$G,'PL Notes'!$AB35,'Trial Balance'!$H:$H,'PL Notes'!$AC35,'Trial Balance'!$I:$I,'PL Notes'!$AD35)/'Support Sheet'!$G$10</f>
        <v>0</v>
      </c>
      <c r="F35" s="500">
        <f>SUMIFS('Trial Balance'!$E:$E,'Trial Balance'!$F:$F,'PL Notes'!$AA35,'Trial Balance'!$G:$G,'PL Notes'!$AB35,'Trial Balance'!$H:$H,'PL Notes'!$AC35,'Trial Balance'!$I:$I,'PL Notes'!$AD35)/'Support Sheet'!$G$10</f>
        <v>0</v>
      </c>
      <c r="AA35" t="s">
        <v>41</v>
      </c>
      <c r="AB35" t="s">
        <v>475</v>
      </c>
      <c r="AC35" s="95" t="s">
        <v>148</v>
      </c>
      <c r="AD35">
        <v>0</v>
      </c>
    </row>
    <row r="36" spans="2:30">
      <c r="B36" s="671" t="str">
        <f>'Support Sheet'!C3</f>
        <v>(ii)</v>
      </c>
      <c r="C36" s="98" t="s">
        <v>154</v>
      </c>
      <c r="D36" s="98"/>
      <c r="E36" s="499">
        <f>SUMIFS('Trial Balance'!$D:$D,'Trial Balance'!$F:$F,'PL Notes'!$AA36,'Trial Balance'!$G:$G,'PL Notes'!$AB36,'Trial Balance'!$H:$H,'PL Notes'!$AC36,'Trial Balance'!$I:$I,'PL Notes'!$AD36)/'Support Sheet'!$G$10</f>
        <v>0</v>
      </c>
      <c r="F36" s="500">
        <f>SUMIFS('Trial Balance'!$E:$E,'Trial Balance'!$F:$F,'PL Notes'!$AA36,'Trial Balance'!$G:$G,'PL Notes'!$AB36,'Trial Balance'!$H:$H,'PL Notes'!$AC36,'Trial Balance'!$I:$I,'PL Notes'!$AD36)/'Support Sheet'!$G$10</f>
        <v>0</v>
      </c>
      <c r="AA36" t="s">
        <v>41</v>
      </c>
      <c r="AB36" t="s">
        <v>475</v>
      </c>
      <c r="AC36" t="s">
        <v>154</v>
      </c>
      <c r="AD36">
        <v>0</v>
      </c>
    </row>
    <row r="37" spans="2:30">
      <c r="B37" s="671"/>
      <c r="C37" s="98"/>
      <c r="D37" s="98"/>
      <c r="E37" s="538">
        <f>SUM(E35:E36)</f>
        <v>0</v>
      </c>
      <c r="F37" s="539">
        <f>SUM(F35:F36)</f>
        <v>0</v>
      </c>
    </row>
    <row r="38" spans="2:30">
      <c r="B38" s="671" t="str">
        <f>'Support Sheet'!C4</f>
        <v>(iii)</v>
      </c>
      <c r="C38" s="98" t="s">
        <v>150</v>
      </c>
      <c r="D38" s="98"/>
      <c r="E38" s="499">
        <f>SUMIFS('Trial Balance'!$D:$D,'Trial Balance'!$F:$F,'PL Notes'!$AA38,'Trial Balance'!$G:$G,'PL Notes'!$AB38,'Trial Balance'!$H:$H,'PL Notes'!$AC38,'Trial Balance'!$I:$I,'PL Notes'!$AD38)/'Support Sheet'!$G$10</f>
        <v>0</v>
      </c>
      <c r="F38" s="500">
        <f>SUMIFS('Trial Balance'!$E:$E,'Trial Balance'!$F:$F,'PL Notes'!$AA38,'Trial Balance'!$G:$G,'PL Notes'!$AB38,'Trial Balance'!$H:$H,'PL Notes'!$AC38,'Trial Balance'!$I:$I,'PL Notes'!$AD38)/'Support Sheet'!$G$10</f>
        <v>0</v>
      </c>
      <c r="AA38" t="s">
        <v>41</v>
      </c>
      <c r="AB38" t="s">
        <v>475</v>
      </c>
      <c r="AC38" t="s">
        <v>474</v>
      </c>
      <c r="AD38">
        <v>0</v>
      </c>
    </row>
    <row r="39" spans="2:30" ht="15" thickBot="1">
      <c r="B39" s="671" t="str">
        <f>'Support Sheet'!C5</f>
        <v>(iv)</v>
      </c>
      <c r="C39" s="98" t="s">
        <v>155</v>
      </c>
      <c r="D39" s="98" t="s">
        <v>156</v>
      </c>
      <c r="E39" s="535">
        <f>E37-E38</f>
        <v>0</v>
      </c>
      <c r="F39" s="536">
        <f>F37-F38</f>
        <v>0</v>
      </c>
    </row>
    <row r="40" spans="2:30" ht="15.6" thickTop="1" thickBot="1">
      <c r="B40" s="663"/>
      <c r="C40" s="98"/>
      <c r="D40" s="98"/>
      <c r="E40" s="540"/>
      <c r="F40" s="541"/>
    </row>
    <row r="41" spans="2:30" ht="15" thickBot="1">
      <c r="B41" s="673"/>
      <c r="C41" s="1053" t="s">
        <v>14</v>
      </c>
      <c r="D41" s="1054"/>
      <c r="E41" s="542">
        <f>E33+E39</f>
        <v>1766.4185</v>
      </c>
      <c r="F41" s="531">
        <f>F33+F39</f>
        <v>95</v>
      </c>
    </row>
    <row r="42" spans="2:30" ht="15" thickBot="1">
      <c r="B42" s="614"/>
      <c r="C42" s="128"/>
      <c r="D42" s="128"/>
      <c r="E42" s="510"/>
      <c r="F42" s="510"/>
    </row>
    <row r="43" spans="2:30">
      <c r="B43" s="1005" t="s">
        <v>921</v>
      </c>
      <c r="C43" s="1006"/>
      <c r="D43" s="205"/>
      <c r="E43" s="186" t="s">
        <v>32</v>
      </c>
      <c r="F43" s="187" t="s">
        <v>32</v>
      </c>
    </row>
    <row r="44" spans="2:30" ht="15" thickBot="1">
      <c r="B44" s="1058"/>
      <c r="C44" s="1059"/>
      <c r="D44" s="206"/>
      <c r="E44" s="607">
        <f>IF('Control Sheet'!$C$7&gt;0,'Control Sheet'!$C$7,'Control Sheet'!$B$7)</f>
        <v>45016</v>
      </c>
      <c r="F44" s="608">
        <f>IF('Control Sheet'!$C$8&gt;0,'Control Sheet'!$C$8,'Control Sheet'!$B$8)</f>
        <v>44651</v>
      </c>
      <c r="AA44" s="227" t="s">
        <v>451</v>
      </c>
      <c r="AB44" s="227" t="s">
        <v>452</v>
      </c>
      <c r="AC44" s="227" t="s">
        <v>453</v>
      </c>
      <c r="AD44" s="337" t="s">
        <v>456</v>
      </c>
    </row>
    <row r="45" spans="2:30" ht="15" thickBot="1">
      <c r="B45" s="677" t="str">
        <f>'Support Sheet'!C2</f>
        <v>(i)</v>
      </c>
      <c r="C45" s="98" t="s">
        <v>154</v>
      </c>
      <c r="D45" s="98"/>
      <c r="E45" s="499">
        <f>SUMIFS('Trial Balance'!$D:$D,'Trial Balance'!$F:$F,'PL Notes'!$AA45,'Trial Balance'!$G:$G,'PL Notes'!$AB45,'Trial Balance'!$H:$H,'PL Notes'!$AC45,'Trial Balance'!$I:$I,'PL Notes'!$AD45)/'Support Sheet'!$G$10</f>
        <v>0</v>
      </c>
      <c r="F45" s="500">
        <f>SUMIFS('Trial Balance'!$E:$E,'Trial Balance'!$F:$F,'PL Notes'!$AA45,'Trial Balance'!$G:$G,'PL Notes'!$AB45,'Trial Balance'!$H:$H,'PL Notes'!$AC45,'Trial Balance'!$I:$I,'PL Notes'!$AD45)/'Support Sheet'!$G$10</f>
        <v>0</v>
      </c>
      <c r="AA45" t="s">
        <v>486</v>
      </c>
      <c r="AB45" s="98" t="s">
        <v>154</v>
      </c>
      <c r="AC45">
        <v>0</v>
      </c>
      <c r="AD45">
        <v>0</v>
      </c>
    </row>
    <row r="46" spans="2:30" ht="15" thickBot="1">
      <c r="B46" s="673"/>
      <c r="C46" s="1053" t="s">
        <v>14</v>
      </c>
      <c r="D46" s="1055"/>
      <c r="E46" s="530">
        <f>SUM(E45:E45)</f>
        <v>0</v>
      </c>
      <c r="F46" s="531">
        <f>SUM(F45:F45)</f>
        <v>0</v>
      </c>
    </row>
    <row r="47" spans="2:30">
      <c r="B47" s="614"/>
      <c r="C47" s="128"/>
      <c r="D47" s="128"/>
      <c r="E47" s="510"/>
      <c r="F47" s="510"/>
    </row>
    <row r="48" spans="2:30" ht="15" thickBot="1">
      <c r="B48" s="614"/>
      <c r="C48" s="128"/>
      <c r="D48" s="128"/>
      <c r="E48" s="510"/>
      <c r="F48" s="670" t="str">
        <f>IF('Control Sheet'!$D$18="Specify in Cell E16",'Support Sheet'!$G$10,'Control Sheet'!$C$18)</f>
        <v>In Rs. hundreds</v>
      </c>
    </row>
    <row r="49" spans="2:30">
      <c r="B49" s="1005" t="s">
        <v>922</v>
      </c>
      <c r="C49" s="1006"/>
      <c r="D49" s="135"/>
      <c r="E49" s="186" t="s">
        <v>32</v>
      </c>
      <c r="F49" s="187" t="s">
        <v>32</v>
      </c>
    </row>
    <row r="50" spans="2:30" ht="15" thickBot="1">
      <c r="B50" s="1058"/>
      <c r="C50" s="1059"/>
      <c r="D50" s="195"/>
      <c r="E50" s="607">
        <f>IF('Control Sheet'!$C$7&gt;0,'Control Sheet'!$C$7,'Control Sheet'!$B$7)</f>
        <v>45016</v>
      </c>
      <c r="F50" s="608">
        <f>IF('Control Sheet'!$C$8&gt;0,'Control Sheet'!$C$8,'Control Sheet'!$B$8)</f>
        <v>44651</v>
      </c>
    </row>
    <row r="51" spans="2:30">
      <c r="B51" s="676"/>
      <c r="C51" s="96" t="s">
        <v>105</v>
      </c>
      <c r="D51" s="98"/>
      <c r="E51" s="543"/>
      <c r="F51" s="544"/>
      <c r="AA51" s="227" t="s">
        <v>451</v>
      </c>
      <c r="AB51" s="227" t="s">
        <v>452</v>
      </c>
      <c r="AC51" s="227" t="s">
        <v>453</v>
      </c>
      <c r="AD51" s="331" t="s">
        <v>456</v>
      </c>
    </row>
    <row r="52" spans="2:30">
      <c r="B52" s="662"/>
      <c r="C52" s="98" t="s">
        <v>148</v>
      </c>
      <c r="D52" s="98"/>
      <c r="E52" s="499">
        <f>SUMIFS('Trial Balance'!$D:$D,'Trial Balance'!$F:$F,'PL Notes'!$AA52,'Trial Balance'!$G:$G,'PL Notes'!$AB52,'Trial Balance'!$H:$H,'PL Notes'!$AC52,'Trial Balance'!$I:$I,'PL Notes'!$AD52)/'Support Sheet'!$G$10</f>
        <v>0</v>
      </c>
      <c r="F52" s="500">
        <f>SUMIFS('Trial Balance'!$E:$E,'Trial Balance'!$F:$F,'PL Notes'!$AA52,'Trial Balance'!$G:$G,'PL Notes'!$AB52,'Trial Balance'!$H:$H,'PL Notes'!$AC52,'Trial Balance'!$I:$I,'PL Notes'!$AD52)/'Support Sheet'!$G$10</f>
        <v>0</v>
      </c>
      <c r="AA52" t="s">
        <v>476</v>
      </c>
      <c r="AB52" s="98" t="s">
        <v>105</v>
      </c>
      <c r="AC52" s="95" t="s">
        <v>148</v>
      </c>
      <c r="AD52">
        <v>0</v>
      </c>
    </row>
    <row r="53" spans="2:30">
      <c r="B53" s="662"/>
      <c r="C53" s="98" t="s">
        <v>688</v>
      </c>
      <c r="D53" s="98"/>
      <c r="E53" s="499">
        <f>SUMIFS('Trial Balance'!$D:$D,'Trial Balance'!$F:$F,'PL Notes'!$AA53,'Trial Balance'!$G:$G,'PL Notes'!$AB53,'Trial Balance'!$H:$H,'PL Notes'!$AC53,'Trial Balance'!$I:$I,'PL Notes'!$AD53)/'Support Sheet'!$G$10</f>
        <v>0</v>
      </c>
      <c r="F53" s="500">
        <f>SUMIFS('Trial Balance'!$E:$E,'Trial Balance'!$F:$F,'PL Notes'!$AA53,'Trial Balance'!$G:$G,'PL Notes'!$AB53,'Trial Balance'!$H:$H,'PL Notes'!$AC53,'Trial Balance'!$I:$I,'PL Notes'!$AD53)/'Support Sheet'!$G$10</f>
        <v>0</v>
      </c>
      <c r="AA53" t="s">
        <v>476</v>
      </c>
      <c r="AB53" s="98" t="s">
        <v>105</v>
      </c>
      <c r="AC53" s="365" t="s">
        <v>474</v>
      </c>
      <c r="AD53">
        <v>0</v>
      </c>
    </row>
    <row r="54" spans="2:30" ht="15" thickBot="1">
      <c r="B54" s="662"/>
      <c r="C54" s="98"/>
      <c r="D54" s="196" t="s">
        <v>157</v>
      </c>
      <c r="E54" s="535">
        <f>E52-E53</f>
        <v>0</v>
      </c>
      <c r="F54" s="536">
        <f>F52-F53</f>
        <v>0</v>
      </c>
    </row>
    <row r="55" spans="2:30" ht="15" thickTop="1">
      <c r="B55" s="662"/>
      <c r="C55" s="96" t="s">
        <v>689</v>
      </c>
      <c r="D55" s="196"/>
      <c r="E55" s="545"/>
      <c r="F55" s="500"/>
    </row>
    <row r="56" spans="2:30">
      <c r="B56" s="662"/>
      <c r="C56" s="98" t="s">
        <v>148</v>
      </c>
      <c r="D56" s="196"/>
      <c r="E56" s="499">
        <f>SUMIFS('Trial Balance'!$D:$D,'Trial Balance'!$F:$F,'PL Notes'!$AA56,'Trial Balance'!$G:$G,'PL Notes'!$AB56,'Trial Balance'!$H:$H,'PL Notes'!$AC56,'Trial Balance'!$I:$I,'PL Notes'!$AD56)/'Support Sheet'!$G$10</f>
        <v>0</v>
      </c>
      <c r="F56" s="500">
        <f>SUMIFS('Trial Balance'!$E:$E,'Trial Balance'!$F:$F,'PL Notes'!$AA56,'Trial Balance'!$G:$G,'PL Notes'!$AB56,'Trial Balance'!$H:$H,'PL Notes'!$AC56,'Trial Balance'!$I:$I,'PL Notes'!$AD56)/'Support Sheet'!$G$10</f>
        <v>0</v>
      </c>
      <c r="AA56" t="s">
        <v>476</v>
      </c>
      <c r="AB56" s="49" t="s">
        <v>326</v>
      </c>
      <c r="AC56" s="95" t="s">
        <v>148</v>
      </c>
      <c r="AD56">
        <v>0</v>
      </c>
    </row>
    <row r="57" spans="2:30">
      <c r="B57" s="662"/>
      <c r="C57" s="98" t="s">
        <v>688</v>
      </c>
      <c r="D57" s="196"/>
      <c r="E57" s="499">
        <f>SUMIFS('Trial Balance'!$D:$D,'Trial Balance'!$F:$F,'PL Notes'!$AA57,'Trial Balance'!$G:$G,'PL Notes'!$AB57,'Trial Balance'!$H:$H,'PL Notes'!$AC57,'Trial Balance'!$I:$I,'PL Notes'!$AD57)/'Support Sheet'!$G$10</f>
        <v>0</v>
      </c>
      <c r="F57" s="500">
        <f>SUMIFS('Trial Balance'!$E:$E,'Trial Balance'!$F:$F,'PL Notes'!$AA57,'Trial Balance'!$G:$G,'PL Notes'!$AB57,'Trial Balance'!$H:$H,'PL Notes'!$AC57,'Trial Balance'!$I:$I,'PL Notes'!$AD57)/'Support Sheet'!$G$10</f>
        <v>0</v>
      </c>
      <c r="AA57" t="s">
        <v>476</v>
      </c>
      <c r="AB57" s="49" t="s">
        <v>326</v>
      </c>
      <c r="AC57" s="365" t="s">
        <v>474</v>
      </c>
      <c r="AD57">
        <v>0</v>
      </c>
    </row>
    <row r="58" spans="2:30" ht="15" thickBot="1">
      <c r="B58" s="662"/>
      <c r="C58" s="98"/>
      <c r="D58" s="196" t="s">
        <v>158</v>
      </c>
      <c r="E58" s="535">
        <f>E56-E57</f>
        <v>0</v>
      </c>
      <c r="F58" s="536">
        <f>F56-F57</f>
        <v>0</v>
      </c>
    </row>
    <row r="59" spans="2:30" ht="15" thickTop="1">
      <c r="B59" s="662"/>
      <c r="C59" s="96" t="s">
        <v>690</v>
      </c>
      <c r="D59" s="196"/>
      <c r="E59" s="546"/>
      <c r="F59" s="547"/>
    </row>
    <row r="60" spans="2:30">
      <c r="B60" s="662"/>
      <c r="C60" s="98" t="s">
        <v>148</v>
      </c>
      <c r="D60" s="196"/>
      <c r="E60" s="499">
        <f>SUMIFS('Trial Balance'!$D:$D,'Trial Balance'!$F:$F,'PL Notes'!$AA60,'Trial Balance'!$G:$G,'PL Notes'!$AB60,'Trial Balance'!$H:$H,'PL Notes'!$AC60,'Trial Balance'!$I:$I,'PL Notes'!$AD60)/'Support Sheet'!$G$10</f>
        <v>0</v>
      </c>
      <c r="F60" s="500">
        <f>SUMIFS('Trial Balance'!$E:$E,'Trial Balance'!$F:$F,'PL Notes'!$AA60,'Trial Balance'!$G:$G,'PL Notes'!$AB60,'Trial Balance'!$H:$H,'PL Notes'!$AC60,'Trial Balance'!$I:$I,'PL Notes'!$AD60)/'Support Sheet'!$G$10</f>
        <v>0</v>
      </c>
      <c r="AA60" t="s">
        <v>476</v>
      </c>
      <c r="AB60" s="49" t="s">
        <v>328</v>
      </c>
      <c r="AC60" s="95" t="s">
        <v>148</v>
      </c>
      <c r="AD60">
        <v>0</v>
      </c>
    </row>
    <row r="61" spans="2:30">
      <c r="B61" s="662"/>
      <c r="C61" s="98" t="s">
        <v>688</v>
      </c>
      <c r="D61" s="196"/>
      <c r="E61" s="499">
        <f>SUMIFS('Trial Balance'!$D:$D,'Trial Balance'!$F:$F,'PL Notes'!$AA61,'Trial Balance'!$G:$G,'PL Notes'!$AB61,'Trial Balance'!$H:$H,'PL Notes'!$AC61,'Trial Balance'!$I:$I,'PL Notes'!$AD61)/'Support Sheet'!$G$10</f>
        <v>0</v>
      </c>
      <c r="F61" s="500">
        <f>SUMIFS('Trial Balance'!$E:$E,'Trial Balance'!$F:$F,'PL Notes'!$AA61,'Trial Balance'!$G:$G,'PL Notes'!$AB61,'Trial Balance'!$H:$H,'PL Notes'!$AC61,'Trial Balance'!$I:$I,'PL Notes'!$AD61)/'Support Sheet'!$G$10</f>
        <v>0</v>
      </c>
      <c r="AA61" t="s">
        <v>476</v>
      </c>
      <c r="AB61" s="49" t="s">
        <v>328</v>
      </c>
      <c r="AC61" s="365" t="s">
        <v>474</v>
      </c>
      <c r="AD61">
        <v>0</v>
      </c>
    </row>
    <row r="62" spans="2:30" ht="15" thickBot="1">
      <c r="B62" s="662"/>
      <c r="C62" s="98"/>
      <c r="D62" s="196" t="s">
        <v>691</v>
      </c>
      <c r="E62" s="535">
        <f>E60-E61</f>
        <v>0</v>
      </c>
      <c r="F62" s="536">
        <f>F60-F61</f>
        <v>0</v>
      </c>
    </row>
    <row r="63" spans="2:30" ht="15.6" thickTop="1" thickBot="1">
      <c r="B63" s="678"/>
      <c r="C63" s="1056" t="s">
        <v>692</v>
      </c>
      <c r="D63" s="1057"/>
      <c r="E63" s="501">
        <f>E54+E58+E62</f>
        <v>0</v>
      </c>
      <c r="F63" s="502">
        <f>F54+F58+F62</f>
        <v>0</v>
      </c>
    </row>
    <row r="64" spans="2:30" ht="15" thickBot="1">
      <c r="B64" s="614"/>
      <c r="C64" s="351"/>
      <c r="D64" s="351"/>
      <c r="E64" s="510"/>
      <c r="F64" s="510"/>
    </row>
    <row r="65" spans="2:30">
      <c r="B65" s="1005" t="s">
        <v>923</v>
      </c>
      <c r="C65" s="1006"/>
      <c r="D65" s="205"/>
      <c r="E65" s="186" t="s">
        <v>32</v>
      </c>
      <c r="F65" s="187" t="s">
        <v>32</v>
      </c>
    </row>
    <row r="66" spans="2:30" ht="15" thickBot="1">
      <c r="B66" s="1058"/>
      <c r="C66" s="1059"/>
      <c r="D66" s="206"/>
      <c r="E66" s="607">
        <f>IF('Control Sheet'!$C$7&gt;0,'Control Sheet'!$C$7,'Control Sheet'!$B$7)</f>
        <v>45016</v>
      </c>
      <c r="F66" s="608">
        <f>IF('Control Sheet'!$C$8&gt;0,'Control Sheet'!$C$8,'Control Sheet'!$B$8)</f>
        <v>44651</v>
      </c>
      <c r="AA66" s="227" t="s">
        <v>451</v>
      </c>
      <c r="AB66" s="227" t="s">
        <v>452</v>
      </c>
      <c r="AC66" s="227" t="s">
        <v>453</v>
      </c>
      <c r="AD66" s="331" t="s">
        <v>456</v>
      </c>
    </row>
    <row r="67" spans="2:30">
      <c r="B67" s="677" t="str">
        <f>'Support Sheet'!C2</f>
        <v>(i)</v>
      </c>
      <c r="C67" s="98" t="s">
        <v>159</v>
      </c>
      <c r="D67" s="98"/>
      <c r="E67" s="499">
        <f>SUMIFS('Trial Balance'!$D:$D,'Trial Balance'!$F:$F,'PL Notes'!$AA67,'Trial Balance'!$G:$G,'PL Notes'!$AB67,'Trial Balance'!$H:$H,'PL Notes'!$AC67,'Trial Balance'!$I:$I,'PL Notes'!$AD67)/'Support Sheet'!$G$10</f>
        <v>2351.1999999999998</v>
      </c>
      <c r="F67" s="500">
        <f>SUMIFS('Trial Balance'!$E:$E,'Trial Balance'!$F:$F,'PL Notes'!$AA67,'Trial Balance'!$G:$G,'PL Notes'!$AB67,'Trial Balance'!$H:$H,'PL Notes'!$AC67,'Trial Balance'!$I:$I,'PL Notes'!$AD67)/'Support Sheet'!$G$10</f>
        <v>0</v>
      </c>
      <c r="AA67" t="s">
        <v>477</v>
      </c>
      <c r="AB67" s="98" t="s">
        <v>159</v>
      </c>
      <c r="AC67">
        <v>0</v>
      </c>
      <c r="AD67">
        <v>0</v>
      </c>
    </row>
    <row r="68" spans="2:30">
      <c r="B68" s="671" t="str">
        <f>'Support Sheet'!C3</f>
        <v>(ii)</v>
      </c>
      <c r="C68" s="98" t="s">
        <v>160</v>
      </c>
      <c r="D68" s="98"/>
      <c r="E68" s="499">
        <f>SUMIFS('Trial Balance'!$D:$D,'Trial Balance'!$F:$F,'PL Notes'!$AA68,'Trial Balance'!$G:$G,'PL Notes'!$AB68,'Trial Balance'!$H:$H,'PL Notes'!$AC68,'Trial Balance'!$I:$I,'PL Notes'!$AD68)/'Support Sheet'!$G$10</f>
        <v>0</v>
      </c>
      <c r="F68" s="500">
        <f>SUMIFS('Trial Balance'!$E:$E,'Trial Balance'!$F:$F,'PL Notes'!$AA68,'Trial Balance'!$G:$G,'PL Notes'!$AB68,'Trial Balance'!$H:$H,'PL Notes'!$AC68,'Trial Balance'!$I:$I,'PL Notes'!$AD68)/'Support Sheet'!$G$10</f>
        <v>0</v>
      </c>
      <c r="AA68" t="s">
        <v>477</v>
      </c>
      <c r="AB68" s="98" t="s">
        <v>160</v>
      </c>
      <c r="AC68">
        <v>0</v>
      </c>
      <c r="AD68">
        <v>0</v>
      </c>
    </row>
    <row r="69" spans="2:30">
      <c r="B69" s="671" t="str">
        <f>'Support Sheet'!C4</f>
        <v>(iii)</v>
      </c>
      <c r="C69" s="98" t="s">
        <v>356</v>
      </c>
      <c r="D69" s="98"/>
      <c r="E69" s="499">
        <f>SUMIFS('Trial Balance'!$D:$D,'Trial Balance'!$F:$F,'PL Notes'!$AA69,'Trial Balance'!$G:$G,'PL Notes'!$AB69,'Trial Balance'!$H:$H,'PL Notes'!$AC69,'Trial Balance'!$I:$I,'PL Notes'!$AD69)/'Support Sheet'!$G$10</f>
        <v>0</v>
      </c>
      <c r="F69" s="500">
        <f>SUMIFS('Trial Balance'!$E:$E,'Trial Balance'!$F:$F,'PL Notes'!$AA69,'Trial Balance'!$G:$G,'PL Notes'!$AB69,'Trial Balance'!$H:$H,'PL Notes'!$AC69,'Trial Balance'!$I:$I,'PL Notes'!$AD69)/'Support Sheet'!$G$10</f>
        <v>0</v>
      </c>
      <c r="AA69" t="s">
        <v>477</v>
      </c>
      <c r="AB69" s="98" t="s">
        <v>356</v>
      </c>
      <c r="AC69">
        <v>0</v>
      </c>
      <c r="AD69">
        <v>0</v>
      </c>
    </row>
    <row r="70" spans="2:30" ht="15" thickBot="1">
      <c r="B70" s="671" t="str">
        <f>'Support Sheet'!C5</f>
        <v>(iv)</v>
      </c>
      <c r="C70" s="98" t="s">
        <v>161</v>
      </c>
      <c r="D70" s="98"/>
      <c r="E70" s="499">
        <f>SUMIFS('Trial Balance'!$D:$D,'Trial Balance'!$F:$F,'PL Notes'!$AA70,'Trial Balance'!$G:$G,'PL Notes'!$AB70,'Trial Balance'!$H:$H,'PL Notes'!$AC70,'Trial Balance'!$I:$I,'PL Notes'!$AD70)/'Support Sheet'!$G$10</f>
        <v>2400</v>
      </c>
      <c r="F70" s="500">
        <f>SUMIFS('Trial Balance'!$E:$E,'Trial Balance'!$F:$F,'PL Notes'!$AA70,'Trial Balance'!$G:$G,'PL Notes'!$AB70,'Trial Balance'!$H:$H,'PL Notes'!$AC70,'Trial Balance'!$I:$I,'PL Notes'!$AD70)/'Support Sheet'!$G$10</f>
        <v>0</v>
      </c>
      <c r="AA70" t="s">
        <v>477</v>
      </c>
      <c r="AB70" s="98" t="s">
        <v>161</v>
      </c>
      <c r="AC70">
        <v>0</v>
      </c>
      <c r="AD70">
        <v>0</v>
      </c>
    </row>
    <row r="71" spans="2:30" ht="15" thickBot="1">
      <c r="B71" s="673"/>
      <c r="C71" s="1053" t="s">
        <v>14</v>
      </c>
      <c r="D71" s="1055"/>
      <c r="E71" s="530">
        <f>SUM(E67:E70)</f>
        <v>4751.2</v>
      </c>
      <c r="F71" s="531">
        <f>SUM(F67:F70)</f>
        <v>0</v>
      </c>
    </row>
    <row r="72" spans="2:30" ht="15" thickBot="1">
      <c r="B72" s="614"/>
      <c r="C72" s="194"/>
      <c r="D72" s="194"/>
      <c r="E72" s="189"/>
      <c r="F72" s="189"/>
    </row>
    <row r="73" spans="2:30">
      <c r="B73" s="1005" t="s">
        <v>924</v>
      </c>
      <c r="C73" s="1006"/>
      <c r="D73" s="121"/>
      <c r="E73" s="186" t="s">
        <v>32</v>
      </c>
      <c r="F73" s="187" t="s">
        <v>32</v>
      </c>
    </row>
    <row r="74" spans="2:30" ht="15" thickBot="1">
      <c r="B74" s="1058"/>
      <c r="C74" s="1059"/>
      <c r="D74" s="197"/>
      <c r="E74" s="607">
        <f>IF('Control Sheet'!$C$7&gt;0,'Control Sheet'!$C$7,'Control Sheet'!$B$7)</f>
        <v>45016</v>
      </c>
      <c r="F74" s="608">
        <f>IF('Control Sheet'!$C$8&gt;0,'Control Sheet'!$C$8,'Control Sheet'!$B$8)</f>
        <v>44651</v>
      </c>
      <c r="AA74" s="227" t="s">
        <v>451</v>
      </c>
      <c r="AB74" s="227" t="s">
        <v>452</v>
      </c>
      <c r="AC74" s="227" t="s">
        <v>453</v>
      </c>
      <c r="AD74" s="331" t="s">
        <v>456</v>
      </c>
    </row>
    <row r="75" spans="2:30">
      <c r="B75" s="677" t="str">
        <f>'Support Sheet'!C2</f>
        <v>(i)</v>
      </c>
      <c r="C75" s="98" t="s">
        <v>357</v>
      </c>
      <c r="D75" s="98"/>
      <c r="E75" s="499">
        <f>SUMIFS('Trial Balance'!$D:$D,'Trial Balance'!$F:$F,'PL Notes'!$AA75,'Trial Balance'!$G:$G,'PL Notes'!$AB75,'Trial Balance'!$H:$H,'PL Notes'!$AC75,'Trial Balance'!$I:$I,'PL Notes'!$AD75)/'Support Sheet'!$G$10</f>
        <v>57.4422</v>
      </c>
      <c r="F75" s="500">
        <f>SUMIFS('Trial Balance'!$E:$E,'Trial Balance'!$F:$F,'PL Notes'!$AA75,'Trial Balance'!$G:$G,'PL Notes'!$AB75,'Trial Balance'!$H:$H,'PL Notes'!$AC75,'Trial Balance'!$I:$I,'PL Notes'!$AD75)/'Support Sheet'!$G$10</f>
        <v>0</v>
      </c>
      <c r="I75" s="231" t="s">
        <v>511</v>
      </c>
      <c r="AA75" t="s">
        <v>72</v>
      </c>
      <c r="AB75" s="98" t="s">
        <v>357</v>
      </c>
      <c r="AC75">
        <v>0</v>
      </c>
      <c r="AD75">
        <v>0</v>
      </c>
    </row>
    <row r="76" spans="2:30">
      <c r="B76" s="671" t="str">
        <f>'Support Sheet'!C3</f>
        <v>(ii)</v>
      </c>
      <c r="C76" s="98" t="s">
        <v>358</v>
      </c>
      <c r="D76" s="98"/>
      <c r="E76" s="499">
        <f>SUMIFS('Trial Balance'!$D:$D,'Trial Balance'!$F:$F,'PL Notes'!$AA76,'Trial Balance'!$G:$G,'PL Notes'!$AB76,'Trial Balance'!$H:$H,'PL Notes'!$AC76,'Trial Balance'!$I:$I,'PL Notes'!$AD76)/'Support Sheet'!$G$10</f>
        <v>0</v>
      </c>
      <c r="F76" s="500">
        <f>SUMIFS('Trial Balance'!$E:$E,'Trial Balance'!$F:$F,'PL Notes'!$AA76,'Trial Balance'!$G:$G,'PL Notes'!$AB76,'Trial Balance'!$H:$H,'PL Notes'!$AC76,'Trial Balance'!$I:$I,'PL Notes'!$AD76)/'Support Sheet'!$G$10</f>
        <v>0</v>
      </c>
      <c r="I76" s="353" t="s">
        <v>512</v>
      </c>
      <c r="AA76" t="s">
        <v>72</v>
      </c>
      <c r="AB76" s="98" t="s">
        <v>358</v>
      </c>
      <c r="AC76">
        <v>0</v>
      </c>
      <c r="AD76">
        <v>0</v>
      </c>
    </row>
    <row r="77" spans="2:30" ht="32.25" customHeight="1" thickBot="1">
      <c r="B77" s="672" t="str">
        <f>'Support Sheet'!C4</f>
        <v>(iii)</v>
      </c>
      <c r="C77" s="315" t="s">
        <v>359</v>
      </c>
      <c r="D77" s="98"/>
      <c r="E77" s="499">
        <f>SUMIFS('Trial Balance'!$D:$D,'Trial Balance'!$F:$F,'PL Notes'!$AA77,'Trial Balance'!$G:$G,'PL Notes'!$AB77,'Trial Balance'!$H:$H,'PL Notes'!$AC77,'Trial Balance'!$I:$I,'PL Notes'!$AD77)/'Support Sheet'!$G$10</f>
        <v>0</v>
      </c>
      <c r="F77" s="500">
        <f>SUMIFS('Trial Balance'!$E:$E,'Trial Balance'!$F:$F,'PL Notes'!$AA77,'Trial Balance'!$G:$G,'PL Notes'!$AB77,'Trial Balance'!$H:$H,'PL Notes'!$AC77,'Trial Balance'!$I:$I,'PL Notes'!$AD77)/'Support Sheet'!$G$10</f>
        <v>0</v>
      </c>
      <c r="I77" s="353" t="s">
        <v>513</v>
      </c>
      <c r="AA77" t="s">
        <v>72</v>
      </c>
      <c r="AB77" s="315" t="s">
        <v>359</v>
      </c>
      <c r="AC77">
        <v>0</v>
      </c>
      <c r="AD77">
        <v>0</v>
      </c>
    </row>
    <row r="78" spans="2:30" ht="15" thickBot="1">
      <c r="B78" s="673"/>
      <c r="C78" s="1053" t="s">
        <v>14</v>
      </c>
      <c r="D78" s="1055"/>
      <c r="E78" s="548">
        <f>SUM(E75:E77)</f>
        <v>57.4422</v>
      </c>
      <c r="F78" s="548">
        <f>SUM(F75:F77)</f>
        <v>0</v>
      </c>
      <c r="I78" s="353" t="s">
        <v>514</v>
      </c>
      <c r="AB78" s="98"/>
    </row>
    <row r="79" spans="2:30">
      <c r="B79" s="614"/>
      <c r="C79" s="128"/>
      <c r="D79" s="128"/>
      <c r="E79" s="510"/>
      <c r="F79" s="510"/>
      <c r="I79" s="353"/>
      <c r="AB79" s="98"/>
    </row>
    <row r="80" spans="2:30" ht="15" thickBot="1">
      <c r="B80" s="614"/>
      <c r="C80" s="194"/>
      <c r="D80" s="194"/>
      <c r="E80" s="549"/>
      <c r="F80" s="882" t="str">
        <f>IF('Control Sheet'!$D$18="Specify in Cell E16",'Support Sheet'!$G$10,'Control Sheet'!$C$18)</f>
        <v>In Rs. hundreds</v>
      </c>
      <c r="I80" s="353" t="s">
        <v>515</v>
      </c>
    </row>
    <row r="81" spans="2:30">
      <c r="B81" s="1005" t="s">
        <v>925</v>
      </c>
      <c r="C81" s="1006"/>
      <c r="D81" s="204"/>
      <c r="E81" s="186" t="s">
        <v>32</v>
      </c>
      <c r="F81" s="187" t="s">
        <v>32</v>
      </c>
    </row>
    <row r="82" spans="2:30" ht="15" thickBot="1">
      <c r="B82" s="1058"/>
      <c r="C82" s="1059"/>
      <c r="D82" s="198"/>
      <c r="E82" s="607">
        <f>IF('Control Sheet'!$C$7&gt;0,'Control Sheet'!$C$7,'Control Sheet'!$B$7)</f>
        <v>45016</v>
      </c>
      <c r="F82" s="608">
        <f>IF('Control Sheet'!$C$8&gt;0,'Control Sheet'!$C$8,'Control Sheet'!$B$8)</f>
        <v>44651</v>
      </c>
      <c r="AA82" s="227" t="s">
        <v>451</v>
      </c>
      <c r="AB82" s="227" t="s">
        <v>452</v>
      </c>
      <c r="AC82" s="227" t="s">
        <v>453</v>
      </c>
      <c r="AD82" s="331" t="s">
        <v>456</v>
      </c>
    </row>
    <row r="83" spans="2:30" ht="16.2">
      <c r="B83" s="676"/>
      <c r="C83" s="314" t="s">
        <v>162</v>
      </c>
      <c r="D83" s="199"/>
      <c r="E83" s="550"/>
      <c r="F83" s="551"/>
    </row>
    <row r="84" spans="2:30">
      <c r="B84" s="671" t="str">
        <f>'Support Sheet'!C2</f>
        <v>(i)</v>
      </c>
      <c r="C84" s="207" t="s">
        <v>163</v>
      </c>
      <c r="D84" s="199"/>
      <c r="E84" s="499">
        <f>SUMIFS('Trial Balance'!$D:$D,'Trial Balance'!$F:$F,'PL Notes'!$AA84,'Trial Balance'!$G:$G,'PL Notes'!$AB84,'Trial Balance'!$H:$H,'PL Notes'!$AC84,'Trial Balance'!$I:$I,'PL Notes'!$AD84)/'Support Sheet'!$G$10</f>
        <v>150</v>
      </c>
      <c r="F84" s="500">
        <f>SUMIFS('Trial Balance'!$E:$E,'Trial Balance'!$F:$F,'PL Notes'!$AA84,'Trial Balance'!$G:$G,'PL Notes'!$AB84,'Trial Balance'!$H:$H,'PL Notes'!$AC84,'Trial Balance'!$I:$I,'PL Notes'!$AD84)/'Support Sheet'!$G$10</f>
        <v>0</v>
      </c>
      <c r="AA84" t="s">
        <v>44</v>
      </c>
      <c r="AB84" s="207" t="str">
        <f>C84</f>
        <v>Statutory Audit</v>
      </c>
      <c r="AC84">
        <v>0</v>
      </c>
      <c r="AD84">
        <v>0</v>
      </c>
    </row>
    <row r="85" spans="2:30">
      <c r="B85" s="671" t="str">
        <f>'Support Sheet'!C3</f>
        <v>(ii)</v>
      </c>
      <c r="C85" s="207" t="s">
        <v>164</v>
      </c>
      <c r="D85" s="199"/>
      <c r="E85" s="499">
        <f>SUMIFS('Trial Balance'!$D:$D,'Trial Balance'!$F:$F,'PL Notes'!$AA85,'Trial Balance'!$G:$G,'PL Notes'!$AB85,'Trial Balance'!$H:$H,'PL Notes'!$AC85,'Trial Balance'!$I:$I,'PL Notes'!$AD85)/'Support Sheet'!$G$10</f>
        <v>0</v>
      </c>
      <c r="F85" s="500">
        <f>SUMIFS('Trial Balance'!$E:$E,'Trial Balance'!$F:$F,'PL Notes'!$AA85,'Trial Balance'!$G:$G,'PL Notes'!$AB85,'Trial Balance'!$H:$H,'PL Notes'!$AC85,'Trial Balance'!$I:$I,'PL Notes'!$AD85)/'Support Sheet'!$G$10</f>
        <v>0</v>
      </c>
      <c r="AA85" t="s">
        <v>44</v>
      </c>
      <c r="AB85" s="207" t="str">
        <f>C85</f>
        <v>Taxation Matters</v>
      </c>
      <c r="AC85">
        <v>0</v>
      </c>
      <c r="AD85">
        <v>0</v>
      </c>
    </row>
    <row r="86" spans="2:30" ht="16.2">
      <c r="B86" s="671"/>
      <c r="C86" s="314" t="s">
        <v>44</v>
      </c>
      <c r="D86" s="199"/>
      <c r="E86" s="545"/>
      <c r="F86" s="500"/>
    </row>
    <row r="87" spans="2:30">
      <c r="B87" s="671" t="str">
        <f>'Support Sheet'!C4</f>
        <v>(iii)</v>
      </c>
      <c r="C87" s="207" t="s">
        <v>1014</v>
      </c>
      <c r="D87" s="200"/>
      <c r="E87" s="499">
        <f>SUMIFS('Trial Balance'!$D:$D,'Trial Balance'!$F:$F,'PL Notes'!$AA87,'Trial Balance'!$G:$G,'PL Notes'!$AB87,'Trial Balance'!$H:$H,'PL Notes'!$AC87,'Trial Balance'!$I:$I,'PL Notes'!$AD87)/'Support Sheet'!$G$10</f>
        <v>1299</v>
      </c>
      <c r="F87" s="500">
        <f>SUMIFS('Trial Balance'!$E:$E,'Trial Balance'!$F:$F,'PL Notes'!$AA87,'Trial Balance'!$G:$G,'PL Notes'!$AB87,'Trial Balance'!$H:$H,'PL Notes'!$AC87,'Trial Balance'!$I:$I,'PL Notes'!$AD87)/'Support Sheet'!$G$10</f>
        <v>40</v>
      </c>
      <c r="AA87" t="s">
        <v>44</v>
      </c>
      <c r="AB87" s="207" t="str">
        <f>C87</f>
        <v>Power and Fuel</v>
      </c>
      <c r="AC87">
        <v>0</v>
      </c>
      <c r="AD87">
        <v>0</v>
      </c>
    </row>
    <row r="88" spans="2:30">
      <c r="B88" s="671" t="str">
        <f>'Support Sheet'!C5</f>
        <v>(iv)</v>
      </c>
      <c r="C88" s="207" t="s">
        <v>165</v>
      </c>
      <c r="D88" s="200"/>
      <c r="E88" s="499">
        <f>SUMIFS('Trial Balance'!$D:$D,'Trial Balance'!$F:$F,'PL Notes'!$AA88,'Trial Balance'!$G:$G,'PL Notes'!$AB88,'Trial Balance'!$H:$H,'PL Notes'!$AC88,'Trial Balance'!$I:$I,'PL Notes'!$AD88)/'Support Sheet'!$G$10</f>
        <v>9</v>
      </c>
      <c r="F88" s="500">
        <f>SUMIFS('Trial Balance'!$E:$E,'Trial Balance'!$F:$F,'PL Notes'!$AA88,'Trial Balance'!$G:$G,'PL Notes'!$AB88,'Trial Balance'!$H:$H,'PL Notes'!$AC88,'Trial Balance'!$I:$I,'PL Notes'!$AD88)/'Support Sheet'!$G$10</f>
        <v>0</v>
      </c>
      <c r="AA88" t="s">
        <v>44</v>
      </c>
      <c r="AB88" s="207" t="str">
        <f t="shared" ref="AB88:AB101" si="1">C88</f>
        <v>Labour Contract Charges</v>
      </c>
      <c r="AC88">
        <v>0</v>
      </c>
      <c r="AD88">
        <v>0</v>
      </c>
    </row>
    <row r="89" spans="2:30">
      <c r="B89" s="671" t="str">
        <f>'Support Sheet'!C6</f>
        <v>(v)</v>
      </c>
      <c r="C89" s="207" t="s">
        <v>168</v>
      </c>
      <c r="D89" s="200"/>
      <c r="E89" s="499">
        <f>SUMIFS('Trial Balance'!$D:$D,'Trial Balance'!$F:$F,'PL Notes'!$AA89,'Trial Balance'!$G:$G,'PL Notes'!$AB89,'Trial Balance'!$H:$H,'PL Notes'!$AC89,'Trial Balance'!$I:$I,'PL Notes'!$AD89)/'Support Sheet'!$G$10</f>
        <v>7.4661999999999997</v>
      </c>
      <c r="F89" s="500">
        <f>SUMIFS('Trial Balance'!$E:$E,'Trial Balance'!$F:$F,'PL Notes'!$AA89,'Trial Balance'!$G:$G,'PL Notes'!$AB89,'Trial Balance'!$H:$H,'PL Notes'!$AC89,'Trial Balance'!$I:$I,'PL Notes'!$AD89)/'Support Sheet'!$G$10</f>
        <v>7.74</v>
      </c>
      <c r="AA89" t="s">
        <v>44</v>
      </c>
      <c r="AB89" s="207" t="str">
        <f t="shared" si="1"/>
        <v xml:space="preserve">Factory Rent </v>
      </c>
      <c r="AC89">
        <v>0</v>
      </c>
      <c r="AD89">
        <v>0</v>
      </c>
    </row>
    <row r="90" spans="2:30">
      <c r="B90" s="671" t="str">
        <f>'Support Sheet'!C7</f>
        <v>(vi)</v>
      </c>
      <c r="C90" s="207" t="s">
        <v>169</v>
      </c>
      <c r="D90" s="200"/>
      <c r="E90" s="499">
        <f>SUMIFS('Trial Balance'!$D:$D,'Trial Balance'!$F:$F,'PL Notes'!$AA90,'Trial Balance'!$G:$G,'PL Notes'!$AB90,'Trial Balance'!$H:$H,'PL Notes'!$AC90,'Trial Balance'!$I:$I,'PL Notes'!$AD90)/'Support Sheet'!$G$10</f>
        <v>3</v>
      </c>
      <c r="F90" s="500">
        <f>SUMIFS('Trial Balance'!$E:$E,'Trial Balance'!$F:$F,'PL Notes'!$AA90,'Trial Balance'!$G:$G,'PL Notes'!$AB90,'Trial Balance'!$H:$H,'PL Notes'!$AC90,'Trial Balance'!$I:$I,'PL Notes'!$AD90)/'Support Sheet'!$G$10</f>
        <v>0</v>
      </c>
      <c r="AA90" t="s">
        <v>44</v>
      </c>
      <c r="AB90" s="207" t="str">
        <f t="shared" si="1"/>
        <v>Travelling  Expenses</v>
      </c>
      <c r="AC90">
        <v>0</v>
      </c>
      <c r="AD90">
        <v>0</v>
      </c>
    </row>
    <row r="91" spans="2:30">
      <c r="B91" s="671" t="str">
        <f>'Support Sheet'!C8</f>
        <v>(vii)</v>
      </c>
      <c r="C91" s="207" t="s">
        <v>170</v>
      </c>
      <c r="D91" s="200"/>
      <c r="E91" s="499">
        <f>SUMIFS('Trial Balance'!$D:$D,'Trial Balance'!$F:$F,'PL Notes'!$AA91,'Trial Balance'!$G:$G,'PL Notes'!$AB91,'Trial Balance'!$H:$H,'PL Notes'!$AC91,'Trial Balance'!$I:$I,'PL Notes'!$AD91)/'Support Sheet'!$G$10</f>
        <v>0.64</v>
      </c>
      <c r="F91" s="500">
        <f>SUMIFS('Trial Balance'!$E:$E,'Trial Balance'!$F:$F,'PL Notes'!$AA91,'Trial Balance'!$G:$G,'PL Notes'!$AB91,'Trial Balance'!$H:$H,'PL Notes'!$AC91,'Trial Balance'!$I:$I,'PL Notes'!$AD91)/'Support Sheet'!$G$10</f>
        <v>0</v>
      </c>
      <c r="AA91" t="s">
        <v>44</v>
      </c>
      <c r="AB91" s="207" t="str">
        <f t="shared" si="1"/>
        <v>Misc. Expenses</v>
      </c>
      <c r="AC91">
        <v>0</v>
      </c>
      <c r="AD91">
        <v>0</v>
      </c>
    </row>
    <row r="92" spans="2:30">
      <c r="B92" s="671" t="str">
        <f>'Support Sheet'!C9</f>
        <v>(viii)</v>
      </c>
      <c r="C92" s="207" t="s">
        <v>171</v>
      </c>
      <c r="D92" s="200"/>
      <c r="E92" s="499">
        <f>SUMIFS('Trial Balance'!$D:$D,'Trial Balance'!$F:$F,'PL Notes'!$AA92,'Trial Balance'!$G:$G,'PL Notes'!$AB92,'Trial Balance'!$H:$H,'PL Notes'!$AC92,'Trial Balance'!$I:$I,'PL Notes'!$AD92)/'Support Sheet'!$G$10</f>
        <v>80</v>
      </c>
      <c r="F92" s="500">
        <f>SUMIFS('Trial Balance'!$E:$E,'Trial Balance'!$F:$F,'PL Notes'!$AA92,'Trial Balance'!$G:$G,'PL Notes'!$AB92,'Trial Balance'!$H:$H,'PL Notes'!$AC92,'Trial Balance'!$I:$I,'PL Notes'!$AD92)/'Support Sheet'!$G$10</f>
        <v>0</v>
      </c>
      <c r="AA92" t="s">
        <v>44</v>
      </c>
      <c r="AB92" s="207" t="str">
        <f t="shared" si="1"/>
        <v>Repair To Machinery</v>
      </c>
      <c r="AC92">
        <v>0</v>
      </c>
      <c r="AD92">
        <v>0</v>
      </c>
    </row>
    <row r="93" spans="2:30">
      <c r="B93" s="671" t="str">
        <f>'Support Sheet'!C10</f>
        <v>(ix)</v>
      </c>
      <c r="C93" s="207" t="s">
        <v>172</v>
      </c>
      <c r="D93" s="200"/>
      <c r="E93" s="499">
        <f>SUMIFS('Trial Balance'!$D:$D,'Trial Balance'!$F:$F,'PL Notes'!$AA93,'Trial Balance'!$G:$G,'PL Notes'!$AB93,'Trial Balance'!$H:$H,'PL Notes'!$AC93,'Trial Balance'!$I:$I,'PL Notes'!$AD93)/'Support Sheet'!$G$10</f>
        <v>40.173999999999999</v>
      </c>
      <c r="F93" s="500">
        <f>SUMIFS('Trial Balance'!$E:$E,'Trial Balance'!$F:$F,'PL Notes'!$AA93,'Trial Balance'!$G:$G,'PL Notes'!$AB93,'Trial Balance'!$H:$H,'PL Notes'!$AC93,'Trial Balance'!$I:$I,'PL Notes'!$AD93)/'Support Sheet'!$G$10</f>
        <v>0</v>
      </c>
      <c r="AA93" t="s">
        <v>44</v>
      </c>
      <c r="AB93" s="207" t="str">
        <f t="shared" si="1"/>
        <v>Rates And Taxes</v>
      </c>
      <c r="AC93">
        <v>0</v>
      </c>
      <c r="AD93">
        <v>0</v>
      </c>
    </row>
    <row r="94" spans="2:30">
      <c r="B94" s="671" t="str">
        <f>'Support Sheet'!C11</f>
        <v>(x)</v>
      </c>
      <c r="C94" s="207" t="s">
        <v>173</v>
      </c>
      <c r="D94" s="200"/>
      <c r="E94" s="499">
        <f>SUMIFS('Trial Balance'!$D:$D,'Trial Balance'!$F:$F,'PL Notes'!$AA94,'Trial Balance'!$G:$G,'PL Notes'!$AB94,'Trial Balance'!$H:$H,'PL Notes'!$AC94,'Trial Balance'!$I:$I,'PL Notes'!$AD94)/'Support Sheet'!$G$10</f>
        <v>565</v>
      </c>
      <c r="F94" s="500">
        <f>SUMIFS('Trial Balance'!$E:$E,'Trial Balance'!$F:$F,'PL Notes'!$AA94,'Trial Balance'!$G:$G,'PL Notes'!$AB94,'Trial Balance'!$H:$H,'PL Notes'!$AC94,'Trial Balance'!$I:$I,'PL Notes'!$AD94)/'Support Sheet'!$G$10</f>
        <v>0</v>
      </c>
      <c r="AA94" t="s">
        <v>44</v>
      </c>
      <c r="AB94" s="207" t="str">
        <f t="shared" si="1"/>
        <v>Office Expenses</v>
      </c>
      <c r="AC94">
        <v>0</v>
      </c>
      <c r="AD94">
        <v>0</v>
      </c>
    </row>
    <row r="95" spans="2:30">
      <c r="B95" s="671" t="str">
        <f>'Support Sheet'!C12</f>
        <v>(xi)</v>
      </c>
      <c r="C95" s="207" t="s">
        <v>174</v>
      </c>
      <c r="D95" s="200"/>
      <c r="E95" s="499">
        <f>SUMIFS('Trial Balance'!$D:$D,'Trial Balance'!$F:$F,'PL Notes'!$AA95,'Trial Balance'!$G:$G,'PL Notes'!$AB95,'Trial Balance'!$H:$H,'PL Notes'!$AC95,'Trial Balance'!$I:$I,'PL Notes'!$AD95)/'Support Sheet'!$G$10</f>
        <v>36.9</v>
      </c>
      <c r="F95" s="500">
        <f>SUMIFS('Trial Balance'!$E:$E,'Trial Balance'!$F:$F,'PL Notes'!$AA95,'Trial Balance'!$G:$G,'PL Notes'!$AB95,'Trial Balance'!$H:$H,'PL Notes'!$AC95,'Trial Balance'!$I:$I,'PL Notes'!$AD95)/'Support Sheet'!$G$10</f>
        <v>0</v>
      </c>
      <c r="AA95" t="s">
        <v>44</v>
      </c>
      <c r="AB95" s="207" t="str">
        <f t="shared" si="1"/>
        <v>Operating Expenses</v>
      </c>
      <c r="AC95">
        <v>0</v>
      </c>
      <c r="AD95">
        <v>0</v>
      </c>
    </row>
    <row r="96" spans="2:30">
      <c r="B96" s="671" t="str">
        <f>'Support Sheet'!C13</f>
        <v>(xii)</v>
      </c>
      <c r="C96" s="207" t="s">
        <v>175</v>
      </c>
      <c r="D96" s="200"/>
      <c r="E96" s="499">
        <f>SUMIFS('Trial Balance'!$D:$D,'Trial Balance'!$F:$F,'PL Notes'!$AA96,'Trial Balance'!$G:$G,'PL Notes'!$AB96,'Trial Balance'!$H:$H,'PL Notes'!$AC96,'Trial Balance'!$I:$I,'PL Notes'!$AD96)/'Support Sheet'!$G$10</f>
        <v>0</v>
      </c>
      <c r="F96" s="500">
        <f>SUMIFS('Trial Balance'!$E:$E,'Trial Balance'!$F:$F,'PL Notes'!$AA96,'Trial Balance'!$G:$G,'PL Notes'!$AB96,'Trial Balance'!$H:$H,'PL Notes'!$AC96,'Trial Balance'!$I:$I,'PL Notes'!$AD96)/'Support Sheet'!$G$10</f>
        <v>0</v>
      </c>
      <c r="AA96" t="s">
        <v>44</v>
      </c>
      <c r="AB96" s="207" t="str">
        <f t="shared" si="1"/>
        <v>Other Repair And Maintanance</v>
      </c>
      <c r="AC96">
        <v>0</v>
      </c>
      <c r="AD96">
        <v>0</v>
      </c>
    </row>
    <row r="97" spans="2:32">
      <c r="B97" s="671" t="str">
        <f>'Support Sheet'!C14</f>
        <v>(xiii)</v>
      </c>
      <c r="C97" s="207" t="s">
        <v>166</v>
      </c>
      <c r="D97" s="200"/>
      <c r="E97" s="499">
        <f>SUMIFS('Trial Balance'!$D:$D,'Trial Balance'!$F:$F,'PL Notes'!$AA97,'Trial Balance'!$G:$G,'PL Notes'!$AB97,'Trial Balance'!$H:$H,'PL Notes'!$AC97,'Trial Balance'!$I:$I,'PL Notes'!$AD97)/'Support Sheet'!$G$10</f>
        <v>482.4</v>
      </c>
      <c r="F97" s="500">
        <f>SUMIFS('Trial Balance'!$E:$E,'Trial Balance'!$F:$F,'PL Notes'!$AA97,'Trial Balance'!$G:$G,'PL Notes'!$AB97,'Trial Balance'!$H:$H,'PL Notes'!$AC97,'Trial Balance'!$I:$I,'PL Notes'!$AD97)/'Support Sheet'!$G$10</f>
        <v>0</v>
      </c>
      <c r="AA97" t="s">
        <v>44</v>
      </c>
      <c r="AB97" s="207" t="str">
        <f t="shared" si="1"/>
        <v>Insurance</v>
      </c>
      <c r="AC97">
        <v>0</v>
      </c>
      <c r="AD97">
        <v>0</v>
      </c>
    </row>
    <row r="98" spans="2:32">
      <c r="B98" s="671" t="str">
        <f>'Support Sheet'!C15</f>
        <v>(xiv)</v>
      </c>
      <c r="C98" s="207" t="s">
        <v>176</v>
      </c>
      <c r="D98" s="200"/>
      <c r="E98" s="499">
        <f>SUMIFS('Trial Balance'!$D:$D,'Trial Balance'!$F:$F,'PL Notes'!$AA98,'Trial Balance'!$G:$G,'PL Notes'!$AB98,'Trial Balance'!$H:$H,'PL Notes'!$AC98,'Trial Balance'!$I:$I,'PL Notes'!$AD98)/'Support Sheet'!$G$10</f>
        <v>0</v>
      </c>
      <c r="F98" s="500">
        <f>SUMIFS('Trial Balance'!$E:$E,'Trial Balance'!$F:$F,'PL Notes'!$AA98,'Trial Balance'!$G:$G,'PL Notes'!$AB98,'Trial Balance'!$H:$H,'PL Notes'!$AC98,'Trial Balance'!$I:$I,'PL Notes'!$AD98)/'Support Sheet'!$G$10</f>
        <v>0</v>
      </c>
      <c r="AA98" t="s">
        <v>44</v>
      </c>
      <c r="AB98" s="207" t="str">
        <f t="shared" si="1"/>
        <v>Repairs To Building</v>
      </c>
      <c r="AC98">
        <v>0</v>
      </c>
      <c r="AD98">
        <v>0</v>
      </c>
    </row>
    <row r="99" spans="2:32">
      <c r="B99" s="671" t="str">
        <f>'Support Sheet'!C16</f>
        <v>(xv)</v>
      </c>
      <c r="C99" s="207" t="s">
        <v>177</v>
      </c>
      <c r="D99" s="200"/>
      <c r="E99" s="499">
        <f>SUMIFS('Trial Balance'!$D:$D,'Trial Balance'!$F:$F,'PL Notes'!$AA99,'Trial Balance'!$G:$G,'PL Notes'!$AB99,'Trial Balance'!$H:$H,'PL Notes'!$AC99,'Trial Balance'!$I:$I,'PL Notes'!$AD99)/'Support Sheet'!$G$10</f>
        <v>21.95</v>
      </c>
      <c r="F99" s="500">
        <f>SUMIFS('Trial Balance'!$E:$E,'Trial Balance'!$F:$F,'PL Notes'!$AA99,'Trial Balance'!$G:$G,'PL Notes'!$AB99,'Trial Balance'!$H:$H,'PL Notes'!$AC99,'Trial Balance'!$I:$I,'PL Notes'!$AD99)/'Support Sheet'!$G$10</f>
        <v>0</v>
      </c>
      <c r="AA99" t="s">
        <v>44</v>
      </c>
      <c r="AB99" s="207" t="str">
        <f t="shared" si="1"/>
        <v>Printing Expenses</v>
      </c>
      <c r="AC99">
        <v>0</v>
      </c>
      <c r="AD99">
        <v>0</v>
      </c>
    </row>
    <row r="100" spans="2:32">
      <c r="B100" s="671" t="str">
        <f>'Support Sheet'!C17</f>
        <v>(xvi)</v>
      </c>
      <c r="C100" s="207" t="s">
        <v>178</v>
      </c>
      <c r="D100" s="200"/>
      <c r="E100" s="499">
        <f>SUMIFS('Trial Balance'!$D:$D,'Trial Balance'!$F:$F,'PL Notes'!$AA100,'Trial Balance'!$G:$G,'PL Notes'!$AB100,'Trial Balance'!$H:$H,'PL Notes'!$AC100,'Trial Balance'!$I:$I,'PL Notes'!$AD100)/'Support Sheet'!$G$10</f>
        <v>0</v>
      </c>
      <c r="F100" s="500">
        <f>SUMIFS('Trial Balance'!$E:$E,'Trial Balance'!$F:$F,'PL Notes'!$AA100,'Trial Balance'!$G:$G,'PL Notes'!$AB100,'Trial Balance'!$H:$H,'PL Notes'!$AC100,'Trial Balance'!$I:$I,'PL Notes'!$AD100)/'Support Sheet'!$G$10</f>
        <v>0</v>
      </c>
      <c r="AA100" t="s">
        <v>44</v>
      </c>
      <c r="AB100" s="207" t="str">
        <f t="shared" si="1"/>
        <v>Debt Written Off</v>
      </c>
      <c r="AC100">
        <v>0</v>
      </c>
      <c r="AD100">
        <v>0</v>
      </c>
    </row>
    <row r="101" spans="2:32" ht="15" thickBot="1">
      <c r="B101" s="671" t="str">
        <f>'Support Sheet'!C18</f>
        <v>(xvii)</v>
      </c>
      <c r="C101" s="207" t="s">
        <v>181</v>
      </c>
      <c r="D101" s="200"/>
      <c r="E101" s="499">
        <f>SUMIFS('Trial Balance'!$D:$D,'Trial Balance'!$F:$F,'PL Notes'!$AA101,'Trial Balance'!$G:$G,'PL Notes'!$AB101,'Trial Balance'!$H:$H,'PL Notes'!$AC101,'Trial Balance'!$I:$I,'PL Notes'!$AD101)/'Support Sheet'!$G$10</f>
        <v>0</v>
      </c>
      <c r="F101" s="500">
        <f>SUMIFS('Trial Balance'!$E:$E,'Trial Balance'!$F:$F,'PL Notes'!$AA101,'Trial Balance'!$G:$G,'PL Notes'!$AB101,'Trial Balance'!$H:$H,'PL Notes'!$AC101,'Trial Balance'!$I:$I,'PL Notes'!$AD101)/'Support Sheet'!$G$10</f>
        <v>0</v>
      </c>
      <c r="AA101" t="s">
        <v>44</v>
      </c>
      <c r="AB101" s="207" t="str">
        <f t="shared" si="1"/>
        <v>Interest On Income Tax</v>
      </c>
      <c r="AC101">
        <v>0</v>
      </c>
      <c r="AD101">
        <v>0</v>
      </c>
    </row>
    <row r="102" spans="2:32" ht="15" thickBot="1">
      <c r="B102" s="673"/>
      <c r="C102" s="1053" t="s">
        <v>14</v>
      </c>
      <c r="D102" s="1054"/>
      <c r="E102" s="552">
        <f>SUM(E84:E101)</f>
        <v>2695.5302000000001</v>
      </c>
      <c r="F102" s="531">
        <f>SUM(F84:F101)</f>
        <v>47.74</v>
      </c>
    </row>
    <row r="103" spans="2:32" ht="15" thickBot="1">
      <c r="B103" s="614"/>
      <c r="C103" s="128"/>
      <c r="D103" s="128"/>
      <c r="E103" s="510"/>
      <c r="F103" s="510"/>
    </row>
    <row r="104" spans="2:32">
      <c r="B104" s="1005" t="s">
        <v>926</v>
      </c>
      <c r="C104" s="1006"/>
      <c r="D104" s="205"/>
      <c r="E104" s="186" t="s">
        <v>32</v>
      </c>
      <c r="F104" s="187" t="s">
        <v>32</v>
      </c>
    </row>
    <row r="105" spans="2:32" ht="15" thickBot="1">
      <c r="B105" s="1058"/>
      <c r="C105" s="1059"/>
      <c r="D105" s="206"/>
      <c r="E105" s="607">
        <f>IF('Control Sheet'!$C$7&gt;0,'Control Sheet'!$C$7,'Control Sheet'!$B$7)</f>
        <v>45016</v>
      </c>
      <c r="F105" s="608">
        <f>IF('Control Sheet'!$C$8&gt;0,'Control Sheet'!$C$8,'Control Sheet'!$B$8)</f>
        <v>44651</v>
      </c>
      <c r="AA105" s="227" t="s">
        <v>451</v>
      </c>
      <c r="AB105" s="227" t="s">
        <v>452</v>
      </c>
      <c r="AC105" s="227" t="s">
        <v>453</v>
      </c>
      <c r="AD105" s="227" t="s">
        <v>456</v>
      </c>
    </row>
    <row r="106" spans="2:32">
      <c r="B106" s="671" t="str">
        <f>'Support Sheet'!C2</f>
        <v>(i)</v>
      </c>
      <c r="C106" s="98" t="s">
        <v>881</v>
      </c>
      <c r="D106" s="201"/>
      <c r="E106" s="499">
        <f>SUMIFS('Trial Balance'!$D:$D,'Trial Balance'!$F:$F,'PL Notes'!$AA106,'Trial Balance'!$G:$G,'PL Notes'!$AB106,'Trial Balance'!$H:$H,'PL Notes'!$AC106,'Trial Balance'!$I:$I,'PL Notes'!$AD106)/'Support Sheet'!$G$10</f>
        <v>0</v>
      </c>
      <c r="F106" s="500">
        <f>SUMIFS('Trial Balance'!$E:$E,'Trial Balance'!$F:$F,'PL Notes'!$AA106,'Trial Balance'!$G:$G,'PL Notes'!$AB106,'Trial Balance'!$H:$H,'PL Notes'!$AC106,'Trial Balance'!$I:$I,'PL Notes'!$AD106)/'Support Sheet'!$G$10</f>
        <v>0</v>
      </c>
      <c r="AA106" t="s">
        <v>836</v>
      </c>
      <c r="AB106" s="98" t="str">
        <f>C106</f>
        <v>Exceptional Item 1</v>
      </c>
      <c r="AC106">
        <v>0</v>
      </c>
      <c r="AD106">
        <v>0</v>
      </c>
      <c r="AF106" s="98" t="s">
        <v>881</v>
      </c>
    </row>
    <row r="107" spans="2:32" ht="15" thickBot="1">
      <c r="B107" s="671" t="str">
        <f>'Support Sheet'!C3</f>
        <v>(ii)</v>
      </c>
      <c r="C107" s="122" t="s">
        <v>882</v>
      </c>
      <c r="D107" s="740"/>
      <c r="E107" s="499">
        <f>SUMIFS('Trial Balance'!$D:$D,'Trial Balance'!$F:$F,'PL Notes'!$AA107,'Trial Balance'!$G:$G,'PL Notes'!$AB107,'Trial Balance'!$H:$H,'PL Notes'!$AC107,'Trial Balance'!$I:$I,'PL Notes'!$AD107)/'Support Sheet'!$G$10</f>
        <v>0</v>
      </c>
      <c r="F107" s="500">
        <f>SUMIFS('Trial Balance'!$E:$E,'Trial Balance'!$F:$F,'PL Notes'!$AA107,'Trial Balance'!$G:$G,'PL Notes'!$AB107,'Trial Balance'!$H:$H,'PL Notes'!$AC107,'Trial Balance'!$I:$I,'PL Notes'!$AD107)/'Support Sheet'!$G$10</f>
        <v>0</v>
      </c>
      <c r="AA107" t="s">
        <v>836</v>
      </c>
      <c r="AB107" s="98" t="str">
        <f>C107</f>
        <v>Exceptional Item 2</v>
      </c>
      <c r="AC107">
        <v>0</v>
      </c>
      <c r="AD107">
        <v>0</v>
      </c>
      <c r="AF107" s="98" t="s">
        <v>882</v>
      </c>
    </row>
    <row r="108" spans="2:32" ht="15" thickBot="1">
      <c r="B108" s="673"/>
      <c r="C108" s="1053" t="s">
        <v>14</v>
      </c>
      <c r="D108" s="1055"/>
      <c r="E108" s="530">
        <f>SUM(E106:E107)</f>
        <v>0</v>
      </c>
      <c r="F108" s="531">
        <f>SUM(F106:F107)</f>
        <v>0</v>
      </c>
    </row>
    <row r="109" spans="2:32" ht="15" thickBot="1">
      <c r="B109" s="614"/>
      <c r="C109" s="128"/>
      <c r="D109" s="128"/>
      <c r="E109" s="510"/>
      <c r="F109" s="510"/>
    </row>
    <row r="110" spans="2:32">
      <c r="B110" s="1005" t="s">
        <v>927</v>
      </c>
      <c r="C110" s="1006"/>
      <c r="D110" s="205"/>
      <c r="E110" s="186" t="s">
        <v>32</v>
      </c>
      <c r="F110" s="187" t="s">
        <v>32</v>
      </c>
    </row>
    <row r="111" spans="2:32" ht="15" thickBot="1">
      <c r="B111" s="1058"/>
      <c r="C111" s="1059"/>
      <c r="D111" s="206"/>
      <c r="E111" s="607">
        <f>IF('Control Sheet'!$C$7&gt;0,'Control Sheet'!$C$7,'Control Sheet'!$B$7)</f>
        <v>45016</v>
      </c>
      <c r="F111" s="608">
        <f>IF('Control Sheet'!$C$8&gt;0,'Control Sheet'!$C$8,'Control Sheet'!$B$8)</f>
        <v>44651</v>
      </c>
      <c r="AA111" s="227" t="s">
        <v>451</v>
      </c>
      <c r="AB111" s="227" t="s">
        <v>452</v>
      </c>
      <c r="AC111" s="227" t="s">
        <v>453</v>
      </c>
      <c r="AD111" s="227" t="s">
        <v>456</v>
      </c>
    </row>
    <row r="112" spans="2:32">
      <c r="B112" s="671" t="str">
        <f>'Support Sheet'!C2</f>
        <v>(i)</v>
      </c>
      <c r="C112" s="98" t="s">
        <v>883</v>
      </c>
      <c r="D112" s="201"/>
      <c r="E112" s="499">
        <f>SUMIFS('Trial Balance'!$D:$D,'Trial Balance'!$F:$F,'PL Notes'!$AA112,'Trial Balance'!$G:$G,'PL Notes'!$AB112,'Trial Balance'!$H:$H,'PL Notes'!$AC112,'Trial Balance'!$I:$I,'PL Notes'!$AD112)/'Support Sheet'!$G$10</f>
        <v>0</v>
      </c>
      <c r="F112" s="500">
        <f>SUMIFS('Trial Balance'!$E:$E,'Trial Balance'!$F:$F,'PL Notes'!$AA112,'Trial Balance'!$G:$G,'PL Notes'!$AB112,'Trial Balance'!$H:$H,'PL Notes'!$AC112,'Trial Balance'!$I:$I,'PL Notes'!$AD112)/'Support Sheet'!$G$10</f>
        <v>0</v>
      </c>
      <c r="AA112" t="s">
        <v>837</v>
      </c>
      <c r="AB112" s="98" t="str">
        <f>C112</f>
        <v>Extraordinary Item 1</v>
      </c>
      <c r="AC112">
        <v>0</v>
      </c>
      <c r="AD112">
        <v>0</v>
      </c>
      <c r="AF112" s="98" t="s">
        <v>883</v>
      </c>
    </row>
    <row r="113" spans="2:32" ht="15" thickBot="1">
      <c r="B113" s="671" t="str">
        <f>'Support Sheet'!C3</f>
        <v>(ii)</v>
      </c>
      <c r="C113" s="122" t="s">
        <v>884</v>
      </c>
      <c r="D113" s="740"/>
      <c r="E113" s="499">
        <f>SUMIFS('Trial Balance'!$D:$D,'Trial Balance'!$F:$F,'PL Notes'!$AA113,'Trial Balance'!$G:$G,'PL Notes'!$AB113,'Trial Balance'!$H:$H,'PL Notes'!$AC113,'Trial Balance'!$I:$I,'PL Notes'!$AD113)/'Support Sheet'!$G$10</f>
        <v>0</v>
      </c>
      <c r="F113" s="500">
        <f>SUMIFS('Trial Balance'!$E:$E,'Trial Balance'!$F:$F,'PL Notes'!$AA113,'Trial Balance'!$G:$G,'PL Notes'!$AB113,'Trial Balance'!$H:$H,'PL Notes'!$AC113,'Trial Balance'!$I:$I,'PL Notes'!$AD113)/'Support Sheet'!$G$10</f>
        <v>0</v>
      </c>
      <c r="AA113" t="s">
        <v>837</v>
      </c>
      <c r="AB113" s="98" t="str">
        <f>C113</f>
        <v>Extraordinary Item 2</v>
      </c>
      <c r="AC113">
        <v>0</v>
      </c>
      <c r="AD113">
        <v>0</v>
      </c>
      <c r="AF113" s="98" t="s">
        <v>884</v>
      </c>
    </row>
    <row r="114" spans="2:32" ht="15" thickBot="1">
      <c r="B114" s="673"/>
      <c r="C114" s="1053" t="s">
        <v>14</v>
      </c>
      <c r="D114" s="1055"/>
      <c r="E114" s="530">
        <f>SUM(E112:E113)</f>
        <v>0</v>
      </c>
      <c r="F114" s="531">
        <f>SUM(F112:F113)</f>
        <v>0</v>
      </c>
    </row>
    <row r="115" spans="2:32">
      <c r="B115" s="614"/>
      <c r="C115" s="128"/>
      <c r="D115" s="128"/>
      <c r="E115" s="510"/>
      <c r="F115" s="510"/>
    </row>
    <row r="116" spans="2:32" ht="15" thickBot="1">
      <c r="B116" s="614"/>
      <c r="C116" s="194"/>
      <c r="D116" s="194"/>
      <c r="E116" s="549"/>
      <c r="F116" s="549"/>
    </row>
    <row r="117" spans="2:32">
      <c r="B117" s="1005" t="s">
        <v>928</v>
      </c>
      <c r="C117" s="1006"/>
      <c r="D117" s="121"/>
      <c r="E117" s="186" t="s">
        <v>32</v>
      </c>
      <c r="F117" s="187" t="s">
        <v>32</v>
      </c>
    </row>
    <row r="118" spans="2:32" ht="15" thickBot="1">
      <c r="B118" s="1058"/>
      <c r="C118" s="1059"/>
      <c r="D118" s="197"/>
      <c r="E118" s="607">
        <f>IF('Control Sheet'!$C$7&gt;0,'Control Sheet'!$C$7,'Control Sheet'!$B$7)</f>
        <v>45016</v>
      </c>
      <c r="F118" s="608">
        <f>IF('Control Sheet'!$C$8&gt;0,'Control Sheet'!$C$8,'Control Sheet'!$B$8)</f>
        <v>44651</v>
      </c>
      <c r="AA118" s="227" t="s">
        <v>451</v>
      </c>
      <c r="AB118" s="227" t="s">
        <v>452</v>
      </c>
      <c r="AC118" s="227" t="s">
        <v>453</v>
      </c>
      <c r="AD118" s="227" t="s">
        <v>456</v>
      </c>
    </row>
    <row r="119" spans="2:32">
      <c r="B119" s="662"/>
      <c r="C119" s="313" t="s">
        <v>726</v>
      </c>
      <c r="D119" s="201"/>
      <c r="E119" s="499">
        <f>F122</f>
        <v>0</v>
      </c>
      <c r="F119" s="500">
        <f>F122+F121-F120</f>
        <v>0</v>
      </c>
    </row>
    <row r="120" spans="2:32">
      <c r="B120" s="662"/>
      <c r="C120" s="98" t="s">
        <v>732</v>
      </c>
      <c r="D120" s="193"/>
      <c r="E120" s="499">
        <f>SUMIFS('Trial Balance'!$D:$D,'Trial Balance'!$F:$F,'PL Notes'!$AA120,'Trial Balance'!$G:$G,'PL Notes'!$AB120,'Trial Balance'!$H:$H,'PL Notes'!$AC120,'Trial Balance'!$I:$I,'PL Notes'!$AD120)/'Support Sheet'!$G$10</f>
        <v>0</v>
      </c>
      <c r="F120" s="500">
        <f>SUMIFS('Trial Balance'!$E:$E,'Trial Balance'!$F:$F,'PL Notes'!$AA120,'Trial Balance'!$G:$G,'PL Notes'!$AB120,'Trial Balance'!$H:$H,'PL Notes'!$AC120,'Trial Balance'!$I:$I,'PL Notes'!$AD120)/'Support Sheet'!$G$10</f>
        <v>0</v>
      </c>
      <c r="AA120" t="s">
        <v>728</v>
      </c>
      <c r="AB120" t="s">
        <v>729</v>
      </c>
      <c r="AC120">
        <v>0</v>
      </c>
      <c r="AD120">
        <v>0</v>
      </c>
    </row>
    <row r="121" spans="2:32">
      <c r="B121" s="662"/>
      <c r="C121" s="197" t="s">
        <v>730</v>
      </c>
      <c r="D121" s="192"/>
      <c r="E121" s="499">
        <f>SUMIFS('Trial Balance'!$D:$D,'Trial Balance'!$F:$F,'PL Notes'!$AA121,'Trial Balance'!$G:$G,'PL Notes'!$AB121,'Trial Balance'!$H:$H,'PL Notes'!$AC121,'Trial Balance'!$I:$I,'PL Notes'!$AD121)/'Support Sheet'!$G$10</f>
        <v>0</v>
      </c>
      <c r="F121" s="500">
        <f>SUMIFS('Trial Balance'!$E:$E,'Trial Balance'!$F:$F,'PL Notes'!$AA121,'Trial Balance'!$G:$G,'PL Notes'!$AB121,'Trial Balance'!$H:$H,'PL Notes'!$AC121,'Trial Balance'!$I:$I,'PL Notes'!$AD121)/'Support Sheet'!$G$10</f>
        <v>0</v>
      </c>
      <c r="AA121" t="s">
        <v>728</v>
      </c>
      <c r="AB121" t="s">
        <v>731</v>
      </c>
      <c r="AC121">
        <v>0</v>
      </c>
      <c r="AD121">
        <v>0</v>
      </c>
    </row>
    <row r="122" spans="2:32" ht="15" thickBot="1">
      <c r="B122" s="678"/>
      <c r="C122" s="587" t="s">
        <v>727</v>
      </c>
      <c r="D122" s="588"/>
      <c r="E122" s="589">
        <f>SUMIFS('Trial Balance'!$D:$D,'Trial Balance'!$F:$F,'PL Notes'!$AA122,'Trial Balance'!$G:$G,'PL Notes'!$AB122,'Trial Balance'!$H:$H,'PL Notes'!$AC122,'Trial Balance'!$I:$I,'PL Notes'!$AD122)/'Support Sheet'!$G$10</f>
        <v>0</v>
      </c>
      <c r="F122" s="590">
        <f>SUMIFS('Trial Balance'!$E:$E,'Trial Balance'!$F:$F,'PL Notes'!$AA122,'Trial Balance'!$G:$G,'PL Notes'!$AB122,'Trial Balance'!$H:$H,'PL Notes'!$AC122,'Trial Balance'!$I:$I,'PL Notes'!$AD122)/'Support Sheet'!$G$10</f>
        <v>0</v>
      </c>
      <c r="AA122" s="48" t="s">
        <v>101</v>
      </c>
      <c r="AB122" s="48" t="s">
        <v>101</v>
      </c>
      <c r="AC122">
        <v>0</v>
      </c>
      <c r="AD122">
        <v>0</v>
      </c>
    </row>
    <row r="123" spans="2:32" ht="15" thickBot="1">
      <c r="B123" s="614"/>
      <c r="C123" s="194"/>
      <c r="D123" s="194"/>
      <c r="E123" s="549"/>
      <c r="F123" s="549"/>
    </row>
    <row r="124" spans="2:32">
      <c r="B124" s="1005" t="s">
        <v>929</v>
      </c>
      <c r="C124" s="1006"/>
      <c r="D124" s="191"/>
      <c r="E124" s="553" t="s">
        <v>32</v>
      </c>
      <c r="F124" s="554" t="s">
        <v>32</v>
      </c>
    </row>
    <row r="125" spans="2:32" ht="15" thickBot="1">
      <c r="B125" s="1058"/>
      <c r="C125" s="1059"/>
      <c r="D125" s="192"/>
      <c r="E125" s="607">
        <f>IF('Control Sheet'!$C$7&gt;0,'Control Sheet'!$C$7,'Control Sheet'!$B$7)</f>
        <v>45016</v>
      </c>
      <c r="F125" s="608">
        <f>IF('Control Sheet'!$C$8&gt;0,'Control Sheet'!$C$8,'Control Sheet'!$B$8)</f>
        <v>44651</v>
      </c>
    </row>
    <row r="126" spans="2:32">
      <c r="B126" s="662"/>
      <c r="C126" s="313" t="s">
        <v>179</v>
      </c>
      <c r="D126" s="201"/>
      <c r="E126" s="499">
        <f>PL!D38</f>
        <v>-5401.4460999999992</v>
      </c>
      <c r="F126" s="515">
        <f>PL!E38</f>
        <v>-22.740000000000009</v>
      </c>
    </row>
    <row r="127" spans="2:32">
      <c r="B127" s="662"/>
      <c r="C127" s="98" t="s">
        <v>180</v>
      </c>
      <c r="D127" s="193"/>
      <c r="E127" s="499">
        <f>'Share Capital and WIP info'!C46</f>
        <v>1000</v>
      </c>
      <c r="F127" s="515">
        <f>'Share Capital and WIP info'!C47</f>
        <v>1000</v>
      </c>
    </row>
    <row r="128" spans="2:32">
      <c r="B128" s="662"/>
      <c r="C128" s="197"/>
      <c r="D128" s="192"/>
      <c r="E128" s="555"/>
      <c r="F128" s="556"/>
    </row>
    <row r="129" spans="2:6" ht="15" thickBot="1">
      <c r="B129" s="678"/>
      <c r="C129" s="587" t="str">
        <f>CONCATENATE("Earning Per Share (Face Value of Rs. ",'Share Capital and WIP info'!C7," Fully Paid)")</f>
        <v>Earning Per Share (Face Value of Rs. 10 Fully Paid)</v>
      </c>
      <c r="D129" s="122"/>
      <c r="E129" s="501">
        <f>IFERROR((E126*'Support Sheet'!$G$10)/E127,0)</f>
        <v>-540.14460999999983</v>
      </c>
      <c r="F129" s="511">
        <f>IFERROR((F126*'Support Sheet'!$G$10)/F127,0)</f>
        <v>-2.2740000000000009</v>
      </c>
    </row>
  </sheetData>
  <mergeCells count="27">
    <mergeCell ref="C102:D102"/>
    <mergeCell ref="B73:C74"/>
    <mergeCell ref="B81:C82"/>
    <mergeCell ref="B124:C125"/>
    <mergeCell ref="B117:C118"/>
    <mergeCell ref="C78:D78"/>
    <mergeCell ref="B104:C105"/>
    <mergeCell ref="C108:D108"/>
    <mergeCell ref="B110:C111"/>
    <mergeCell ref="C114:D114"/>
    <mergeCell ref="B1:F1"/>
    <mergeCell ref="B2:F2"/>
    <mergeCell ref="B6:F6"/>
    <mergeCell ref="B9:C10"/>
    <mergeCell ref="B18:C19"/>
    <mergeCell ref="C16:D16"/>
    <mergeCell ref="B3:F3"/>
    <mergeCell ref="B4:F4"/>
    <mergeCell ref="C24:D24"/>
    <mergeCell ref="C41:D41"/>
    <mergeCell ref="C46:D46"/>
    <mergeCell ref="C63:D63"/>
    <mergeCell ref="C71:D71"/>
    <mergeCell ref="B26:C27"/>
    <mergeCell ref="B43:C44"/>
    <mergeCell ref="B49:C50"/>
    <mergeCell ref="B65:C66"/>
  </mergeCells>
  <hyperlinks>
    <hyperlink ref="I21" r:id="rId1" display="https://www.mca.gov.in/content/mca/global/en/acts-rules/ebooks/acts.html?act=NTk2MQ==" xr:uid="{7F6A7838-C188-4E46-9BF0-9570C076DB4B}"/>
    <hyperlink ref="I22" r:id="rId2" display="https://www.mca.gov.in/content/mca/global/en/acts-rules/ebooks/acts.html?act=NTk2MQ==" xr:uid="{C7FF4D76-9547-4FA9-8EBA-79A44EAAABB0}"/>
  </hyperlinks>
  <pageMargins left="0.70866141732283472" right="0.70866141732283472" top="0.74803149606299213" bottom="0.74803149606299213" header="0.31496062992125984" footer="0.31496062992125984"/>
  <pageSetup paperSize="9" scale="80" fitToHeight="0" orientation="portrait" verticalDpi="300" r:id="rId3"/>
  <rowBreaks count="2" manualBreakCount="2">
    <brk id="46" min="1" max="5" man="1"/>
    <brk id="78" min="1" max="5" man="1"/>
  </rowBreaks>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4EC09-9EC6-4926-B9E5-DD4610268882}">
  <sheetPr>
    <tabColor theme="1"/>
    <pageSetUpPr fitToPage="1"/>
  </sheetPr>
  <dimension ref="B1:S42"/>
  <sheetViews>
    <sheetView showGridLines="0" topLeftCell="B1" zoomScaleNormal="100" zoomScaleSheetLayoutView="100" workbookViewId="0">
      <selection activeCell="L1" sqref="L1"/>
    </sheetView>
  </sheetViews>
  <sheetFormatPr defaultRowHeight="14.4"/>
  <cols>
    <col min="2" max="2" width="12.6640625" customWidth="1"/>
    <col min="10" max="10" width="45.109375" customWidth="1"/>
    <col min="14" max="14" width="19" customWidth="1"/>
    <col min="15" max="15" width="31.5546875" customWidth="1"/>
    <col min="16" max="16" width="27.44140625" customWidth="1"/>
    <col min="17" max="17" width="15.5546875" customWidth="1"/>
  </cols>
  <sheetData>
    <row r="1" spans="2:14" ht="18">
      <c r="B1" s="1061" t="str">
        <f>IF('Control Sheet'!$C$3&gt;0,'Control Sheet'!$C$3,'Control Sheet'!$B$3)</f>
        <v>Saptaranga Research and Organic Private Limited</v>
      </c>
      <c r="C1" s="1061"/>
      <c r="D1" s="1061"/>
      <c r="E1" s="1061"/>
      <c r="F1" s="1061"/>
      <c r="G1" s="1061"/>
      <c r="H1" s="1061"/>
      <c r="I1" s="1061"/>
      <c r="J1" s="1061"/>
    </row>
    <row r="2" spans="2:14">
      <c r="B2" s="1062" t="str">
        <f>IF('Control Sheet'!$C$4&gt;0,'Control Sheet'!$C$4,'Control Sheet'!$B$4)</f>
        <v xml:space="preserve">Plot No 45, </v>
      </c>
      <c r="C2" s="1062"/>
      <c r="D2" s="1062"/>
      <c r="E2" s="1062"/>
      <c r="F2" s="1062"/>
      <c r="G2" s="1062"/>
      <c r="H2" s="1062"/>
      <c r="I2" s="1062"/>
      <c r="J2" s="1062"/>
    </row>
    <row r="3" spans="2:14">
      <c r="B3" s="1062" t="str">
        <f>IF('Control Sheet'!$C$5&gt;0,'Control Sheet'!$C$5,'Control Sheet'!$B$5)</f>
        <v>Ravindra Nagar P.M.G. Society</v>
      </c>
      <c r="C3" s="1062"/>
      <c r="D3" s="1062"/>
      <c r="E3" s="1062"/>
      <c r="F3" s="1062"/>
      <c r="G3" s="1062"/>
      <c r="H3" s="1062"/>
      <c r="I3" s="1062"/>
      <c r="J3" s="1062"/>
      <c r="L3" s="1060" t="s">
        <v>1002</v>
      </c>
      <c r="M3" s="1060"/>
      <c r="N3" s="1060"/>
    </row>
    <row r="4" spans="2:14" ht="15" customHeight="1">
      <c r="B4" s="1062" t="str">
        <f>IF('Control Sheet'!$C$6&gt;0,'Control Sheet'!$C$6,'Control Sheet'!$B$6)</f>
        <v>Nagpur MH 440022 IN</v>
      </c>
      <c r="C4" s="1062"/>
      <c r="D4" s="1062"/>
      <c r="E4" s="1062"/>
      <c r="F4" s="1062"/>
      <c r="G4" s="1062"/>
      <c r="H4" s="1062"/>
      <c r="I4" s="1062"/>
      <c r="J4" s="1062"/>
      <c r="L4" s="1060"/>
      <c r="M4" s="1060"/>
      <c r="N4" s="1060"/>
    </row>
    <row r="5" spans="2:14" ht="15" thickBot="1">
      <c r="B5" s="227"/>
      <c r="L5" s="1060"/>
      <c r="M5" s="1060"/>
      <c r="N5" s="1060"/>
    </row>
    <row r="6" spans="2:14" ht="15" thickBot="1">
      <c r="B6" s="360" t="s">
        <v>930</v>
      </c>
      <c r="C6" s="361" t="s">
        <v>593</v>
      </c>
      <c r="D6" s="326"/>
      <c r="E6" s="326"/>
      <c r="F6" s="326"/>
      <c r="G6" s="326"/>
      <c r="H6" s="326"/>
      <c r="I6" s="326"/>
      <c r="J6" s="325"/>
      <c r="L6" s="1060"/>
      <c r="M6" s="1060"/>
      <c r="N6" s="1060"/>
    </row>
    <row r="7" spans="2:14" ht="15" thickBot="1">
      <c r="B7" s="362"/>
      <c r="C7" s="363"/>
      <c r="D7" s="363"/>
      <c r="E7" s="363"/>
      <c r="F7" s="363"/>
      <c r="G7" s="363"/>
      <c r="H7" s="363"/>
      <c r="I7" s="363"/>
      <c r="J7" s="342"/>
      <c r="L7" s="1060"/>
      <c r="M7" s="1060"/>
      <c r="N7" s="1060"/>
    </row>
    <row r="8" spans="2:14" ht="15" thickBot="1">
      <c r="B8" s="364" t="str">
        <f>'Support Sheet'!C2</f>
        <v>(i)</v>
      </c>
      <c r="C8" s="227" t="s">
        <v>594</v>
      </c>
      <c r="J8" s="343"/>
      <c r="L8" s="906" t="s">
        <v>1000</v>
      </c>
    </row>
    <row r="9" spans="2:14">
      <c r="B9" s="364"/>
      <c r="C9" s="365" t="s">
        <v>595</v>
      </c>
      <c r="J9" s="343"/>
    </row>
    <row r="10" spans="2:14">
      <c r="B10" s="364"/>
      <c r="C10" s="365" t="s">
        <v>596</v>
      </c>
      <c r="J10" s="343"/>
    </row>
    <row r="11" spans="2:14" ht="15" thickBot="1">
      <c r="B11" s="364"/>
      <c r="C11" s="365"/>
      <c r="J11" s="343"/>
    </row>
    <row r="12" spans="2:14" ht="15" thickBot="1">
      <c r="B12" s="364" t="s">
        <v>597</v>
      </c>
      <c r="C12" s="227" t="s">
        <v>598</v>
      </c>
      <c r="J12" s="343"/>
      <c r="L12" s="906" t="s">
        <v>1000</v>
      </c>
    </row>
    <row r="13" spans="2:14">
      <c r="B13" s="364"/>
      <c r="C13" s="365" t="s">
        <v>599</v>
      </c>
      <c r="J13" s="343"/>
    </row>
    <row r="14" spans="2:14" ht="15" thickBot="1">
      <c r="B14" s="364"/>
      <c r="C14" s="365"/>
      <c r="J14" s="343"/>
    </row>
    <row r="15" spans="2:14" ht="15" thickBot="1">
      <c r="B15" s="364" t="s">
        <v>600</v>
      </c>
      <c r="C15" s="366" t="s">
        <v>601</v>
      </c>
      <c r="J15" s="343"/>
      <c r="L15" s="906" t="s">
        <v>1000</v>
      </c>
    </row>
    <row r="16" spans="2:14">
      <c r="B16" s="364"/>
      <c r="C16" s="365" t="s">
        <v>602</v>
      </c>
      <c r="J16" s="343"/>
    </row>
    <row r="17" spans="2:19">
      <c r="B17" s="364"/>
      <c r="C17" s="365" t="s">
        <v>603</v>
      </c>
      <c r="J17" s="343"/>
    </row>
    <row r="18" spans="2:19" ht="15" thickBot="1">
      <c r="B18" s="364"/>
      <c r="C18" s="365"/>
      <c r="J18" s="343"/>
    </row>
    <row r="19" spans="2:19" ht="15" thickBot="1">
      <c r="B19" s="364" t="s">
        <v>723</v>
      </c>
      <c r="C19" s="366" t="s">
        <v>609</v>
      </c>
      <c r="J19" s="343"/>
      <c r="L19" s="906" t="s">
        <v>1000</v>
      </c>
    </row>
    <row r="20" spans="2:19">
      <c r="B20" s="364"/>
      <c r="C20" s="365" t="s">
        <v>610</v>
      </c>
      <c r="J20" s="343"/>
    </row>
    <row r="21" spans="2:19">
      <c r="B21" s="364"/>
      <c r="C21" s="365" t="s">
        <v>611</v>
      </c>
      <c r="J21" s="343"/>
    </row>
    <row r="22" spans="2:19" ht="15" thickBot="1">
      <c r="B22" s="364"/>
      <c r="C22" s="365"/>
      <c r="J22" s="343"/>
    </row>
    <row r="23" spans="2:19" ht="15" thickBot="1">
      <c r="B23" s="364" t="s">
        <v>724</v>
      </c>
      <c r="C23" s="366" t="s">
        <v>613</v>
      </c>
      <c r="J23" s="343"/>
      <c r="L23" s="906" t="s">
        <v>1000</v>
      </c>
    </row>
    <row r="24" spans="2:19">
      <c r="B24" s="364"/>
      <c r="C24" s="365" t="s">
        <v>625</v>
      </c>
      <c r="J24" s="343"/>
    </row>
    <row r="25" spans="2:19" ht="15" thickBot="1">
      <c r="B25" s="364"/>
      <c r="C25" s="365"/>
      <c r="J25" s="343"/>
    </row>
    <row r="26" spans="2:19" ht="15" thickBot="1">
      <c r="B26" s="364" t="s">
        <v>608</v>
      </c>
      <c r="C26" s="227" t="s">
        <v>615</v>
      </c>
      <c r="J26" s="343"/>
      <c r="L26" s="906" t="s">
        <v>1000</v>
      </c>
    </row>
    <row r="27" spans="2:19">
      <c r="B27" s="364"/>
      <c r="C27" s="365" t="s">
        <v>616</v>
      </c>
      <c r="J27" s="343"/>
    </row>
    <row r="28" spans="2:19">
      <c r="B28" s="364"/>
      <c r="C28" s="365" t="s">
        <v>617</v>
      </c>
      <c r="J28" s="343"/>
    </row>
    <row r="29" spans="2:19" ht="15" thickBot="1">
      <c r="B29" s="364"/>
      <c r="J29" s="343"/>
    </row>
    <row r="30" spans="2:19" ht="15" thickBot="1">
      <c r="B30" s="364" t="s">
        <v>612</v>
      </c>
      <c r="C30" s="227" t="s">
        <v>619</v>
      </c>
      <c r="J30" s="343"/>
      <c r="L30" s="906" t="s">
        <v>1000</v>
      </c>
      <c r="N30" s="227" t="s">
        <v>619</v>
      </c>
    </row>
    <row r="31" spans="2:19" ht="15" thickBot="1">
      <c r="B31" s="364"/>
      <c r="C31" s="365" t="s">
        <v>620</v>
      </c>
      <c r="J31" s="343"/>
    </row>
    <row r="32" spans="2:19" ht="18" customHeight="1" thickBot="1">
      <c r="B32" s="364"/>
      <c r="C32" s="365" t="s">
        <v>621</v>
      </c>
      <c r="J32" s="343"/>
      <c r="N32" s="419" t="s">
        <v>714</v>
      </c>
      <c r="O32" s="420" t="s">
        <v>715</v>
      </c>
      <c r="P32" s="420" t="s">
        <v>716</v>
      </c>
      <c r="Q32" s="421" t="s">
        <v>717</v>
      </c>
      <c r="S32" s="406"/>
    </row>
    <row r="33" spans="2:17" ht="18" customHeight="1">
      <c r="B33" s="208"/>
      <c r="C33" s="365" t="s">
        <v>622</v>
      </c>
      <c r="J33" s="343"/>
      <c r="N33" s="407"/>
      <c r="O33" s="408" t="s">
        <v>718</v>
      </c>
      <c r="P33" s="409"/>
      <c r="Q33" s="410"/>
    </row>
    <row r="34" spans="2:17" ht="15" thickBot="1">
      <c r="B34" s="364"/>
      <c r="J34" s="343"/>
      <c r="N34" s="411"/>
      <c r="O34" s="412" t="s">
        <v>719</v>
      </c>
      <c r="P34" s="413"/>
      <c r="Q34" s="414"/>
    </row>
    <row r="35" spans="2:17" ht="15" thickBot="1">
      <c r="B35" s="364" t="s">
        <v>614</v>
      </c>
      <c r="C35" s="366" t="s">
        <v>623</v>
      </c>
      <c r="J35" s="343"/>
      <c r="L35" s="906" t="s">
        <v>1000</v>
      </c>
      <c r="N35" s="411"/>
      <c r="O35" s="412" t="s">
        <v>720</v>
      </c>
      <c r="P35" s="413"/>
      <c r="Q35" s="414"/>
    </row>
    <row r="36" spans="2:17" ht="19.5" customHeight="1">
      <c r="B36" s="364"/>
      <c r="C36" s="365" t="s">
        <v>626</v>
      </c>
      <c r="J36" s="343"/>
      <c r="N36" s="411"/>
      <c r="O36" s="412" t="s">
        <v>721</v>
      </c>
      <c r="P36" s="413"/>
      <c r="Q36" s="414"/>
    </row>
    <row r="37" spans="2:17" ht="16.5" customHeight="1" thickBot="1">
      <c r="B37" s="208"/>
      <c r="C37" t="s">
        <v>627</v>
      </c>
      <c r="J37" s="343"/>
      <c r="N37" s="415"/>
      <c r="O37" s="416" t="s">
        <v>722</v>
      </c>
      <c r="P37" s="417"/>
      <c r="Q37" s="418"/>
    </row>
    <row r="38" spans="2:17" ht="15" thickBot="1">
      <c r="B38" s="367"/>
      <c r="J38" s="343"/>
    </row>
    <row r="39" spans="2:17" ht="15" thickBot="1">
      <c r="B39" s="364" t="s">
        <v>618</v>
      </c>
      <c r="C39" s="366" t="s">
        <v>624</v>
      </c>
      <c r="J39" s="343"/>
      <c r="L39" s="906" t="s">
        <v>1000</v>
      </c>
    </row>
    <row r="40" spans="2:17">
      <c r="B40" s="367"/>
      <c r="C40" t="s">
        <v>628</v>
      </c>
      <c r="J40" s="343"/>
    </row>
    <row r="41" spans="2:17">
      <c r="B41" s="367"/>
      <c r="C41" t="s">
        <v>629</v>
      </c>
      <c r="J41" s="343"/>
    </row>
    <row r="42" spans="2:17" ht="15" thickBot="1">
      <c r="B42" s="368"/>
      <c r="C42" s="324"/>
      <c r="D42" s="324"/>
      <c r="E42" s="324"/>
      <c r="F42" s="324"/>
      <c r="G42" s="324"/>
      <c r="H42" s="324"/>
      <c r="I42" s="324"/>
      <c r="J42" s="344"/>
    </row>
  </sheetData>
  <mergeCells count="5">
    <mergeCell ref="L3:N7"/>
    <mergeCell ref="B1:J1"/>
    <mergeCell ref="B2:J2"/>
    <mergeCell ref="B3:J3"/>
    <mergeCell ref="B4:J4"/>
  </mergeCells>
  <conditionalFormatting sqref="L8">
    <cfRule type="cellIs" dxfId="18" priority="17" operator="equal">
      <formula>"No"</formula>
    </cfRule>
    <cfRule type="cellIs" dxfId="17" priority="18" operator="equal">
      <formula>"Yes"</formula>
    </cfRule>
  </conditionalFormatting>
  <conditionalFormatting sqref="L12">
    <cfRule type="cellIs" dxfId="16" priority="15" operator="equal">
      <formula>"No"</formula>
    </cfRule>
    <cfRule type="cellIs" dxfId="15" priority="16" operator="equal">
      <formula>"Yes"</formula>
    </cfRule>
  </conditionalFormatting>
  <conditionalFormatting sqref="L15">
    <cfRule type="cellIs" dxfId="14" priority="13" operator="equal">
      <formula>"No"</formula>
    </cfRule>
    <cfRule type="cellIs" dxfId="13" priority="14" operator="equal">
      <formula>"Yes"</formula>
    </cfRule>
  </conditionalFormatting>
  <conditionalFormatting sqref="L19">
    <cfRule type="cellIs" dxfId="12" priority="11" operator="equal">
      <formula>"No"</formula>
    </cfRule>
    <cfRule type="cellIs" dxfId="11" priority="12" operator="equal">
      <formula>"Yes"</formula>
    </cfRule>
  </conditionalFormatting>
  <conditionalFormatting sqref="L23">
    <cfRule type="cellIs" dxfId="10" priority="9" operator="equal">
      <formula>"No"</formula>
    </cfRule>
    <cfRule type="cellIs" dxfId="9" priority="10" operator="equal">
      <formula>"Yes"</formula>
    </cfRule>
  </conditionalFormatting>
  <conditionalFormatting sqref="L26">
    <cfRule type="cellIs" dxfId="8" priority="7" operator="equal">
      <formula>"No"</formula>
    </cfRule>
    <cfRule type="cellIs" dxfId="7" priority="8" operator="equal">
      <formula>"Yes"</formula>
    </cfRule>
  </conditionalFormatting>
  <conditionalFormatting sqref="L30">
    <cfRule type="cellIs" dxfId="6" priority="5" operator="equal">
      <formula>"No"</formula>
    </cfRule>
    <cfRule type="cellIs" dxfId="5" priority="6" operator="equal">
      <formula>"Yes"</formula>
    </cfRule>
  </conditionalFormatting>
  <conditionalFormatting sqref="L35">
    <cfRule type="cellIs" dxfId="4" priority="3" operator="equal">
      <formula>"No"</formula>
    </cfRule>
    <cfRule type="cellIs" dxfId="3" priority="4" operator="equal">
      <formula>"Yes"</formula>
    </cfRule>
  </conditionalFormatting>
  <conditionalFormatting sqref="L39">
    <cfRule type="cellIs" dxfId="2" priority="1" operator="equal">
      <formula>"No"</formula>
    </cfRule>
    <cfRule type="cellIs" dxfId="1" priority="2" operator="equal">
      <formula>"Yes"</formula>
    </cfRule>
  </conditionalFormatting>
  <pageMargins left="0.7" right="0.7" top="0.75" bottom="0.75" header="0.3" footer="0.3"/>
  <pageSetup scale="74" fitToHeight="0"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4982340-2A43-4C53-B292-4B04CBD37023}">
          <x14:formula1>
            <xm:f>'Support Sheet'!$E$15:$E$16</xm:f>
          </x14:formula1>
          <xm:sqref>L8 L35 L12 L15 L19 L23 L26 L30 L39</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8ADDC-D8CC-4D68-AC56-487C96554F65}">
  <sheetPr>
    <tabColor theme="1"/>
    <pageSetUpPr fitToPage="1"/>
  </sheetPr>
  <dimension ref="A1:I63"/>
  <sheetViews>
    <sheetView view="pageBreakPreview" topLeftCell="A38" zoomScaleNormal="100" zoomScaleSheetLayoutView="100" workbookViewId="0">
      <selection activeCell="I46" sqref="I46"/>
    </sheetView>
  </sheetViews>
  <sheetFormatPr defaultColWidth="25.88671875" defaultRowHeight="14.4"/>
  <cols>
    <col min="1" max="1" width="10" style="212" customWidth="1"/>
    <col min="2" max="2" width="25.88671875" style="212"/>
    <col min="3" max="3" width="21.88671875" style="212" customWidth="1"/>
    <col min="4" max="4" width="22.44140625" style="212" customWidth="1"/>
    <col min="5" max="5" width="23.88671875" style="212" customWidth="1"/>
    <col min="6" max="6" width="16" customWidth="1"/>
    <col min="7" max="7" width="15.44140625" style="577" customWidth="1"/>
    <col min="8" max="8" width="16.6640625" style="577" customWidth="1"/>
    <col min="9" max="16384" width="25.88671875" style="212"/>
  </cols>
  <sheetData>
    <row r="1" spans="1:9">
      <c r="G1" s="212"/>
      <c r="H1" s="212"/>
    </row>
    <row r="2" spans="1:9" ht="15" customHeight="1">
      <c r="A2" s="1061" t="str">
        <f>IF('Control Sheet'!$C$3&gt;0,'Control Sheet'!$C$3,'Control Sheet'!$B$3)</f>
        <v>Saptaranga Research and Organic Private Limited</v>
      </c>
      <c r="B2" s="1061"/>
      <c r="C2" s="1061"/>
      <c r="D2" s="1061"/>
      <c r="E2" s="1061"/>
      <c r="F2" s="1061"/>
      <c r="G2" s="1061"/>
      <c r="H2" s="1061"/>
      <c r="I2" s="1061"/>
    </row>
    <row r="3" spans="1:9" ht="15" customHeight="1">
      <c r="A3" s="1062" t="str">
        <f>IF('Control Sheet'!$C$4&gt;0,'Control Sheet'!$C$4,'Control Sheet'!$B$4)</f>
        <v xml:space="preserve">Plot No 45, </v>
      </c>
      <c r="B3" s="1062"/>
      <c r="C3" s="1062"/>
      <c r="D3" s="1062"/>
      <c r="E3" s="1062"/>
      <c r="F3" s="1062"/>
      <c r="G3" s="1062"/>
      <c r="H3" s="1062"/>
      <c r="I3" s="1062"/>
    </row>
    <row r="4" spans="1:9" ht="15" customHeight="1">
      <c r="A4" s="1062" t="str">
        <f>IF('Control Sheet'!$C$5&gt;0,'Control Sheet'!$C$5,'Control Sheet'!$B$5)</f>
        <v>Ravindra Nagar P.M.G. Society</v>
      </c>
      <c r="B4" s="1062"/>
      <c r="C4" s="1062"/>
      <c r="D4" s="1062"/>
      <c r="E4" s="1062"/>
      <c r="F4" s="1062"/>
      <c r="G4" s="1062"/>
      <c r="H4" s="1062"/>
      <c r="I4" s="1062"/>
    </row>
    <row r="5" spans="1:9" ht="15" customHeight="1">
      <c r="A5" s="1062" t="str">
        <f>IF('Control Sheet'!$C$6&gt;0,'Control Sheet'!$C$6,'Control Sheet'!$B$6)</f>
        <v>Nagpur MH 440022 IN</v>
      </c>
      <c r="B5" s="1062"/>
      <c r="C5" s="1062"/>
      <c r="D5" s="1062"/>
      <c r="E5" s="1062"/>
      <c r="F5" s="1062"/>
      <c r="G5" s="1062"/>
      <c r="H5" s="1062"/>
      <c r="I5" s="1062"/>
    </row>
    <row r="6" spans="1:9" ht="15" customHeight="1">
      <c r="A6" s="104"/>
      <c r="B6" s="104"/>
      <c r="C6" s="104"/>
      <c r="D6" s="104"/>
      <c r="E6" s="104"/>
      <c r="F6" s="104"/>
      <c r="G6" s="104"/>
      <c r="H6" s="104"/>
      <c r="I6" s="104"/>
    </row>
    <row r="7" spans="1:9" ht="15" customHeight="1">
      <c r="A7" s="227" t="s">
        <v>987</v>
      </c>
      <c r="B7" s="1067" t="s">
        <v>988</v>
      </c>
      <c r="C7" s="1067"/>
      <c r="D7" s="1067"/>
      <c r="E7" s="1067"/>
      <c r="F7" s="1067"/>
      <c r="G7" s="1067"/>
      <c r="H7" s="1067"/>
      <c r="I7" s="1067"/>
    </row>
    <row r="8" spans="1:9" ht="15" customHeight="1">
      <c r="A8" s="397"/>
      <c r="B8" s="397"/>
      <c r="C8" s="397"/>
      <c r="D8" s="397"/>
      <c r="E8" s="397"/>
      <c r="F8" s="397"/>
      <c r="G8" s="397"/>
      <c r="H8" s="397"/>
    </row>
    <row r="9" spans="1:9">
      <c r="A9" s="870" t="s">
        <v>63</v>
      </c>
      <c r="B9" s="870" t="s">
        <v>631</v>
      </c>
      <c r="G9" s="212"/>
      <c r="H9" s="212"/>
    </row>
    <row r="10" spans="1:9" ht="15" thickBot="1">
      <c r="A10" s="846"/>
      <c r="B10" s="846"/>
      <c r="G10" s="212"/>
      <c r="H10" s="212"/>
    </row>
    <row r="11" spans="1:9" ht="15" thickBot="1">
      <c r="A11" s="841" t="s">
        <v>630</v>
      </c>
      <c r="B11" s="842" t="s">
        <v>976</v>
      </c>
      <c r="C11" s="842" t="s">
        <v>632</v>
      </c>
      <c r="D11" s="842" t="str">
        <f>IF('Control Sheet'!$D$18="Specify in Cell E16",'Support Sheet'!$G$10,'Control Sheet'!$C$18)</f>
        <v>In Rs. hundreds</v>
      </c>
      <c r="E11" s="842" t="s">
        <v>669</v>
      </c>
      <c r="F11" s="842" t="str">
        <f>IF('Control Sheet'!$D$18="Specify in Cell E16",'Support Sheet'!$G$10,'Control Sheet'!$C$18)</f>
        <v>In Rs. hundreds</v>
      </c>
      <c r="G11" s="843">
        <v>45016</v>
      </c>
      <c r="H11" s="844">
        <v>44651</v>
      </c>
      <c r="I11" s="845" t="s">
        <v>975</v>
      </c>
    </row>
    <row r="12" spans="1:9">
      <c r="A12" s="386"/>
      <c r="B12" s="390"/>
      <c r="C12" s="390"/>
      <c r="D12" s="391"/>
      <c r="E12" s="390"/>
      <c r="F12" s="387"/>
      <c r="G12" s="391"/>
      <c r="H12" s="829"/>
      <c r="I12" s="837"/>
    </row>
    <row r="13" spans="1:9">
      <c r="A13" s="386">
        <v>1</v>
      </c>
      <c r="B13" s="369" t="s">
        <v>633</v>
      </c>
      <c r="C13" s="370" t="s">
        <v>634</v>
      </c>
      <c r="D13" s="371"/>
      <c r="E13" s="370" t="s">
        <v>635</v>
      </c>
      <c r="F13" s="384"/>
      <c r="G13" s="372"/>
      <c r="H13" s="830"/>
      <c r="I13" s="837"/>
    </row>
    <row r="14" spans="1:9">
      <c r="A14" s="386"/>
      <c r="B14" s="377"/>
      <c r="C14" s="373" t="s">
        <v>670</v>
      </c>
      <c r="D14" s="393">
        <f>SUM(BS!E48:E53)</f>
        <v>7484.7568000000001</v>
      </c>
      <c r="E14" s="375" t="s">
        <v>671</v>
      </c>
      <c r="F14" s="394">
        <f>SUM(BS!F48:F53)</f>
        <v>172.26</v>
      </c>
      <c r="G14" s="571">
        <f>IFERROR(D14/F14,0)</f>
        <v>43.450347149657496</v>
      </c>
      <c r="H14" s="831">
        <f>IFERROR(SUM(BS!F48:F53)/SUM(BS!F27:F32),0)</f>
        <v>1.8132631578947367</v>
      </c>
      <c r="I14" s="572">
        <f>IFERROR((G14-H14)/H14,0)</f>
        <v>22.962515843593767</v>
      </c>
    </row>
    <row r="15" spans="1:9">
      <c r="A15" s="386"/>
      <c r="B15" s="377"/>
      <c r="C15" s="373"/>
      <c r="D15" s="374"/>
      <c r="E15" s="375"/>
      <c r="F15" s="385"/>
      <c r="G15" s="573"/>
      <c r="H15" s="832"/>
      <c r="I15" s="837"/>
    </row>
    <row r="16" spans="1:9">
      <c r="A16" s="386">
        <v>2</v>
      </c>
      <c r="B16" s="369" t="s">
        <v>672</v>
      </c>
      <c r="C16" s="370" t="s">
        <v>636</v>
      </c>
      <c r="D16" s="378"/>
      <c r="E16" s="379" t="s">
        <v>673</v>
      </c>
      <c r="F16" s="385"/>
      <c r="G16" s="573"/>
      <c r="H16" s="832"/>
      <c r="I16" s="837"/>
    </row>
    <row r="17" spans="1:9">
      <c r="A17" s="386"/>
      <c r="B17" s="369"/>
      <c r="C17" s="373" t="s">
        <v>674</v>
      </c>
      <c r="D17" s="378">
        <f>BS!E33-SUM(BS!E14:E16)</f>
        <v>12990.755099999998</v>
      </c>
      <c r="E17" s="375" t="s">
        <v>675</v>
      </c>
      <c r="F17" s="388">
        <f>SUM(BS!E14:E16)</f>
        <v>-5324.186099999999</v>
      </c>
      <c r="G17" s="571">
        <f>IFERROR(D17/F17,0)</f>
        <v>-2.4399513570722107</v>
      </c>
      <c r="H17" s="831">
        <f>IFERROR(((BS!F33-SUM(BS!F14:F16))/SUM(BS!F14:F16)),0)</f>
        <v>1.2296142894123741</v>
      </c>
      <c r="I17" s="572">
        <f>IFERROR((G17-H17)/H17,0)</f>
        <v>-2.9843225457620943</v>
      </c>
    </row>
    <row r="18" spans="1:9">
      <c r="A18" s="386"/>
      <c r="B18" s="369"/>
      <c r="C18" s="373"/>
      <c r="D18" s="374"/>
      <c r="E18" s="375"/>
      <c r="F18" s="385"/>
      <c r="G18" s="573"/>
      <c r="H18" s="832"/>
      <c r="I18" s="837"/>
    </row>
    <row r="19" spans="1:9">
      <c r="A19" s="386"/>
      <c r="B19" s="369"/>
      <c r="C19" s="373"/>
      <c r="D19" s="374"/>
      <c r="E19" s="375"/>
      <c r="F19" s="385"/>
      <c r="G19" s="573"/>
      <c r="H19" s="832"/>
      <c r="I19" s="837"/>
    </row>
    <row r="20" spans="1:9">
      <c r="A20" s="386">
        <v>3</v>
      </c>
      <c r="B20" s="369" t="s">
        <v>676</v>
      </c>
      <c r="C20" s="370" t="s">
        <v>637</v>
      </c>
      <c r="D20" s="378"/>
      <c r="E20" s="379" t="s">
        <v>677</v>
      </c>
      <c r="F20" s="388"/>
      <c r="G20" s="573"/>
      <c r="H20" s="832"/>
      <c r="I20" s="837"/>
    </row>
    <row r="21" spans="1:9" ht="100.8">
      <c r="A21" s="386"/>
      <c r="B21" s="369" t="s">
        <v>678</v>
      </c>
      <c r="C21" s="373" t="s">
        <v>679</v>
      </c>
      <c r="D21" s="374">
        <f>PL!D38+PL!D37+PL!D31+PL!D29+PL!D23+PL!D24</f>
        <v>-5344.0038999999988</v>
      </c>
      <c r="E21" s="375" t="s">
        <v>810</v>
      </c>
      <c r="F21" s="385">
        <f>BS!E27+PL!D23</f>
        <v>236.44220000000001</v>
      </c>
      <c r="G21" s="571">
        <f>IFERROR(D21/F21,0)</f>
        <v>-22.60173480030214</v>
      </c>
      <c r="H21" s="831">
        <f>IFERROR((PL!E38+PL!E37+PL!E31+PL!E29+PL!E24+PL!E23)/(BS!F27+PL!E23),0)</f>
        <v>0</v>
      </c>
      <c r="I21" s="572">
        <f>IFERROR((G21-H21)/H21,0)</f>
        <v>0</v>
      </c>
    </row>
    <row r="22" spans="1:9">
      <c r="A22" s="386"/>
      <c r="B22" s="369"/>
      <c r="C22" s="373"/>
      <c r="D22" s="374"/>
      <c r="E22" s="375"/>
      <c r="F22" s="385"/>
      <c r="G22" s="573"/>
      <c r="H22" s="832"/>
      <c r="I22" s="837"/>
    </row>
    <row r="23" spans="1:9">
      <c r="A23" s="386">
        <v>4</v>
      </c>
      <c r="B23" s="1065" t="s">
        <v>638</v>
      </c>
      <c r="C23" s="370" t="s">
        <v>680</v>
      </c>
      <c r="D23" s="378"/>
      <c r="E23" s="379" t="s">
        <v>681</v>
      </c>
      <c r="F23" s="385"/>
      <c r="G23" s="573"/>
      <c r="H23" s="832"/>
      <c r="I23" s="837"/>
    </row>
    <row r="24" spans="1:9" ht="43.2">
      <c r="A24" s="386"/>
      <c r="B24" s="1065"/>
      <c r="C24" s="373" t="s">
        <v>682</v>
      </c>
      <c r="D24" s="374">
        <f>PL!D38</f>
        <v>-5401.4460999999992</v>
      </c>
      <c r="E24" s="375" t="s">
        <v>639</v>
      </c>
      <c r="F24" s="385">
        <f>(BS!E14+BS!E15+BS!F14+BS!F15)/2</f>
        <v>-2623.4630499999994</v>
      </c>
      <c r="G24" s="571">
        <f>IFERROR(D24/F24,0)</f>
        <v>2.0588992476947601</v>
      </c>
      <c r="H24" s="831">
        <f>IFERROR(PL!E43/((BS!F14+BS!F15+'Share Capital and WIP info'!D90)/2),0)</f>
        <v>-0.58866166192078728</v>
      </c>
      <c r="I24" s="572">
        <f>IFERROR((G24-H24)/H24,0)</f>
        <v>-4.4975935768886774</v>
      </c>
    </row>
    <row r="25" spans="1:9">
      <c r="A25" s="386"/>
      <c r="B25" s="369"/>
      <c r="C25" s="373"/>
      <c r="D25" s="374"/>
      <c r="E25" s="375"/>
      <c r="F25" s="385"/>
      <c r="G25" s="573"/>
      <c r="H25" s="832"/>
      <c r="I25" s="837"/>
    </row>
    <row r="26" spans="1:9">
      <c r="A26" s="386">
        <v>5</v>
      </c>
      <c r="B26" s="1065" t="s">
        <v>640</v>
      </c>
      <c r="C26" s="370" t="s">
        <v>641</v>
      </c>
      <c r="D26" s="378"/>
      <c r="E26" s="379" t="s">
        <v>642</v>
      </c>
      <c r="F26" s="385"/>
      <c r="G26" s="573"/>
      <c r="H26" s="832"/>
      <c r="I26" s="837"/>
    </row>
    <row r="27" spans="1:9" ht="43.2">
      <c r="A27" s="386"/>
      <c r="B27" s="1065"/>
      <c r="C27" s="373" t="s">
        <v>643</v>
      </c>
      <c r="D27" s="374">
        <f>('PL Notes'!E32)+('PL Notes'!E39)+('PL Notes'!E54)+('PL Notes'!E58)+('PL Notes'!E62)+('PL Notes'!E45)</f>
        <v>0</v>
      </c>
      <c r="E27" s="375" t="s">
        <v>644</v>
      </c>
      <c r="F27" s="385">
        <f>('PL Notes'!E29+'PL Notes'!E32+'PL Notes'!E35+'PL Notes'!E38+'PL Notes'!E52+'PL Notes'!E53+'PL Notes'!E56+'PL Notes'!E57+'PL Notes'!E60+'PL Notes'!E61)/2</f>
        <v>0</v>
      </c>
      <c r="G27" s="571">
        <f>IFERROR(D27/F27,0)</f>
        <v>0</v>
      </c>
      <c r="H27" s="831">
        <f>IFERROR((('PL Notes'!F32)+('PL Notes'!F39)+('PL Notes'!F54)+('PL Notes'!F58)+('PL Notes'!F62)+('PL Notes'!F45))/(('PL Notes'!F29+'PL Notes'!F32+'PL Notes'!F35+'PL Notes'!F38+'PL Notes'!F52+'PL Notes'!F53+'PL Notes'!F56+'PL Notes'!F57+'PL Notes'!F60+'PL Notes'!F61)/2),0)</f>
        <v>0</v>
      </c>
      <c r="I27" s="572">
        <f>IFERROR((G27-H27)/H27,0)</f>
        <v>0</v>
      </c>
    </row>
    <row r="28" spans="1:9">
      <c r="A28" s="386"/>
      <c r="B28" s="369"/>
      <c r="C28" s="373"/>
      <c r="D28" s="374"/>
      <c r="E28" s="375"/>
      <c r="F28" s="385"/>
      <c r="G28" s="573"/>
      <c r="H28" s="832"/>
      <c r="I28" s="837"/>
    </row>
    <row r="29" spans="1:9">
      <c r="A29" s="386"/>
      <c r="B29" s="369"/>
      <c r="C29" s="373"/>
      <c r="D29" s="374"/>
      <c r="E29" s="375"/>
      <c r="F29" s="385"/>
      <c r="G29" s="573"/>
      <c r="H29" s="832"/>
      <c r="I29" s="837"/>
    </row>
    <row r="30" spans="1:9">
      <c r="A30" s="386">
        <v>6</v>
      </c>
      <c r="B30" s="1065" t="s">
        <v>645</v>
      </c>
      <c r="C30" s="370" t="s">
        <v>646</v>
      </c>
      <c r="D30" s="378"/>
      <c r="E30" s="379" t="s">
        <v>647</v>
      </c>
      <c r="F30" s="385"/>
      <c r="G30" s="573"/>
      <c r="H30" s="832"/>
      <c r="I30" s="837"/>
    </row>
    <row r="31" spans="1:9" ht="43.2">
      <c r="A31" s="386"/>
      <c r="B31" s="1065"/>
      <c r="C31" s="373" t="s">
        <v>648</v>
      </c>
      <c r="D31" s="374">
        <f>PL!D11</f>
        <v>3725.1448</v>
      </c>
      <c r="E31" s="375" t="s">
        <v>649</v>
      </c>
      <c r="F31" s="385">
        <f>(BS!E50+BS!F50)/2</f>
        <v>0</v>
      </c>
      <c r="G31" s="571">
        <f>IFERROR(D31/F31,0)</f>
        <v>0</v>
      </c>
      <c r="H31" s="831">
        <f>IFERROR(PL!E11/(('BS Notes '!I53+'Share Capital and WIP info'!D92)/2),0)</f>
        <v>0</v>
      </c>
      <c r="I31" s="572">
        <f>IFERROR((G31-H31)/H31,0)</f>
        <v>0</v>
      </c>
    </row>
    <row r="32" spans="1:9">
      <c r="A32" s="386"/>
      <c r="B32" s="380"/>
      <c r="C32" s="373"/>
      <c r="D32" s="374"/>
      <c r="E32" s="375"/>
      <c r="F32" s="385"/>
      <c r="G32" s="571"/>
      <c r="H32" s="831"/>
      <c r="I32" s="837"/>
    </row>
    <row r="33" spans="1:9">
      <c r="A33" s="386">
        <v>7</v>
      </c>
      <c r="B33" s="1065" t="s">
        <v>650</v>
      </c>
      <c r="C33" s="370" t="s">
        <v>651</v>
      </c>
      <c r="D33" s="378"/>
      <c r="E33" s="379" t="s">
        <v>652</v>
      </c>
      <c r="F33" s="385"/>
      <c r="G33" s="573"/>
      <c r="H33" s="832"/>
      <c r="I33" s="837"/>
    </row>
    <row r="34" spans="1:9" ht="28.8">
      <c r="A34" s="386"/>
      <c r="B34" s="1065"/>
      <c r="C34" s="373" t="s">
        <v>653</v>
      </c>
      <c r="D34" s="374">
        <f>'PL Notes'!E45+'PL Notes'!E36+'PL Notes'!E30</f>
        <v>1766.4185</v>
      </c>
      <c r="E34" s="375" t="s">
        <v>654</v>
      </c>
      <c r="F34" s="385">
        <f>(BS!E29+BS!E30+BS!F29+BS!F30)/2</f>
        <v>76.931550000000001</v>
      </c>
      <c r="G34" s="571">
        <f>IFERROR(D34/F34,0)</f>
        <v>22.960911355614179</v>
      </c>
      <c r="H34" s="831">
        <f>IFERROR(('PL Notes'!F45+'PL Notes'!F30+'PL Notes'!F36)/(('BS Notes'!H88+'Share Capital and WIP info'!D93)/2),0)</f>
        <v>2</v>
      </c>
      <c r="I34" s="572">
        <f>IFERROR((G34-H34)/H34,0)</f>
        <v>10.48045567780709</v>
      </c>
    </row>
    <row r="35" spans="1:9">
      <c r="A35" s="386"/>
      <c r="B35" s="369"/>
      <c r="C35" s="373"/>
      <c r="D35" s="378"/>
      <c r="E35" s="375"/>
      <c r="F35" s="385"/>
      <c r="G35" s="573"/>
      <c r="H35" s="832"/>
      <c r="I35" s="837"/>
    </row>
    <row r="36" spans="1:9">
      <c r="A36" s="386"/>
      <c r="B36" s="369"/>
      <c r="C36" s="373"/>
      <c r="D36" s="374"/>
      <c r="E36" s="375"/>
      <c r="F36" s="385"/>
      <c r="G36" s="573"/>
      <c r="H36" s="832"/>
      <c r="I36" s="837"/>
    </row>
    <row r="37" spans="1:9">
      <c r="A37" s="386">
        <v>8</v>
      </c>
      <c r="B37" s="369" t="s">
        <v>655</v>
      </c>
      <c r="C37" s="370" t="s">
        <v>656</v>
      </c>
      <c r="D37" s="378"/>
      <c r="E37" s="379" t="s">
        <v>657</v>
      </c>
      <c r="F37" s="385"/>
      <c r="G37" s="573"/>
      <c r="H37" s="832"/>
      <c r="I37" s="837"/>
    </row>
    <row r="38" spans="1:9" ht="28.8">
      <c r="A38" s="386"/>
      <c r="B38" s="369"/>
      <c r="C38" s="373" t="s">
        <v>658</v>
      </c>
      <c r="D38" s="374">
        <f>PL!D11</f>
        <v>3725.1448</v>
      </c>
      <c r="E38" s="375" t="s">
        <v>659</v>
      </c>
      <c r="F38" s="385">
        <f>D14-F14</f>
        <v>7312.4967999999999</v>
      </c>
      <c r="G38" s="571">
        <f>IFERROR(D38/F38,0)</f>
        <v>0.5094217340375452</v>
      </c>
      <c r="H38" s="831">
        <f>IFERROR(PL!E11/(SUM(BS!F48:F53)-SUM(BS!F27:F32)),0)</f>
        <v>1.5531969971524724</v>
      </c>
      <c r="I38" s="572">
        <f>IFERROR((G38-H38)/H38,0)</f>
        <v>-0.67201730690216055</v>
      </c>
    </row>
    <row r="39" spans="1:9">
      <c r="A39" s="386"/>
      <c r="B39" s="369"/>
      <c r="C39" s="373"/>
      <c r="D39" s="374"/>
      <c r="E39" s="375"/>
      <c r="F39" s="385"/>
      <c r="G39" s="574"/>
      <c r="H39" s="833"/>
      <c r="I39" s="837"/>
    </row>
    <row r="40" spans="1:9">
      <c r="A40" s="386">
        <v>9</v>
      </c>
      <c r="B40" s="369" t="s">
        <v>660</v>
      </c>
      <c r="C40" s="370" t="s">
        <v>661</v>
      </c>
      <c r="D40" s="374"/>
      <c r="E40" s="379" t="s">
        <v>656</v>
      </c>
      <c r="F40" s="385"/>
      <c r="G40" s="574"/>
      <c r="H40" s="833"/>
      <c r="I40" s="837"/>
    </row>
    <row r="41" spans="1:9">
      <c r="A41" s="386"/>
      <c r="B41" s="369"/>
      <c r="C41" s="373" t="s">
        <v>662</v>
      </c>
      <c r="D41" s="374">
        <f>PL!D38</f>
        <v>-5401.4460999999992</v>
      </c>
      <c r="E41" s="375" t="s">
        <v>663</v>
      </c>
      <c r="F41" s="385">
        <f>PL!D11</f>
        <v>3725.1448</v>
      </c>
      <c r="G41" s="575">
        <f>IFERROR(D41/F41,0)</f>
        <v>-1.449996279339262</v>
      </c>
      <c r="H41" s="834">
        <f>IFERROR(PL!E38/PL!E11,0)</f>
        <v>-0.18950000000000009</v>
      </c>
      <c r="I41" s="572">
        <f>IFERROR((G41-H41)/H41,0)</f>
        <v>6.6516954054842294</v>
      </c>
    </row>
    <row r="42" spans="1:9">
      <c r="A42" s="386"/>
      <c r="B42" s="369"/>
      <c r="C42" s="373"/>
      <c r="D42" s="374"/>
      <c r="E42" s="375"/>
      <c r="F42" s="385"/>
      <c r="G42" s="574"/>
      <c r="H42" s="833"/>
      <c r="I42" s="837"/>
    </row>
    <row r="43" spans="1:9">
      <c r="A43" s="386">
        <v>10</v>
      </c>
      <c r="B43" s="369" t="s">
        <v>664</v>
      </c>
      <c r="C43" s="370" t="s">
        <v>665</v>
      </c>
      <c r="D43" s="374"/>
      <c r="E43" s="379" t="s">
        <v>686</v>
      </c>
      <c r="F43" s="385"/>
      <c r="G43" s="574"/>
      <c r="H43" s="833"/>
      <c r="I43" s="837"/>
    </row>
    <row r="44" spans="1:9" ht="28.8">
      <c r="A44" s="386"/>
      <c r="B44" s="369"/>
      <c r="C44" s="373" t="s">
        <v>666</v>
      </c>
      <c r="D44" s="374">
        <f>PL!D33+PL!D23</f>
        <v>-5344.0038999999988</v>
      </c>
      <c r="E44" s="838" t="s">
        <v>683</v>
      </c>
      <c r="F44" s="395">
        <f>BS!E54-SUM(BS!E27:E32)</f>
        <v>4713.9863000000005</v>
      </c>
      <c r="G44" s="575">
        <f>IFERROR(D44/F44,0)</f>
        <v>-1.1336485852748444</v>
      </c>
      <c r="H44" s="834">
        <f>IFERROR((PL!E33+PL!E23)/(BS!F54-SUM(BS!F27:F32)),0)</f>
        <v>-0.29433083096039364</v>
      </c>
      <c r="I44" s="572">
        <f>IFERROR((G44-H44)/H44,0)</f>
        <v>2.8516134431985236</v>
      </c>
    </row>
    <row r="45" spans="1:9">
      <c r="A45" s="386"/>
      <c r="B45" s="369"/>
      <c r="C45" s="839"/>
      <c r="D45" s="376"/>
      <c r="E45" s="839"/>
      <c r="F45" s="396"/>
      <c r="G45" s="574"/>
      <c r="H45" s="835"/>
      <c r="I45" s="837"/>
    </row>
    <row r="46" spans="1:9">
      <c r="A46" s="386">
        <v>11</v>
      </c>
      <c r="B46" s="369" t="s">
        <v>667</v>
      </c>
      <c r="C46" s="370" t="s">
        <v>668</v>
      </c>
      <c r="D46" s="371"/>
      <c r="E46" s="370" t="s">
        <v>685</v>
      </c>
      <c r="F46" s="384"/>
      <c r="G46" s="573"/>
      <c r="H46" s="833"/>
      <c r="I46" s="837"/>
    </row>
    <row r="47" spans="1:9">
      <c r="A47" s="386"/>
      <c r="B47" s="369"/>
      <c r="C47" s="373" t="s">
        <v>662</v>
      </c>
      <c r="D47" s="371">
        <f>PL!D38</f>
        <v>-5401.4460999999992</v>
      </c>
      <c r="E47" s="373" t="s">
        <v>684</v>
      </c>
      <c r="F47" s="384">
        <f>SUM(BS!E14:E16)</f>
        <v>-5324.186099999999</v>
      </c>
      <c r="G47" s="573">
        <f>IFERROR(D47/F47,0)</f>
        <v>1.0145111381437251</v>
      </c>
      <c r="H47" s="832">
        <f>IFERROR(PL!E38/SUM(BS!F14:F16),0)</f>
        <v>-0.29433083096039364</v>
      </c>
      <c r="I47" s="572">
        <f>IFERROR((G47-H47)/H47,0)</f>
        <v>-4.446839513323841</v>
      </c>
    </row>
    <row r="48" spans="1:9" ht="15" thickBot="1">
      <c r="A48" s="392"/>
      <c r="B48" s="382"/>
      <c r="C48" s="381"/>
      <c r="D48" s="383"/>
      <c r="E48" s="381"/>
      <c r="F48" s="389"/>
      <c r="G48" s="576"/>
      <c r="H48" s="836"/>
      <c r="I48" s="840"/>
    </row>
    <row r="51" spans="1:9" ht="30" customHeight="1" thickBot="1">
      <c r="A51" s="870" t="s">
        <v>69</v>
      </c>
      <c r="B51" s="1066" t="s">
        <v>986</v>
      </c>
      <c r="C51" s="1066"/>
    </row>
    <row r="52" spans="1:9" ht="30" customHeight="1" thickBot="1">
      <c r="B52" s="850" t="s">
        <v>0</v>
      </c>
      <c r="C52" s="1068" t="s">
        <v>977</v>
      </c>
      <c r="D52" s="1068"/>
      <c r="E52" s="1068"/>
      <c r="F52" s="1068"/>
      <c r="G52" s="1068"/>
      <c r="H52" s="1068"/>
      <c r="I52" s="1069"/>
    </row>
    <row r="53" spans="1:9" ht="30" customHeight="1">
      <c r="B53" s="849" t="s">
        <v>633</v>
      </c>
      <c r="C53" s="1063" t="str">
        <f>IF('Share Capital and WIP info'!$G99="Not Applicable",'Share Capital and WIP info'!$G99,'Share Capital and WIP info'!$C99:$F99)</f>
        <v>aa</v>
      </c>
      <c r="D53" s="1063"/>
      <c r="E53" s="1063"/>
      <c r="F53" s="1063"/>
      <c r="G53" s="1063"/>
      <c r="H53" s="1063"/>
      <c r="I53" s="1064"/>
    </row>
    <row r="54" spans="1:9" ht="30" customHeight="1">
      <c r="B54" s="847" t="s">
        <v>672</v>
      </c>
      <c r="C54" s="1063" t="str">
        <f>IF('Share Capital and WIP info'!$G100="Not Applicable",'Share Capital and WIP info'!$G100,'Share Capital and WIP info'!$C100:$F100)</f>
        <v>ss</v>
      </c>
      <c r="D54" s="1063"/>
      <c r="E54" s="1063"/>
      <c r="F54" s="1063"/>
      <c r="G54" s="1063"/>
      <c r="H54" s="1063"/>
      <c r="I54" s="1064"/>
    </row>
    <row r="55" spans="1:9" ht="30" customHeight="1">
      <c r="B55" s="847" t="s">
        <v>676</v>
      </c>
      <c r="C55" s="1063" t="str">
        <f>IF('Share Capital and WIP info'!$G101="Not Applicable",'Share Capital and WIP info'!$G101,'Share Capital and WIP info'!$C101:$F101)</f>
        <v>Not Applicable</v>
      </c>
      <c r="D55" s="1063"/>
      <c r="E55" s="1063"/>
      <c r="F55" s="1063"/>
      <c r="G55" s="1063"/>
      <c r="H55" s="1063"/>
      <c r="I55" s="1064"/>
    </row>
    <row r="56" spans="1:9" ht="30" customHeight="1">
      <c r="B56" s="847" t="s">
        <v>638</v>
      </c>
      <c r="C56" s="1063" t="str">
        <f>IF('Share Capital and WIP info'!$G102="Not Applicable",'Share Capital and WIP info'!$G102,'Share Capital and WIP info'!$C102:$F102)</f>
        <v>ss</v>
      </c>
      <c r="D56" s="1063"/>
      <c r="E56" s="1063"/>
      <c r="F56" s="1063"/>
      <c r="G56" s="1063"/>
      <c r="H56" s="1063"/>
      <c r="I56" s="1064"/>
    </row>
    <row r="57" spans="1:9" ht="30" customHeight="1">
      <c r="B57" s="847" t="s">
        <v>640</v>
      </c>
      <c r="C57" s="1063" t="str">
        <f>IF('Share Capital and WIP info'!$G103="Not Applicable",'Share Capital and WIP info'!$G103,'Share Capital and WIP info'!$C103:$F103)</f>
        <v>Not Applicable</v>
      </c>
      <c r="D57" s="1063"/>
      <c r="E57" s="1063"/>
      <c r="F57" s="1063"/>
      <c r="G57" s="1063"/>
      <c r="H57" s="1063"/>
      <c r="I57" s="1064"/>
    </row>
    <row r="58" spans="1:9" ht="30" customHeight="1">
      <c r="B58" s="847" t="s">
        <v>645</v>
      </c>
      <c r="C58" s="1063" t="str">
        <f>IF('Share Capital and WIP info'!$G104="Not Applicable",'Share Capital and WIP info'!$G104,'Share Capital and WIP info'!$C104:$F104)</f>
        <v>Not Applicable</v>
      </c>
      <c r="D58" s="1063"/>
      <c r="E58" s="1063"/>
      <c r="F58" s="1063"/>
      <c r="G58" s="1063"/>
      <c r="H58" s="1063"/>
      <c r="I58" s="1064"/>
    </row>
    <row r="59" spans="1:9" ht="30" customHeight="1">
      <c r="B59" s="847" t="s">
        <v>650</v>
      </c>
      <c r="C59" s="1063" t="str">
        <f>IF('Share Capital and WIP info'!$G105="Not Applicable",'Share Capital and WIP info'!$G105,'Share Capital and WIP info'!$C105:$F105)</f>
        <v>sss</v>
      </c>
      <c r="D59" s="1063"/>
      <c r="E59" s="1063"/>
      <c r="F59" s="1063"/>
      <c r="G59" s="1063"/>
      <c r="H59" s="1063"/>
      <c r="I59" s="1064"/>
    </row>
    <row r="60" spans="1:9" ht="30" customHeight="1">
      <c r="B60" s="847" t="s">
        <v>655</v>
      </c>
      <c r="C60" s="1063" t="str">
        <f>IF('Share Capital and WIP info'!$G106="Not Applicable",'Share Capital and WIP info'!$G106,'Share Capital and WIP info'!$C106:$F106)</f>
        <v>ss</v>
      </c>
      <c r="D60" s="1063"/>
      <c r="E60" s="1063"/>
      <c r="F60" s="1063"/>
      <c r="G60" s="1063"/>
      <c r="H60" s="1063"/>
      <c r="I60" s="1064"/>
    </row>
    <row r="61" spans="1:9" ht="30" customHeight="1">
      <c r="B61" s="847" t="s">
        <v>660</v>
      </c>
      <c r="C61" s="1063" t="str">
        <f>IF('Share Capital and WIP info'!$G107="Not Applicable",'Share Capital and WIP info'!$G107,'Share Capital and WIP info'!$C107:$F107)</f>
        <v>ss</v>
      </c>
      <c r="D61" s="1063"/>
      <c r="E61" s="1063"/>
      <c r="F61" s="1063"/>
      <c r="G61" s="1063"/>
      <c r="H61" s="1063"/>
      <c r="I61" s="1064"/>
    </row>
    <row r="62" spans="1:9" ht="30" customHeight="1">
      <c r="B62" s="847" t="s">
        <v>664</v>
      </c>
      <c r="C62" s="1063" t="str">
        <f>IF('Share Capital and WIP info'!$G108="Not Applicable",'Share Capital and WIP info'!$G108,'Share Capital and WIP info'!$C108:$F108)</f>
        <v>ss</v>
      </c>
      <c r="D62" s="1063"/>
      <c r="E62" s="1063"/>
      <c r="F62" s="1063"/>
      <c r="G62" s="1063"/>
      <c r="H62" s="1063"/>
      <c r="I62" s="1064"/>
    </row>
    <row r="63" spans="1:9" ht="30" customHeight="1" thickBot="1">
      <c r="B63" s="848" t="s">
        <v>667</v>
      </c>
      <c r="C63" s="1063" t="str">
        <f>IF('Share Capital and WIP info'!$G109="Not Applicable",'Share Capital and WIP info'!$G109,'Share Capital and WIP info'!$C109:$F109)</f>
        <v>s</v>
      </c>
      <c r="D63" s="1063"/>
      <c r="E63" s="1063"/>
      <c r="F63" s="1063"/>
      <c r="G63" s="1063"/>
      <c r="H63" s="1063"/>
      <c r="I63" s="1064"/>
    </row>
  </sheetData>
  <mergeCells count="22">
    <mergeCell ref="C62:I62"/>
    <mergeCell ref="C63:I63"/>
    <mergeCell ref="B51:C51"/>
    <mergeCell ref="B7:I7"/>
    <mergeCell ref="A2:I2"/>
    <mergeCell ref="A3:I3"/>
    <mergeCell ref="A4:I4"/>
    <mergeCell ref="A5:I5"/>
    <mergeCell ref="C52:I52"/>
    <mergeCell ref="C53:I53"/>
    <mergeCell ref="C54:I54"/>
    <mergeCell ref="C55:I55"/>
    <mergeCell ref="C56:I56"/>
    <mergeCell ref="C57:I57"/>
    <mergeCell ref="C58:I58"/>
    <mergeCell ref="C59:I59"/>
    <mergeCell ref="C60:I60"/>
    <mergeCell ref="C61:I61"/>
    <mergeCell ref="B33:B34"/>
    <mergeCell ref="B23:B24"/>
    <mergeCell ref="B26:B27"/>
    <mergeCell ref="B30:B31"/>
  </mergeCells>
  <pageMargins left="0.7" right="0.7" top="0.75" bottom="0.75" header="0.3" footer="0.3"/>
  <pageSetup scale="50" fitToHeight="0" orientation="portrait" r:id="rId1"/>
  <rowBreaks count="1" manualBreakCount="1">
    <brk id="48" max="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4888C-1C99-4E73-825B-3191FC441E39}">
  <sheetPr>
    <tabColor theme="1"/>
    <pageSetUpPr fitToPage="1"/>
  </sheetPr>
  <dimension ref="A1:J58"/>
  <sheetViews>
    <sheetView view="pageBreakPreview" topLeftCell="E1" zoomScaleNormal="100" zoomScaleSheetLayoutView="100" workbookViewId="0">
      <selection activeCell="B9" sqref="B9"/>
    </sheetView>
  </sheetViews>
  <sheetFormatPr defaultRowHeight="14.4"/>
  <cols>
    <col min="1" max="1" width="6.88671875" bestFit="1" customWidth="1"/>
    <col min="2" max="2" width="24.33203125" bestFit="1" customWidth="1"/>
    <col min="3" max="3" width="23.5546875" customWidth="1"/>
    <col min="4" max="8" width="23.109375" bestFit="1" customWidth="1"/>
    <col min="9" max="9" width="33" bestFit="1" customWidth="1"/>
    <col min="10" max="10" width="32.44140625" bestFit="1" customWidth="1"/>
  </cols>
  <sheetData>
    <row r="1" spans="1:10" ht="18">
      <c r="A1" s="969" t="str">
        <f>IF('Control Sheet'!$C$3&gt;0,'Control Sheet'!$C$3,'Control Sheet'!$B$3)</f>
        <v>Saptaranga Research and Organic Private Limited</v>
      </c>
      <c r="B1" s="969"/>
      <c r="C1" s="969"/>
      <c r="D1" s="969"/>
      <c r="E1" s="969"/>
      <c r="F1" s="969"/>
      <c r="G1" s="969"/>
      <c r="H1" s="969"/>
      <c r="I1" s="969"/>
      <c r="J1" s="969"/>
    </row>
    <row r="2" spans="1:10">
      <c r="A2" s="970" t="str">
        <f>IF('Control Sheet'!$C$4&gt;0,'Control Sheet'!$C$4,'Control Sheet'!$B$4)</f>
        <v xml:space="preserve">Plot No 45, </v>
      </c>
      <c r="B2" s="970"/>
      <c r="C2" s="970"/>
      <c r="D2" s="970"/>
      <c r="E2" s="970"/>
      <c r="F2" s="970"/>
      <c r="G2" s="970"/>
      <c r="H2" s="970"/>
      <c r="I2" s="970"/>
      <c r="J2" s="970"/>
    </row>
    <row r="3" spans="1:10">
      <c r="A3" s="970" t="str">
        <f>IF('Control Sheet'!$C$5&gt;0,'Control Sheet'!$C$5,'Control Sheet'!$B$5)</f>
        <v>Ravindra Nagar P.M.G. Society</v>
      </c>
      <c r="B3" s="970"/>
      <c r="C3" s="970"/>
      <c r="D3" s="970"/>
      <c r="E3" s="970"/>
      <c r="F3" s="970"/>
      <c r="G3" s="970"/>
      <c r="H3" s="970"/>
      <c r="I3" s="970"/>
      <c r="J3" s="970"/>
    </row>
    <row r="4" spans="1:10">
      <c r="A4" s="970" t="str">
        <f>IF('Control Sheet'!$C$6&gt;0,'Control Sheet'!$C$6,'Control Sheet'!$B$6)</f>
        <v>Nagpur MH 440022 IN</v>
      </c>
      <c r="B4" s="970"/>
      <c r="C4" s="970"/>
      <c r="D4" s="970"/>
      <c r="E4" s="970"/>
      <c r="F4" s="970"/>
      <c r="G4" s="970"/>
      <c r="H4" s="970"/>
      <c r="I4" s="970"/>
      <c r="J4" s="970"/>
    </row>
    <row r="7" spans="1:10">
      <c r="A7" s="776" t="s">
        <v>974</v>
      </c>
      <c r="B7" s="49"/>
      <c r="C7" s="49"/>
      <c r="D7" s="49"/>
      <c r="E7" s="49"/>
      <c r="F7" s="49"/>
      <c r="G7" s="49"/>
      <c r="I7" s="49"/>
      <c r="J7" s="49"/>
    </row>
    <row r="8" spans="1:10">
      <c r="A8" s="776" t="s">
        <v>931</v>
      </c>
      <c r="B8" s="49"/>
      <c r="C8" s="49"/>
      <c r="D8" s="49"/>
      <c r="E8" s="49"/>
      <c r="F8" s="49"/>
      <c r="G8" s="49"/>
      <c r="H8" s="49"/>
      <c r="I8" s="49"/>
      <c r="J8" s="49"/>
    </row>
    <row r="9" spans="1:10">
      <c r="A9" s="49"/>
      <c r="B9" s="49"/>
      <c r="C9" s="49"/>
      <c r="D9" s="49"/>
      <c r="E9" s="49"/>
      <c r="F9" s="49"/>
      <c r="G9" s="49"/>
      <c r="H9" s="49"/>
      <c r="I9" s="49"/>
      <c r="J9" s="49"/>
    </row>
    <row r="10" spans="1:10">
      <c r="A10" s="776" t="s">
        <v>932</v>
      </c>
      <c r="B10" s="49"/>
      <c r="C10" s="49"/>
      <c r="D10" s="49"/>
      <c r="E10" s="49"/>
      <c r="H10" s="49"/>
      <c r="I10" s="49"/>
      <c r="J10" s="49"/>
    </row>
    <row r="11" spans="1:10">
      <c r="A11" s="49"/>
      <c r="B11" s="49"/>
      <c r="C11" s="49"/>
      <c r="D11" s="49"/>
      <c r="E11" s="49"/>
      <c r="F11" s="49"/>
      <c r="G11" s="49"/>
      <c r="H11" s="49"/>
      <c r="I11" s="49"/>
      <c r="J11" s="49"/>
    </row>
    <row r="12" spans="1:10">
      <c r="A12" s="777" t="s">
        <v>134</v>
      </c>
      <c r="B12" s="777" t="s">
        <v>933</v>
      </c>
      <c r="C12" s="778" t="s">
        <v>934</v>
      </c>
      <c r="D12" s="397"/>
      <c r="E12" s="397"/>
      <c r="F12" s="49"/>
      <c r="G12" s="49"/>
      <c r="H12" s="49"/>
      <c r="I12" s="49"/>
      <c r="J12" s="49"/>
    </row>
    <row r="13" spans="1:10">
      <c r="A13" s="779">
        <v>1</v>
      </c>
      <c r="B13" s="780">
        <f>'Related Party Transaction'!B13</f>
        <v>0</v>
      </c>
      <c r="C13" s="780">
        <f>'Related Party Transaction'!C13</f>
        <v>0</v>
      </c>
      <c r="D13" s="397"/>
      <c r="E13" s="397"/>
      <c r="F13" s="49"/>
      <c r="G13" s="49"/>
      <c r="H13" s="49"/>
      <c r="I13" s="49"/>
      <c r="J13" s="49"/>
    </row>
    <row r="14" spans="1:10">
      <c r="A14" s="779">
        <f>A13+1</f>
        <v>2</v>
      </c>
      <c r="B14" s="780">
        <f>'Related Party Transaction'!B14</f>
        <v>0</v>
      </c>
      <c r="C14" s="780">
        <f>'Related Party Transaction'!C14</f>
        <v>0</v>
      </c>
      <c r="D14" s="49"/>
      <c r="E14" s="49"/>
      <c r="F14" s="49"/>
      <c r="G14" s="49"/>
      <c r="H14" s="49"/>
      <c r="I14" s="49"/>
      <c r="J14" s="49"/>
    </row>
    <row r="15" spans="1:10" hidden="1">
      <c r="A15" s="779">
        <f t="shared" ref="A15:A32" si="0">A14+1</f>
        <v>3</v>
      </c>
      <c r="B15" s="780">
        <f>'Related Party Transaction'!B15</f>
        <v>0</v>
      </c>
      <c r="C15" s="780">
        <f>'Related Party Transaction'!C15</f>
        <v>0</v>
      </c>
      <c r="D15" s="49"/>
      <c r="E15" s="49"/>
      <c r="F15" s="49"/>
      <c r="G15" s="49"/>
      <c r="H15" s="49"/>
      <c r="I15" s="49"/>
      <c r="J15" s="49"/>
    </row>
    <row r="16" spans="1:10" hidden="1">
      <c r="A16" s="779">
        <f t="shared" si="0"/>
        <v>4</v>
      </c>
      <c r="B16" s="780">
        <f>'Related Party Transaction'!B16</f>
        <v>0</v>
      </c>
      <c r="C16" s="780">
        <f>'Related Party Transaction'!C16</f>
        <v>0</v>
      </c>
      <c r="D16" s="49"/>
      <c r="E16" s="49"/>
      <c r="F16" s="49"/>
      <c r="G16" s="49"/>
      <c r="H16" s="49"/>
      <c r="I16" s="49"/>
      <c r="J16" s="49"/>
    </row>
    <row r="17" spans="1:10" hidden="1">
      <c r="A17" s="779">
        <f t="shared" si="0"/>
        <v>5</v>
      </c>
      <c r="B17" s="780">
        <f>'Related Party Transaction'!B17</f>
        <v>0</v>
      </c>
      <c r="C17" s="780">
        <f>'Related Party Transaction'!C17</f>
        <v>0</v>
      </c>
      <c r="D17" s="49"/>
      <c r="E17" s="49"/>
      <c r="F17" s="49"/>
      <c r="G17" s="49"/>
      <c r="H17" s="49"/>
      <c r="I17" s="49"/>
      <c r="J17" s="49"/>
    </row>
    <row r="18" spans="1:10" hidden="1">
      <c r="A18" s="779">
        <f t="shared" si="0"/>
        <v>6</v>
      </c>
      <c r="B18" s="780">
        <f>'Related Party Transaction'!B18</f>
        <v>0</v>
      </c>
      <c r="C18" s="780">
        <f>'Related Party Transaction'!C18</f>
        <v>0</v>
      </c>
      <c r="D18" s="49"/>
      <c r="E18" s="49"/>
      <c r="F18" s="49"/>
      <c r="G18" s="49"/>
      <c r="H18" s="49"/>
      <c r="I18" s="49"/>
      <c r="J18" s="49"/>
    </row>
    <row r="19" spans="1:10" hidden="1">
      <c r="A19" s="779">
        <f t="shared" si="0"/>
        <v>7</v>
      </c>
      <c r="B19" s="780">
        <f>'Related Party Transaction'!B19</f>
        <v>0</v>
      </c>
      <c r="C19" s="780">
        <f>'Related Party Transaction'!C19</f>
        <v>0</v>
      </c>
      <c r="D19" s="49"/>
      <c r="E19" s="49"/>
      <c r="F19" s="49"/>
      <c r="G19" s="49"/>
      <c r="H19" s="49"/>
      <c r="I19" s="49"/>
      <c r="J19" s="49"/>
    </row>
    <row r="20" spans="1:10" hidden="1">
      <c r="A20" s="779">
        <f t="shared" si="0"/>
        <v>8</v>
      </c>
      <c r="B20" s="780">
        <f>'Related Party Transaction'!B20</f>
        <v>0</v>
      </c>
      <c r="C20" s="780">
        <f>'Related Party Transaction'!C20</f>
        <v>0</v>
      </c>
      <c r="D20" s="49"/>
      <c r="E20" s="49"/>
      <c r="F20" s="49"/>
      <c r="G20" s="49"/>
      <c r="H20" s="49"/>
      <c r="I20" s="49"/>
      <c r="J20" s="49"/>
    </row>
    <row r="21" spans="1:10" hidden="1">
      <c r="A21" s="779">
        <f t="shared" si="0"/>
        <v>9</v>
      </c>
      <c r="B21" s="780">
        <f>'Related Party Transaction'!B21</f>
        <v>0</v>
      </c>
      <c r="C21" s="780">
        <f>'Related Party Transaction'!C21</f>
        <v>0</v>
      </c>
      <c r="D21" s="49"/>
      <c r="E21" s="49"/>
      <c r="F21" s="49"/>
      <c r="G21" s="49"/>
      <c r="H21" s="49"/>
      <c r="I21" s="49"/>
      <c r="J21" s="49"/>
    </row>
    <row r="22" spans="1:10" hidden="1">
      <c r="A22" s="779">
        <f t="shared" si="0"/>
        <v>10</v>
      </c>
      <c r="B22" s="780">
        <f>'Related Party Transaction'!B22</f>
        <v>0</v>
      </c>
      <c r="C22" s="780">
        <f>'Related Party Transaction'!C22</f>
        <v>0</v>
      </c>
      <c r="D22" s="49"/>
      <c r="E22" s="49"/>
      <c r="F22" s="49"/>
      <c r="G22" s="49"/>
      <c r="H22" s="49"/>
      <c r="I22" s="49"/>
      <c r="J22" s="49"/>
    </row>
    <row r="23" spans="1:10" hidden="1">
      <c r="A23" s="779">
        <f t="shared" si="0"/>
        <v>11</v>
      </c>
      <c r="B23" s="780">
        <f>'Related Party Transaction'!B23</f>
        <v>0</v>
      </c>
      <c r="C23" s="780">
        <f>'Related Party Transaction'!C23</f>
        <v>0</v>
      </c>
      <c r="D23" s="49"/>
      <c r="E23" s="49"/>
      <c r="F23" s="49"/>
      <c r="G23" s="49"/>
      <c r="H23" s="49"/>
      <c r="I23" s="49"/>
      <c r="J23" s="49"/>
    </row>
    <row r="24" spans="1:10" hidden="1">
      <c r="A24" s="779">
        <f t="shared" si="0"/>
        <v>12</v>
      </c>
      <c r="B24" s="780">
        <f>'Related Party Transaction'!B24</f>
        <v>0</v>
      </c>
      <c r="C24" s="780">
        <f>'Related Party Transaction'!C24</f>
        <v>0</v>
      </c>
      <c r="D24" s="49"/>
      <c r="E24" s="49"/>
      <c r="F24" s="49"/>
      <c r="G24" s="49"/>
      <c r="H24" s="49"/>
      <c r="I24" s="49"/>
      <c r="J24" s="49"/>
    </row>
    <row r="25" spans="1:10" hidden="1">
      <c r="A25" s="779">
        <f t="shared" si="0"/>
        <v>13</v>
      </c>
      <c r="B25" s="780">
        <f>'Related Party Transaction'!B25</f>
        <v>0</v>
      </c>
      <c r="C25" s="780">
        <f>'Related Party Transaction'!C25</f>
        <v>0</v>
      </c>
      <c r="D25" s="49"/>
      <c r="E25" s="49"/>
      <c r="F25" s="49"/>
      <c r="G25" s="49"/>
      <c r="H25" s="49"/>
      <c r="I25" s="49"/>
      <c r="J25" s="49"/>
    </row>
    <row r="26" spans="1:10" hidden="1">
      <c r="A26" s="779">
        <f t="shared" si="0"/>
        <v>14</v>
      </c>
      <c r="B26" s="780">
        <f>'Related Party Transaction'!B26</f>
        <v>0</v>
      </c>
      <c r="C26" s="780">
        <f>'Related Party Transaction'!C26</f>
        <v>0</v>
      </c>
      <c r="D26" s="49"/>
      <c r="E26" s="49"/>
      <c r="F26" s="49"/>
      <c r="G26" s="49"/>
      <c r="H26" s="49"/>
      <c r="I26" s="49"/>
      <c r="J26" s="49"/>
    </row>
    <row r="27" spans="1:10" hidden="1">
      <c r="A27" s="779">
        <f t="shared" si="0"/>
        <v>15</v>
      </c>
      <c r="B27" s="780">
        <f>'Related Party Transaction'!B27</f>
        <v>0</v>
      </c>
      <c r="C27" s="780">
        <f>'Related Party Transaction'!C27</f>
        <v>0</v>
      </c>
      <c r="D27" s="49"/>
      <c r="E27" s="49"/>
      <c r="F27" s="49"/>
      <c r="G27" s="49"/>
      <c r="H27" s="49"/>
      <c r="I27" s="49"/>
      <c r="J27" s="49"/>
    </row>
    <row r="28" spans="1:10" hidden="1">
      <c r="A28" s="779">
        <f t="shared" si="0"/>
        <v>16</v>
      </c>
      <c r="B28" s="780">
        <f>'Related Party Transaction'!B28</f>
        <v>0</v>
      </c>
      <c r="C28" s="780">
        <f>'Related Party Transaction'!C28</f>
        <v>0</v>
      </c>
      <c r="D28" s="49"/>
      <c r="E28" s="49"/>
      <c r="F28" s="49"/>
      <c r="G28" s="49"/>
      <c r="H28" s="49"/>
      <c r="I28" s="49"/>
      <c r="J28" s="49"/>
    </row>
    <row r="29" spans="1:10" hidden="1">
      <c r="A29" s="779">
        <f t="shared" si="0"/>
        <v>17</v>
      </c>
      <c r="B29" s="780">
        <f>'Related Party Transaction'!B29</f>
        <v>0</v>
      </c>
      <c r="C29" s="780">
        <f>'Related Party Transaction'!C29</f>
        <v>0</v>
      </c>
      <c r="D29" s="49"/>
      <c r="E29" s="49"/>
      <c r="F29" s="49"/>
      <c r="G29" s="49"/>
      <c r="H29" s="49"/>
      <c r="I29" s="49"/>
      <c r="J29" s="49"/>
    </row>
    <row r="30" spans="1:10" hidden="1">
      <c r="A30" s="779">
        <f t="shared" si="0"/>
        <v>18</v>
      </c>
      <c r="B30" s="780">
        <f>'Related Party Transaction'!B30</f>
        <v>0</v>
      </c>
      <c r="C30" s="780">
        <f>'Related Party Transaction'!C30</f>
        <v>0</v>
      </c>
      <c r="D30" s="49"/>
      <c r="E30" s="49"/>
      <c r="F30" s="49"/>
      <c r="G30" s="49"/>
      <c r="H30" s="49"/>
      <c r="I30" s="49"/>
      <c r="J30" s="49"/>
    </row>
    <row r="31" spans="1:10" hidden="1">
      <c r="A31" s="779">
        <f t="shared" si="0"/>
        <v>19</v>
      </c>
      <c r="B31" s="780">
        <f>'Related Party Transaction'!B31</f>
        <v>0</v>
      </c>
      <c r="C31" s="780">
        <f>'Related Party Transaction'!C31</f>
        <v>0</v>
      </c>
      <c r="D31" s="49"/>
      <c r="E31" s="49"/>
      <c r="F31" s="49"/>
      <c r="G31" s="49"/>
      <c r="H31" s="49"/>
      <c r="I31" s="49"/>
      <c r="J31" s="49"/>
    </row>
    <row r="32" spans="1:10" hidden="1">
      <c r="A32" s="779">
        <f t="shared" si="0"/>
        <v>20</v>
      </c>
      <c r="B32" s="780">
        <f>'Related Party Transaction'!B32</f>
        <v>0</v>
      </c>
      <c r="C32" s="780">
        <f>'Related Party Transaction'!C32</f>
        <v>0</v>
      </c>
      <c r="D32" s="49"/>
      <c r="E32" s="49"/>
      <c r="F32" s="49"/>
      <c r="G32" s="49"/>
      <c r="H32" s="49"/>
      <c r="I32" s="49"/>
      <c r="J32" s="49"/>
    </row>
    <row r="33" spans="1:10">
      <c r="A33" s="49"/>
      <c r="B33" s="49"/>
      <c r="C33" s="49"/>
      <c r="D33" s="49" t="s">
        <v>21</v>
      </c>
      <c r="E33" s="49"/>
      <c r="F33" s="49"/>
      <c r="G33" s="49"/>
      <c r="H33" s="49"/>
      <c r="I33" s="49"/>
      <c r="J33" s="49"/>
    </row>
    <row r="34" spans="1:10">
      <c r="A34" s="776" t="str">
        <f>_xlfn.CONCAT("Transactions with related parties for the year ended",TEXT('Control Sheet'!$C$7,"DD-MMM-YYYY"))</f>
        <v>Transactions with related parties for the year ended31-Mar-2023</v>
      </c>
      <c r="B34" s="49"/>
      <c r="C34" s="49"/>
      <c r="D34" s="49"/>
      <c r="E34" s="49"/>
      <c r="F34" s="49"/>
      <c r="G34" s="49"/>
      <c r="H34" s="781"/>
      <c r="I34" s="49"/>
      <c r="J34" s="49"/>
    </row>
    <row r="35" spans="1:10" ht="15" thickBot="1">
      <c r="A35" s="49"/>
      <c r="B35" s="49"/>
      <c r="C35" s="49"/>
      <c r="D35" s="49"/>
      <c r="E35" s="49"/>
      <c r="F35" s="49"/>
      <c r="G35" s="49"/>
      <c r="H35" s="49"/>
      <c r="I35" s="49"/>
      <c r="J35" s="99" t="str">
        <f>IF('Control Sheet'!$D$18="Specify in Cell E16",'Support Sheet'!$G$10,'Control Sheet'!$C$18)</f>
        <v>In Rs. hundreds</v>
      </c>
    </row>
    <row r="36" spans="1:10">
      <c r="A36" s="783" t="s">
        <v>134</v>
      </c>
      <c r="B36" s="784" t="s">
        <v>0</v>
      </c>
      <c r="C36" s="1070" t="s">
        <v>969</v>
      </c>
      <c r="D36" s="1071"/>
      <c r="E36" s="1070" t="s">
        <v>970</v>
      </c>
      <c r="F36" s="1071"/>
      <c r="G36" s="1070" t="s">
        <v>971</v>
      </c>
      <c r="H36" s="1071"/>
      <c r="I36" s="785" t="s">
        <v>972</v>
      </c>
      <c r="J36" s="786" t="s">
        <v>973</v>
      </c>
    </row>
    <row r="37" spans="1:10" ht="15" thickBot="1">
      <c r="A37" s="788"/>
      <c r="B37" s="789"/>
      <c r="C37" s="790" t="str">
        <f>IF('Control Sheet'!$C$7&gt;0,TEXT('Control Sheet'!$C$7,"DD-MMM-YYYY"),'Control Sheet'!$B$7)</f>
        <v>31-Mar-2023</v>
      </c>
      <c r="D37" s="790" t="str">
        <f>IF('Control Sheet'!$C$8&gt;0,TEXT('Control Sheet'!$C$8,"DD-MMM-YYYY"),'Control Sheet'!$B$8)</f>
        <v>31-Mar-2022</v>
      </c>
      <c r="E37" s="790" t="str">
        <f>IF('Control Sheet'!$C$7&gt;0,TEXT('Control Sheet'!$C$7,"DD-MMM-YYYY"),'Control Sheet'!$B$7)</f>
        <v>31-Mar-2023</v>
      </c>
      <c r="F37" s="790" t="str">
        <f>IF('Control Sheet'!$C$8&gt;0,TEXT('Control Sheet'!$C$8,"DD-MMM-YYYY"),'Control Sheet'!$B$8)</f>
        <v>31-Mar-2022</v>
      </c>
      <c r="G37" s="790" t="str">
        <f>IF('Control Sheet'!$C$7&gt;0,TEXT('Control Sheet'!$C$7,"DD-MMM-YYYY"),'Control Sheet'!$B$7)</f>
        <v>31-Mar-2023</v>
      </c>
      <c r="H37" s="790" t="str">
        <f>IF('Control Sheet'!$C$8&gt;0,TEXT('Control Sheet'!$C$8,"DD-MMM-YYYY"),'Control Sheet'!$B$8)</f>
        <v>31-Mar-2022</v>
      </c>
      <c r="I37" s="790" t="str">
        <f>IF('Control Sheet'!$C$7&gt;0,TEXT('Control Sheet'!$C$7,"DD-MMM-YYYY"),'Control Sheet'!$B$7)</f>
        <v>31-Mar-2023</v>
      </c>
      <c r="J37" s="791" t="str">
        <f>IF('Control Sheet'!$C$7&gt;0,TEXT('Control Sheet'!$C$7,"DD-MMM-YYYY"),'Control Sheet'!$B$7)</f>
        <v>31-Mar-2023</v>
      </c>
    </row>
    <row r="38" spans="1:10">
      <c r="A38" s="787">
        <v>1</v>
      </c>
      <c r="B38" s="108">
        <f>B13</f>
        <v>0</v>
      </c>
      <c r="C38" s="782">
        <f>'Related Party Transaction'!C38/'Support Sheet'!$G$10</f>
        <v>0</v>
      </c>
      <c r="D38" s="782">
        <f>'Related Party Transaction'!D38/'Support Sheet'!$G$10</f>
        <v>0</v>
      </c>
      <c r="E38" s="782">
        <f>'Related Party Transaction'!E38/'Support Sheet'!$G$10</f>
        <v>0</v>
      </c>
      <c r="F38" s="782">
        <f>'Related Party Transaction'!F38/'Support Sheet'!$G$10</f>
        <v>0</v>
      </c>
      <c r="G38" s="782">
        <f>'Related Party Transaction'!G38/'Support Sheet'!$G$10</f>
        <v>0</v>
      </c>
      <c r="H38" s="782">
        <f>'Related Party Transaction'!H38/'Support Sheet'!$G$10</f>
        <v>0</v>
      </c>
      <c r="I38" s="782">
        <f>'Related Party Transaction'!I38/'Support Sheet'!$G$10</f>
        <v>0</v>
      </c>
      <c r="J38" s="782">
        <f>'Related Party Transaction'!J38/'Support Sheet'!$G$10</f>
        <v>0</v>
      </c>
    </row>
    <row r="39" spans="1:10" ht="15" thickBot="1">
      <c r="A39" s="787">
        <f>A38+1</f>
        <v>2</v>
      </c>
      <c r="B39" s="318">
        <f t="shared" ref="B39:B57" si="1">B14</f>
        <v>0</v>
      </c>
      <c r="C39" s="782">
        <f>'Related Party Transaction'!C39/'Support Sheet'!$G$10</f>
        <v>0</v>
      </c>
      <c r="D39" s="782">
        <f>'Related Party Transaction'!D39/'Support Sheet'!$G$10</f>
        <v>0</v>
      </c>
      <c r="E39" s="782">
        <f>'Related Party Transaction'!E39/'Support Sheet'!$G$10</f>
        <v>0</v>
      </c>
      <c r="F39" s="782">
        <f>'Related Party Transaction'!F39/'Support Sheet'!$G$10</f>
        <v>0</v>
      </c>
      <c r="G39" s="782">
        <f>'Related Party Transaction'!G39/'Support Sheet'!$G$10</f>
        <v>0</v>
      </c>
      <c r="H39" s="782">
        <f>'Related Party Transaction'!H39/'Support Sheet'!$G$10</f>
        <v>0</v>
      </c>
      <c r="I39" s="782">
        <f>'Related Party Transaction'!I39/'Support Sheet'!$G$10</f>
        <v>0</v>
      </c>
      <c r="J39" s="782">
        <f>'Related Party Transaction'!J39/'Support Sheet'!$G$10</f>
        <v>0</v>
      </c>
    </row>
    <row r="40" spans="1:10" hidden="1">
      <c r="A40" s="787">
        <f t="shared" ref="A40:A57" si="2">A39+1</f>
        <v>3</v>
      </c>
      <c r="B40" s="318">
        <f t="shared" si="1"/>
        <v>0</v>
      </c>
      <c r="C40" s="782">
        <f>'Related Party Transaction'!C40/'Support Sheet'!$G$10</f>
        <v>0</v>
      </c>
      <c r="D40" s="782">
        <f>'Related Party Transaction'!D40/'Support Sheet'!$G$10</f>
        <v>0</v>
      </c>
      <c r="E40" s="782">
        <f>'Related Party Transaction'!E40/'Support Sheet'!$G$10</f>
        <v>0</v>
      </c>
      <c r="F40" s="782">
        <f>'Related Party Transaction'!F40/'Support Sheet'!$G$10</f>
        <v>0</v>
      </c>
      <c r="G40" s="782">
        <f>'Related Party Transaction'!G40/'Support Sheet'!$G$10</f>
        <v>0</v>
      </c>
      <c r="H40" s="782">
        <f>'Related Party Transaction'!H40/'Support Sheet'!$G$10</f>
        <v>0</v>
      </c>
      <c r="I40" s="782">
        <f>'Related Party Transaction'!I40/'Support Sheet'!$G$10</f>
        <v>0</v>
      </c>
      <c r="J40" s="782">
        <f>'Related Party Transaction'!J40/'Support Sheet'!$G$10</f>
        <v>0</v>
      </c>
    </row>
    <row r="41" spans="1:10" hidden="1">
      <c r="A41" s="787">
        <f t="shared" si="2"/>
        <v>4</v>
      </c>
      <c r="B41" s="318">
        <f t="shared" si="1"/>
        <v>0</v>
      </c>
      <c r="C41" s="782">
        <f>'Related Party Transaction'!C41/'Support Sheet'!$G$10</f>
        <v>0</v>
      </c>
      <c r="D41" s="782">
        <f>'Related Party Transaction'!D41/'Support Sheet'!$G$10</f>
        <v>0</v>
      </c>
      <c r="E41" s="782">
        <f>'Related Party Transaction'!E41/'Support Sheet'!$G$10</f>
        <v>0</v>
      </c>
      <c r="F41" s="782">
        <f>'Related Party Transaction'!F41/'Support Sheet'!$G$10</f>
        <v>0</v>
      </c>
      <c r="G41" s="782">
        <f>'Related Party Transaction'!G41/'Support Sheet'!$G$10</f>
        <v>0</v>
      </c>
      <c r="H41" s="782">
        <f>'Related Party Transaction'!H41/'Support Sheet'!$G$10</f>
        <v>0</v>
      </c>
      <c r="I41" s="782">
        <f>'Related Party Transaction'!I41/'Support Sheet'!$G$10</f>
        <v>0</v>
      </c>
      <c r="J41" s="782">
        <f>'Related Party Transaction'!J41/'Support Sheet'!$G$10</f>
        <v>0</v>
      </c>
    </row>
    <row r="42" spans="1:10" hidden="1">
      <c r="A42" s="787">
        <f t="shared" si="2"/>
        <v>5</v>
      </c>
      <c r="B42" s="318">
        <f t="shared" si="1"/>
        <v>0</v>
      </c>
      <c r="C42" s="782">
        <f>'Related Party Transaction'!C42/'Support Sheet'!$G$10</f>
        <v>0</v>
      </c>
      <c r="D42" s="782">
        <f>'Related Party Transaction'!D42/'Support Sheet'!$G$10</f>
        <v>0</v>
      </c>
      <c r="E42" s="782">
        <f>'Related Party Transaction'!E42/'Support Sheet'!$G$10</f>
        <v>0</v>
      </c>
      <c r="F42" s="782">
        <f>'Related Party Transaction'!F42/'Support Sheet'!$G$10</f>
        <v>0</v>
      </c>
      <c r="G42" s="782">
        <f>'Related Party Transaction'!G42/'Support Sheet'!$G$10</f>
        <v>0</v>
      </c>
      <c r="H42" s="782">
        <f>'Related Party Transaction'!H42/'Support Sheet'!$G$10</f>
        <v>0</v>
      </c>
      <c r="I42" s="782">
        <f>'Related Party Transaction'!I42/'Support Sheet'!$G$10</f>
        <v>0</v>
      </c>
      <c r="J42" s="782">
        <f>'Related Party Transaction'!J42/'Support Sheet'!$G$10</f>
        <v>0</v>
      </c>
    </row>
    <row r="43" spans="1:10" hidden="1">
      <c r="A43" s="787">
        <f t="shared" si="2"/>
        <v>6</v>
      </c>
      <c r="B43" s="318">
        <f t="shared" si="1"/>
        <v>0</v>
      </c>
      <c r="C43" s="782">
        <f>'Related Party Transaction'!C43/'Support Sheet'!$G$10</f>
        <v>0</v>
      </c>
      <c r="D43" s="782">
        <f>'Related Party Transaction'!D43/'Support Sheet'!$G$10</f>
        <v>0</v>
      </c>
      <c r="E43" s="782">
        <f>'Related Party Transaction'!E43/'Support Sheet'!$G$10</f>
        <v>0</v>
      </c>
      <c r="F43" s="782">
        <f>'Related Party Transaction'!F43/'Support Sheet'!$G$10</f>
        <v>0</v>
      </c>
      <c r="G43" s="782">
        <f>'Related Party Transaction'!G43/'Support Sheet'!$G$10</f>
        <v>0</v>
      </c>
      <c r="H43" s="782">
        <f>'Related Party Transaction'!H43/'Support Sheet'!$G$10</f>
        <v>0</v>
      </c>
      <c r="I43" s="782">
        <f>'Related Party Transaction'!I43/'Support Sheet'!$G$10</f>
        <v>0</v>
      </c>
      <c r="J43" s="782">
        <f>'Related Party Transaction'!J43/'Support Sheet'!$G$10</f>
        <v>0</v>
      </c>
    </row>
    <row r="44" spans="1:10" hidden="1">
      <c r="A44" s="787">
        <f t="shared" si="2"/>
        <v>7</v>
      </c>
      <c r="B44" s="318">
        <f t="shared" si="1"/>
        <v>0</v>
      </c>
      <c r="C44" s="782">
        <f>'Related Party Transaction'!C44/'Support Sheet'!$G$10</f>
        <v>0</v>
      </c>
      <c r="D44" s="782">
        <f>'Related Party Transaction'!D44/'Support Sheet'!$G$10</f>
        <v>0</v>
      </c>
      <c r="E44" s="782">
        <f>'Related Party Transaction'!E44/'Support Sheet'!$G$10</f>
        <v>0</v>
      </c>
      <c r="F44" s="782">
        <f>'Related Party Transaction'!F44/'Support Sheet'!$G$10</f>
        <v>0</v>
      </c>
      <c r="G44" s="782">
        <f>'Related Party Transaction'!G44/'Support Sheet'!$G$10</f>
        <v>0</v>
      </c>
      <c r="H44" s="782">
        <f>'Related Party Transaction'!H44/'Support Sheet'!$G$10</f>
        <v>0</v>
      </c>
      <c r="I44" s="782">
        <f>'Related Party Transaction'!I44/'Support Sheet'!$G$10</f>
        <v>0</v>
      </c>
      <c r="J44" s="782">
        <f>'Related Party Transaction'!J44/'Support Sheet'!$G$10</f>
        <v>0</v>
      </c>
    </row>
    <row r="45" spans="1:10" hidden="1">
      <c r="A45" s="787">
        <f t="shared" si="2"/>
        <v>8</v>
      </c>
      <c r="B45" s="318">
        <f t="shared" si="1"/>
        <v>0</v>
      </c>
      <c r="C45" s="782">
        <f>'Related Party Transaction'!C45/'Support Sheet'!$G$10</f>
        <v>0</v>
      </c>
      <c r="D45" s="782">
        <f>'Related Party Transaction'!D45/'Support Sheet'!$G$10</f>
        <v>0</v>
      </c>
      <c r="E45" s="782">
        <f>'Related Party Transaction'!E45/'Support Sheet'!$G$10</f>
        <v>0</v>
      </c>
      <c r="F45" s="782">
        <f>'Related Party Transaction'!F45/'Support Sheet'!$G$10</f>
        <v>0</v>
      </c>
      <c r="G45" s="782">
        <f>'Related Party Transaction'!G45/'Support Sheet'!$G$10</f>
        <v>0</v>
      </c>
      <c r="H45" s="782">
        <f>'Related Party Transaction'!H45/'Support Sheet'!$G$10</f>
        <v>0</v>
      </c>
      <c r="I45" s="782">
        <f>'Related Party Transaction'!I45/'Support Sheet'!$G$10</f>
        <v>0</v>
      </c>
      <c r="J45" s="782">
        <f>'Related Party Transaction'!J45/'Support Sheet'!$G$10</f>
        <v>0</v>
      </c>
    </row>
    <row r="46" spans="1:10" hidden="1">
      <c r="A46" s="787">
        <f t="shared" si="2"/>
        <v>9</v>
      </c>
      <c r="B46" s="318">
        <f t="shared" si="1"/>
        <v>0</v>
      </c>
      <c r="C46" s="782">
        <f>'Related Party Transaction'!C46/'Support Sheet'!$G$10</f>
        <v>0</v>
      </c>
      <c r="D46" s="782">
        <f>'Related Party Transaction'!D46/'Support Sheet'!$G$10</f>
        <v>0</v>
      </c>
      <c r="E46" s="782">
        <f>'Related Party Transaction'!E46/'Support Sheet'!$G$10</f>
        <v>0</v>
      </c>
      <c r="F46" s="782">
        <f>'Related Party Transaction'!F46/'Support Sheet'!$G$10</f>
        <v>0</v>
      </c>
      <c r="G46" s="782">
        <f>'Related Party Transaction'!G46/'Support Sheet'!$G$10</f>
        <v>0</v>
      </c>
      <c r="H46" s="782">
        <f>'Related Party Transaction'!H46/'Support Sheet'!$G$10</f>
        <v>0</v>
      </c>
      <c r="I46" s="782">
        <f>'Related Party Transaction'!I46/'Support Sheet'!$G$10</f>
        <v>0</v>
      </c>
      <c r="J46" s="782">
        <f>'Related Party Transaction'!J46/'Support Sheet'!$G$10</f>
        <v>0</v>
      </c>
    </row>
    <row r="47" spans="1:10" hidden="1">
      <c r="A47" s="787">
        <f t="shared" si="2"/>
        <v>10</v>
      </c>
      <c r="B47" s="318">
        <f t="shared" si="1"/>
        <v>0</v>
      </c>
      <c r="C47" s="782">
        <f>'Related Party Transaction'!C47/'Support Sheet'!$G$10</f>
        <v>0</v>
      </c>
      <c r="D47" s="782">
        <f>'Related Party Transaction'!D47/'Support Sheet'!$G$10</f>
        <v>0</v>
      </c>
      <c r="E47" s="782">
        <f>'Related Party Transaction'!E47/'Support Sheet'!$G$10</f>
        <v>0</v>
      </c>
      <c r="F47" s="782">
        <f>'Related Party Transaction'!F47/'Support Sheet'!$G$10</f>
        <v>0</v>
      </c>
      <c r="G47" s="782">
        <f>'Related Party Transaction'!G47/'Support Sheet'!$G$10</f>
        <v>0</v>
      </c>
      <c r="H47" s="782">
        <f>'Related Party Transaction'!H47/'Support Sheet'!$G$10</f>
        <v>0</v>
      </c>
      <c r="I47" s="782">
        <f>'Related Party Transaction'!I47/'Support Sheet'!$G$10</f>
        <v>0</v>
      </c>
      <c r="J47" s="782">
        <f>'Related Party Transaction'!J47/'Support Sheet'!$G$10</f>
        <v>0</v>
      </c>
    </row>
    <row r="48" spans="1:10" hidden="1">
      <c r="A48" s="787">
        <f t="shared" si="2"/>
        <v>11</v>
      </c>
      <c r="B48" s="318">
        <f t="shared" si="1"/>
        <v>0</v>
      </c>
      <c r="C48" s="782">
        <f>'Related Party Transaction'!C48/'Support Sheet'!$G$10</f>
        <v>0</v>
      </c>
      <c r="D48" s="782">
        <f>'Related Party Transaction'!D48/'Support Sheet'!$G$10</f>
        <v>0</v>
      </c>
      <c r="E48" s="782">
        <f>'Related Party Transaction'!E48/'Support Sheet'!$G$10</f>
        <v>0</v>
      </c>
      <c r="F48" s="782">
        <f>'Related Party Transaction'!F48/'Support Sheet'!$G$10</f>
        <v>0</v>
      </c>
      <c r="G48" s="782">
        <f>'Related Party Transaction'!G48/'Support Sheet'!$G$10</f>
        <v>0</v>
      </c>
      <c r="H48" s="782">
        <f>'Related Party Transaction'!H48/'Support Sheet'!$G$10</f>
        <v>0</v>
      </c>
      <c r="I48" s="782">
        <f>'Related Party Transaction'!I48/'Support Sheet'!$G$10</f>
        <v>0</v>
      </c>
      <c r="J48" s="782">
        <f>'Related Party Transaction'!J48/'Support Sheet'!$G$10</f>
        <v>0</v>
      </c>
    </row>
    <row r="49" spans="1:10" hidden="1">
      <c r="A49" s="787">
        <f t="shared" si="2"/>
        <v>12</v>
      </c>
      <c r="B49" s="318">
        <f t="shared" si="1"/>
        <v>0</v>
      </c>
      <c r="C49" s="782">
        <f>'Related Party Transaction'!C49/'Support Sheet'!$G$10</f>
        <v>0</v>
      </c>
      <c r="D49" s="782">
        <f>'Related Party Transaction'!D49/'Support Sheet'!$G$10</f>
        <v>0</v>
      </c>
      <c r="E49" s="782">
        <f>'Related Party Transaction'!E49/'Support Sheet'!$G$10</f>
        <v>0</v>
      </c>
      <c r="F49" s="782">
        <f>'Related Party Transaction'!F49/'Support Sheet'!$G$10</f>
        <v>0</v>
      </c>
      <c r="G49" s="782">
        <f>'Related Party Transaction'!G49/'Support Sheet'!$G$10</f>
        <v>0</v>
      </c>
      <c r="H49" s="782">
        <f>'Related Party Transaction'!H49/'Support Sheet'!$G$10</f>
        <v>0</v>
      </c>
      <c r="I49" s="782">
        <f>'Related Party Transaction'!I49/'Support Sheet'!$G$10</f>
        <v>0</v>
      </c>
      <c r="J49" s="782">
        <f>'Related Party Transaction'!J49/'Support Sheet'!$G$10</f>
        <v>0</v>
      </c>
    </row>
    <row r="50" spans="1:10" hidden="1">
      <c r="A50" s="787">
        <f t="shared" si="2"/>
        <v>13</v>
      </c>
      <c r="B50" s="318">
        <f t="shared" si="1"/>
        <v>0</v>
      </c>
      <c r="C50" s="782">
        <f>'Related Party Transaction'!C50/'Support Sheet'!$G$10</f>
        <v>0</v>
      </c>
      <c r="D50" s="782">
        <f>'Related Party Transaction'!D50/'Support Sheet'!$G$10</f>
        <v>0</v>
      </c>
      <c r="E50" s="782">
        <f>'Related Party Transaction'!E50/'Support Sheet'!$G$10</f>
        <v>0</v>
      </c>
      <c r="F50" s="782">
        <f>'Related Party Transaction'!F50/'Support Sheet'!$G$10</f>
        <v>0</v>
      </c>
      <c r="G50" s="782">
        <f>'Related Party Transaction'!G50/'Support Sheet'!$G$10</f>
        <v>0</v>
      </c>
      <c r="H50" s="782">
        <f>'Related Party Transaction'!H50/'Support Sheet'!$G$10</f>
        <v>0</v>
      </c>
      <c r="I50" s="782">
        <f>'Related Party Transaction'!I50/'Support Sheet'!$G$10</f>
        <v>0</v>
      </c>
      <c r="J50" s="782">
        <f>'Related Party Transaction'!J50/'Support Sheet'!$G$10</f>
        <v>0</v>
      </c>
    </row>
    <row r="51" spans="1:10" hidden="1">
      <c r="A51" s="787">
        <f t="shared" si="2"/>
        <v>14</v>
      </c>
      <c r="B51" s="318">
        <f t="shared" si="1"/>
        <v>0</v>
      </c>
      <c r="C51" s="782">
        <f>'Related Party Transaction'!C51/'Support Sheet'!$G$10</f>
        <v>0</v>
      </c>
      <c r="D51" s="782">
        <f>'Related Party Transaction'!D51/'Support Sheet'!$G$10</f>
        <v>0</v>
      </c>
      <c r="E51" s="782">
        <f>'Related Party Transaction'!E51/'Support Sheet'!$G$10</f>
        <v>0</v>
      </c>
      <c r="F51" s="782">
        <f>'Related Party Transaction'!F51/'Support Sheet'!$G$10</f>
        <v>0</v>
      </c>
      <c r="G51" s="782">
        <f>'Related Party Transaction'!G51/'Support Sheet'!$G$10</f>
        <v>0</v>
      </c>
      <c r="H51" s="782">
        <f>'Related Party Transaction'!H51/'Support Sheet'!$G$10</f>
        <v>0</v>
      </c>
      <c r="I51" s="782">
        <f>'Related Party Transaction'!I51/'Support Sheet'!$G$10</f>
        <v>0</v>
      </c>
      <c r="J51" s="782">
        <f>'Related Party Transaction'!J51/'Support Sheet'!$G$10</f>
        <v>0</v>
      </c>
    </row>
    <row r="52" spans="1:10" hidden="1">
      <c r="A52" s="787">
        <f t="shared" si="2"/>
        <v>15</v>
      </c>
      <c r="B52" s="318">
        <f t="shared" si="1"/>
        <v>0</v>
      </c>
      <c r="C52" s="782">
        <f>'Related Party Transaction'!C52/'Support Sheet'!$G$10</f>
        <v>0</v>
      </c>
      <c r="D52" s="782">
        <f>'Related Party Transaction'!D52/'Support Sheet'!$G$10</f>
        <v>0</v>
      </c>
      <c r="E52" s="782">
        <f>'Related Party Transaction'!E52/'Support Sheet'!$G$10</f>
        <v>0</v>
      </c>
      <c r="F52" s="782">
        <f>'Related Party Transaction'!F52/'Support Sheet'!$G$10</f>
        <v>0</v>
      </c>
      <c r="G52" s="782">
        <f>'Related Party Transaction'!G52/'Support Sheet'!$G$10</f>
        <v>0</v>
      </c>
      <c r="H52" s="782">
        <f>'Related Party Transaction'!H52/'Support Sheet'!$G$10</f>
        <v>0</v>
      </c>
      <c r="I52" s="782">
        <f>'Related Party Transaction'!I52/'Support Sheet'!$G$10</f>
        <v>0</v>
      </c>
      <c r="J52" s="782">
        <f>'Related Party Transaction'!J52/'Support Sheet'!$G$10</f>
        <v>0</v>
      </c>
    </row>
    <row r="53" spans="1:10" hidden="1">
      <c r="A53" s="787">
        <f t="shared" si="2"/>
        <v>16</v>
      </c>
      <c r="B53" s="318">
        <f t="shared" si="1"/>
        <v>0</v>
      </c>
      <c r="C53" s="782">
        <f>'Related Party Transaction'!C53/'Support Sheet'!$G$10</f>
        <v>0</v>
      </c>
      <c r="D53" s="782">
        <f>'Related Party Transaction'!D53/'Support Sheet'!$G$10</f>
        <v>0</v>
      </c>
      <c r="E53" s="782">
        <f>'Related Party Transaction'!E53/'Support Sheet'!$G$10</f>
        <v>0</v>
      </c>
      <c r="F53" s="782">
        <f>'Related Party Transaction'!F53/'Support Sheet'!$G$10</f>
        <v>0</v>
      </c>
      <c r="G53" s="782">
        <f>'Related Party Transaction'!G53/'Support Sheet'!$G$10</f>
        <v>0</v>
      </c>
      <c r="H53" s="782">
        <f>'Related Party Transaction'!H53/'Support Sheet'!$G$10</f>
        <v>0</v>
      </c>
      <c r="I53" s="782">
        <f>'Related Party Transaction'!I53/'Support Sheet'!$G$10</f>
        <v>0</v>
      </c>
      <c r="J53" s="782">
        <f>'Related Party Transaction'!J53/'Support Sheet'!$G$10</f>
        <v>0</v>
      </c>
    </row>
    <row r="54" spans="1:10" hidden="1">
      <c r="A54" s="787">
        <f t="shared" si="2"/>
        <v>17</v>
      </c>
      <c r="B54" s="318">
        <f t="shared" si="1"/>
        <v>0</v>
      </c>
      <c r="C54" s="782">
        <f>'Related Party Transaction'!C54/'Support Sheet'!$G$10</f>
        <v>0</v>
      </c>
      <c r="D54" s="782">
        <f>'Related Party Transaction'!D54/'Support Sheet'!$G$10</f>
        <v>0</v>
      </c>
      <c r="E54" s="782">
        <f>'Related Party Transaction'!E54/'Support Sheet'!$G$10</f>
        <v>0</v>
      </c>
      <c r="F54" s="782">
        <f>'Related Party Transaction'!F54/'Support Sheet'!$G$10</f>
        <v>0</v>
      </c>
      <c r="G54" s="782">
        <f>'Related Party Transaction'!G54/'Support Sheet'!$G$10</f>
        <v>0</v>
      </c>
      <c r="H54" s="782">
        <f>'Related Party Transaction'!H54/'Support Sheet'!$G$10</f>
        <v>0</v>
      </c>
      <c r="I54" s="782">
        <f>'Related Party Transaction'!I54/'Support Sheet'!$G$10</f>
        <v>0</v>
      </c>
      <c r="J54" s="782">
        <f>'Related Party Transaction'!J54/'Support Sheet'!$G$10</f>
        <v>0</v>
      </c>
    </row>
    <row r="55" spans="1:10" hidden="1">
      <c r="A55" s="787">
        <f t="shared" si="2"/>
        <v>18</v>
      </c>
      <c r="B55" s="318">
        <f t="shared" si="1"/>
        <v>0</v>
      </c>
      <c r="C55" s="782">
        <f>'Related Party Transaction'!C55/'Support Sheet'!$G$10</f>
        <v>0</v>
      </c>
      <c r="D55" s="782">
        <f>'Related Party Transaction'!D55/'Support Sheet'!$G$10</f>
        <v>0</v>
      </c>
      <c r="E55" s="782">
        <f>'Related Party Transaction'!E55/'Support Sheet'!$G$10</f>
        <v>0</v>
      </c>
      <c r="F55" s="782">
        <f>'Related Party Transaction'!F55/'Support Sheet'!$G$10</f>
        <v>0</v>
      </c>
      <c r="G55" s="782">
        <f>'Related Party Transaction'!G55/'Support Sheet'!$G$10</f>
        <v>0</v>
      </c>
      <c r="H55" s="782">
        <f>'Related Party Transaction'!H55/'Support Sheet'!$G$10</f>
        <v>0</v>
      </c>
      <c r="I55" s="782">
        <f>'Related Party Transaction'!I55/'Support Sheet'!$G$10</f>
        <v>0</v>
      </c>
      <c r="J55" s="782">
        <f>'Related Party Transaction'!J55/'Support Sheet'!$G$10</f>
        <v>0</v>
      </c>
    </row>
    <row r="56" spans="1:10" hidden="1">
      <c r="A56" s="787">
        <f t="shared" si="2"/>
        <v>19</v>
      </c>
      <c r="B56" s="318">
        <f t="shared" si="1"/>
        <v>0</v>
      </c>
      <c r="C56" s="782">
        <f>'Related Party Transaction'!C56/'Support Sheet'!$G$10</f>
        <v>0</v>
      </c>
      <c r="D56" s="782">
        <f>'Related Party Transaction'!D56/'Support Sheet'!$G$10</f>
        <v>0</v>
      </c>
      <c r="E56" s="782">
        <f>'Related Party Transaction'!E56/'Support Sheet'!$G$10</f>
        <v>0</v>
      </c>
      <c r="F56" s="782">
        <f>'Related Party Transaction'!F56/'Support Sheet'!$G$10</f>
        <v>0</v>
      </c>
      <c r="G56" s="782">
        <f>'Related Party Transaction'!G56/'Support Sheet'!$G$10</f>
        <v>0</v>
      </c>
      <c r="H56" s="782">
        <f>'Related Party Transaction'!H56/'Support Sheet'!$G$10</f>
        <v>0</v>
      </c>
      <c r="I56" s="782">
        <f>'Related Party Transaction'!I56/'Support Sheet'!$G$10</f>
        <v>0</v>
      </c>
      <c r="J56" s="782">
        <f>'Related Party Transaction'!J56/'Support Sheet'!$G$10</f>
        <v>0</v>
      </c>
    </row>
    <row r="57" spans="1:10" ht="15" hidden="1" thickBot="1">
      <c r="A57" s="787">
        <f t="shared" si="2"/>
        <v>20</v>
      </c>
      <c r="B57" s="318">
        <f t="shared" si="1"/>
        <v>0</v>
      </c>
      <c r="C57" s="782">
        <f>'Related Party Transaction'!C57/'Support Sheet'!$G$10</f>
        <v>0</v>
      </c>
      <c r="D57" s="782">
        <f>'Related Party Transaction'!D57/'Support Sheet'!$G$10</f>
        <v>0</v>
      </c>
      <c r="E57" s="782">
        <f>'Related Party Transaction'!E57/'Support Sheet'!$G$10</f>
        <v>0</v>
      </c>
      <c r="F57" s="782">
        <f>'Related Party Transaction'!F57/'Support Sheet'!$G$10</f>
        <v>0</v>
      </c>
      <c r="G57" s="782">
        <f>'Related Party Transaction'!G57/'Support Sheet'!$G$10</f>
        <v>0</v>
      </c>
      <c r="H57" s="782">
        <f>'Related Party Transaction'!H57/'Support Sheet'!$G$10</f>
        <v>0</v>
      </c>
      <c r="I57" s="782">
        <f>'Related Party Transaction'!I57/'Support Sheet'!$G$10</f>
        <v>0</v>
      </c>
      <c r="J57" s="782">
        <f>'Related Party Transaction'!J57/'Support Sheet'!$G$10</f>
        <v>0</v>
      </c>
    </row>
    <row r="58" spans="1:10" ht="15" thickBot="1">
      <c r="A58" s="967" t="s">
        <v>14</v>
      </c>
      <c r="B58" s="968"/>
      <c r="C58" s="792">
        <f>SUM(C38:C56)</f>
        <v>0</v>
      </c>
      <c r="D58" s="793">
        <f>SUM(D38:D55)</f>
        <v>0</v>
      </c>
      <c r="E58" s="793">
        <f t="shared" ref="E58:J58" si="3">SUM(E38:E56)</f>
        <v>0</v>
      </c>
      <c r="F58" s="793">
        <f t="shared" si="3"/>
        <v>0</v>
      </c>
      <c r="G58" s="793">
        <f t="shared" si="3"/>
        <v>0</v>
      </c>
      <c r="H58" s="793">
        <f t="shared" si="3"/>
        <v>0</v>
      </c>
      <c r="I58" s="793">
        <f t="shared" si="3"/>
        <v>0</v>
      </c>
      <c r="J58" s="794">
        <f t="shared" si="3"/>
        <v>0</v>
      </c>
    </row>
  </sheetData>
  <mergeCells count="8">
    <mergeCell ref="A58:B58"/>
    <mergeCell ref="A1:J1"/>
    <mergeCell ref="A2:J2"/>
    <mergeCell ref="A3:J3"/>
    <mergeCell ref="A4:J4"/>
    <mergeCell ref="C36:D36"/>
    <mergeCell ref="E36:F36"/>
    <mergeCell ref="G36:H36"/>
  </mergeCells>
  <pageMargins left="0.70866141732283472" right="0.70866141732283472" top="0.74803149606299213" bottom="0.74803149606299213" header="0.31496062992125984" footer="0.31496062992125984"/>
  <pageSetup scale="51"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B125-BD69-4DA1-BE46-A02E15CF0419}">
  <dimension ref="A1:F127"/>
  <sheetViews>
    <sheetView showGridLines="0" topLeftCell="A65" zoomScaleNormal="100" workbookViewId="0">
      <selection activeCell="A72" sqref="A72"/>
    </sheetView>
  </sheetViews>
  <sheetFormatPr defaultRowHeight="14.4"/>
  <cols>
    <col min="1" max="1" width="107.109375" bestFit="1" customWidth="1"/>
  </cols>
  <sheetData>
    <row r="1" spans="1:1" ht="18">
      <c r="A1" s="261" t="s">
        <v>229</v>
      </c>
    </row>
    <row r="2" spans="1:1">
      <c r="A2" s="227"/>
    </row>
    <row r="3" spans="1:1">
      <c r="A3" s="231" t="s">
        <v>236</v>
      </c>
    </row>
    <row r="4" spans="1:1">
      <c r="A4" s="49" t="s">
        <v>230</v>
      </c>
    </row>
    <row r="5" spans="1:1">
      <c r="A5" s="49" t="s">
        <v>231</v>
      </c>
    </row>
    <row r="6" spans="1:1" ht="72">
      <c r="A6" s="212" t="s">
        <v>232</v>
      </c>
    </row>
    <row r="7" spans="1:1">
      <c r="A7" t="s">
        <v>233</v>
      </c>
    </row>
    <row r="8" spans="1:1">
      <c r="A8" t="s">
        <v>234</v>
      </c>
    </row>
    <row r="9" spans="1:1">
      <c r="A9" t="s">
        <v>235</v>
      </c>
    </row>
    <row r="12" spans="1:1">
      <c r="A12" s="231" t="s">
        <v>249</v>
      </c>
    </row>
    <row r="13" spans="1:1">
      <c r="A13" t="s">
        <v>245</v>
      </c>
    </row>
    <row r="14" spans="1:1">
      <c r="A14" t="s">
        <v>246</v>
      </c>
    </row>
    <row r="15" spans="1:1">
      <c r="A15" t="s">
        <v>247</v>
      </c>
    </row>
    <row r="16" spans="1:1">
      <c r="A16" t="s">
        <v>248</v>
      </c>
    </row>
    <row r="19" spans="1:6">
      <c r="A19" s="231" t="s">
        <v>237</v>
      </c>
    </row>
    <row r="20" spans="1:6">
      <c r="A20" s="212" t="s">
        <v>250</v>
      </c>
    </row>
    <row r="21" spans="1:6" ht="28.8">
      <c r="A21" s="212" t="s">
        <v>251</v>
      </c>
    </row>
    <row r="22" spans="1:6" ht="28.8">
      <c r="A22" s="212" t="s">
        <v>252</v>
      </c>
    </row>
    <row r="23" spans="1:6" ht="43.2">
      <c r="A23" s="212" t="s">
        <v>253</v>
      </c>
    </row>
    <row r="24" spans="1:6">
      <c r="A24" s="212" t="s">
        <v>254</v>
      </c>
    </row>
    <row r="25" spans="1:6" ht="43.2">
      <c r="A25" s="212" t="s">
        <v>255</v>
      </c>
    </row>
    <row r="26" spans="1:6" ht="43.8" thickBot="1">
      <c r="A26" s="212" t="s">
        <v>256</v>
      </c>
    </row>
    <row r="27" spans="1:6" ht="15" thickBot="1">
      <c r="A27" s="1072" t="s">
        <v>267</v>
      </c>
      <c r="B27" s="1073"/>
      <c r="C27" s="1073"/>
      <c r="D27" s="1073"/>
      <c r="E27" s="1073"/>
      <c r="F27" s="1074"/>
    </row>
    <row r="28" spans="1:6" ht="43.2">
      <c r="A28" s="239" t="s">
        <v>0</v>
      </c>
      <c r="B28" s="240" t="s">
        <v>257</v>
      </c>
      <c r="C28" s="240" t="s">
        <v>258</v>
      </c>
      <c r="D28" s="240" t="s">
        <v>259</v>
      </c>
      <c r="E28" s="240" t="s">
        <v>260</v>
      </c>
      <c r="F28" s="241" t="s">
        <v>14</v>
      </c>
    </row>
    <row r="29" spans="1:6">
      <c r="A29" s="233" t="s">
        <v>261</v>
      </c>
      <c r="B29" s="232"/>
      <c r="C29" s="232"/>
      <c r="D29" s="232"/>
      <c r="E29" s="232"/>
      <c r="F29" s="234"/>
    </row>
    <row r="30" spans="1:6">
      <c r="A30" s="233" t="s">
        <v>262</v>
      </c>
      <c r="B30" s="232"/>
      <c r="C30" s="232"/>
      <c r="D30" s="232"/>
      <c r="E30" s="232"/>
      <c r="F30" s="234"/>
    </row>
    <row r="31" spans="1:6">
      <c r="A31" s="233" t="s">
        <v>265</v>
      </c>
      <c r="B31" s="232"/>
      <c r="C31" s="232"/>
      <c r="D31" s="232"/>
      <c r="E31" s="232"/>
      <c r="F31" s="234"/>
    </row>
    <row r="32" spans="1:6">
      <c r="A32" s="233" t="s">
        <v>263</v>
      </c>
      <c r="B32" s="232"/>
      <c r="C32" s="232"/>
      <c r="D32" s="232"/>
      <c r="E32" s="232"/>
      <c r="F32" s="234"/>
    </row>
    <row r="33" spans="1:6" ht="15" thickBot="1">
      <c r="A33" s="235" t="s">
        <v>264</v>
      </c>
      <c r="B33" s="236"/>
      <c r="C33" s="236"/>
      <c r="D33" s="236"/>
      <c r="E33" s="236"/>
      <c r="F33" s="237"/>
    </row>
    <row r="34" spans="1:6" ht="28.8">
      <c r="A34" s="238" t="s">
        <v>266</v>
      </c>
    </row>
    <row r="37" spans="1:6">
      <c r="A37" s="231" t="s">
        <v>272</v>
      </c>
    </row>
    <row r="38" spans="1:6" ht="57.6">
      <c r="A38" s="212" t="s">
        <v>271</v>
      </c>
    </row>
    <row r="39" spans="1:6" ht="57.6">
      <c r="A39" s="252" t="s">
        <v>273</v>
      </c>
    </row>
    <row r="42" spans="1:6">
      <c r="A42" s="253" t="s">
        <v>285</v>
      </c>
    </row>
    <row r="43" spans="1:6">
      <c r="A43" s="297" t="s">
        <v>418</v>
      </c>
    </row>
    <row r="44" spans="1:6">
      <c r="A44" s="297" t="s">
        <v>419</v>
      </c>
    </row>
    <row r="45" spans="1:6">
      <c r="A45" s="297" t="s">
        <v>423</v>
      </c>
    </row>
    <row r="46" spans="1:6">
      <c r="A46" s="297" t="s">
        <v>420</v>
      </c>
      <c r="B46" s="49"/>
    </row>
    <row r="47" spans="1:6">
      <c r="A47" s="243" t="s">
        <v>421</v>
      </c>
      <c r="B47" s="48"/>
    </row>
    <row r="48" spans="1:6">
      <c r="A48" s="243" t="s">
        <v>422</v>
      </c>
      <c r="B48" s="48"/>
    </row>
    <row r="49" spans="1:2">
      <c r="A49" s="243"/>
      <c r="B49" s="48"/>
    </row>
    <row r="50" spans="1:2">
      <c r="A50" s="243"/>
      <c r="B50" s="48"/>
    </row>
    <row r="51" spans="1:2">
      <c r="A51" s="254" t="s">
        <v>295</v>
      </c>
      <c r="B51" s="49"/>
    </row>
    <row r="52" spans="1:2">
      <c r="A52" s="297" t="s">
        <v>414</v>
      </c>
      <c r="B52" s="49"/>
    </row>
    <row r="53" spans="1:2">
      <c r="A53" s="297" t="s">
        <v>415</v>
      </c>
      <c r="B53" s="49"/>
    </row>
    <row r="54" spans="1:2">
      <c r="A54" s="297" t="s">
        <v>416</v>
      </c>
      <c r="B54" s="49"/>
    </row>
    <row r="55" spans="1:2">
      <c r="A55" s="296"/>
      <c r="B55" s="49"/>
    </row>
    <row r="56" spans="1:2">
      <c r="A56" t="s">
        <v>296</v>
      </c>
      <c r="B56" s="49"/>
    </row>
    <row r="57" spans="1:2">
      <c r="B57" s="49"/>
    </row>
    <row r="58" spans="1:2">
      <c r="A58" t="s">
        <v>297</v>
      </c>
      <c r="B58" s="49"/>
    </row>
    <row r="59" spans="1:2">
      <c r="A59" t="s">
        <v>298</v>
      </c>
      <c r="B59" s="49"/>
    </row>
    <row r="60" spans="1:2">
      <c r="A60" t="s">
        <v>299</v>
      </c>
    </row>
    <row r="61" spans="1:2">
      <c r="A61" t="s">
        <v>300</v>
      </c>
    </row>
    <row r="64" spans="1:2">
      <c r="A64" s="231" t="s">
        <v>307</v>
      </c>
    </row>
    <row r="65" spans="1:1">
      <c r="A65" t="s">
        <v>308</v>
      </c>
    </row>
    <row r="66" spans="1:1">
      <c r="A66" t="s">
        <v>304</v>
      </c>
    </row>
    <row r="67" spans="1:1">
      <c r="A67" t="s">
        <v>305</v>
      </c>
    </row>
    <row r="68" spans="1:1">
      <c r="A68" t="s">
        <v>306</v>
      </c>
    </row>
    <row r="69" spans="1:1">
      <c r="A69" t="s">
        <v>309</v>
      </c>
    </row>
    <row r="70" spans="1:1" ht="43.2">
      <c r="A70" s="212" t="s">
        <v>310</v>
      </c>
    </row>
    <row r="72" spans="1:1">
      <c r="A72" s="231" t="s">
        <v>311</v>
      </c>
    </row>
    <row r="73" spans="1:1">
      <c r="A73" s="170" t="s">
        <v>312</v>
      </c>
    </row>
    <row r="74" spans="1:1">
      <c r="A74" s="170" t="s">
        <v>313</v>
      </c>
    </row>
    <row r="75" spans="1:1">
      <c r="A75" s="170" t="s">
        <v>314</v>
      </c>
    </row>
    <row r="76" spans="1:1">
      <c r="A76" s="170" t="s">
        <v>315</v>
      </c>
    </row>
    <row r="77" spans="1:1" ht="43.2">
      <c r="A77" s="255" t="s">
        <v>316</v>
      </c>
    </row>
    <row r="80" spans="1:1">
      <c r="A80" s="231" t="s">
        <v>317</v>
      </c>
    </row>
    <row r="81" spans="1:1" ht="72">
      <c r="A81" s="256" t="s">
        <v>323</v>
      </c>
    </row>
    <row r="82" spans="1:1">
      <c r="A82" s="170" t="s">
        <v>297</v>
      </c>
    </row>
    <row r="83" spans="1:1">
      <c r="A83" s="255" t="s">
        <v>319</v>
      </c>
    </row>
    <row r="84" spans="1:1">
      <c r="A84" t="s">
        <v>320</v>
      </c>
    </row>
    <row r="85" spans="1:1">
      <c r="A85" t="s">
        <v>321</v>
      </c>
    </row>
    <row r="86" spans="1:1">
      <c r="A86" t="s">
        <v>322</v>
      </c>
    </row>
    <row r="88" spans="1:1">
      <c r="A88" t="s">
        <v>324</v>
      </c>
    </row>
    <row r="89" spans="1:1">
      <c r="A89" t="s">
        <v>325</v>
      </c>
    </row>
    <row r="90" spans="1:1">
      <c r="A90" t="s">
        <v>326</v>
      </c>
    </row>
    <row r="91" spans="1:1">
      <c r="A91" t="s">
        <v>327</v>
      </c>
    </row>
    <row r="92" spans="1:1">
      <c r="A92" t="s">
        <v>328</v>
      </c>
    </row>
    <row r="93" spans="1:1">
      <c r="A93" t="s">
        <v>329</v>
      </c>
    </row>
    <row r="94" spans="1:1">
      <c r="A94" t="s">
        <v>330</v>
      </c>
    </row>
    <row r="95" spans="1:1">
      <c r="A95" t="s">
        <v>281</v>
      </c>
    </row>
    <row r="98" spans="1:1">
      <c r="A98" s="231" t="s">
        <v>333</v>
      </c>
    </row>
    <row r="99" spans="1:1">
      <c r="A99" s="170" t="s">
        <v>312</v>
      </c>
    </row>
    <row r="100" spans="1:1">
      <c r="A100" s="170" t="s">
        <v>313</v>
      </c>
    </row>
    <row r="101" spans="1:1">
      <c r="A101" s="170" t="s">
        <v>314</v>
      </c>
    </row>
    <row r="102" spans="1:1">
      <c r="A102" s="170" t="s">
        <v>315</v>
      </c>
    </row>
    <row r="103" spans="1:1" ht="43.2">
      <c r="A103" s="255" t="s">
        <v>316</v>
      </c>
    </row>
    <row r="104" spans="1:1">
      <c r="A104" s="255"/>
    </row>
    <row r="105" spans="1:1">
      <c r="A105" s="255"/>
    </row>
    <row r="106" spans="1:1">
      <c r="A106" s="231" t="s">
        <v>336</v>
      </c>
    </row>
    <row r="107" spans="1:1">
      <c r="A107" s="255" t="s">
        <v>337</v>
      </c>
    </row>
    <row r="108" spans="1:1" ht="28.8">
      <c r="A108" s="255" t="s">
        <v>338</v>
      </c>
    </row>
    <row r="109" spans="1:1">
      <c r="A109" s="255" t="s">
        <v>339</v>
      </c>
    </row>
    <row r="110" spans="1:1">
      <c r="A110" s="255" t="s">
        <v>340</v>
      </c>
    </row>
    <row r="112" spans="1:1">
      <c r="A112" t="s">
        <v>303</v>
      </c>
    </row>
    <row r="113" spans="1:1">
      <c r="A113" t="s">
        <v>270</v>
      </c>
    </row>
    <row r="115" spans="1:1">
      <c r="A115" s="231" t="s">
        <v>341</v>
      </c>
    </row>
    <row r="116" spans="1:1">
      <c r="A116" t="s">
        <v>342</v>
      </c>
    </row>
    <row r="117" spans="1:1">
      <c r="A117" t="s">
        <v>304</v>
      </c>
    </row>
    <row r="118" spans="1:1">
      <c r="A118" t="s">
        <v>305</v>
      </c>
    </row>
    <row r="119" spans="1:1">
      <c r="A119" t="s">
        <v>306</v>
      </c>
    </row>
    <row r="120" spans="1:1">
      <c r="A120" t="s">
        <v>309</v>
      </c>
    </row>
    <row r="121" spans="1:1" ht="43.2">
      <c r="A121" s="212" t="s">
        <v>343</v>
      </c>
    </row>
    <row r="124" spans="1:1">
      <c r="A124" s="257" t="s">
        <v>352</v>
      </c>
    </row>
    <row r="125" spans="1:1">
      <c r="A125" s="212" t="s">
        <v>349</v>
      </c>
    </row>
    <row r="126" spans="1:1">
      <c r="A126" t="s">
        <v>350</v>
      </c>
    </row>
    <row r="127" spans="1:1">
      <c r="A127" t="s">
        <v>351</v>
      </c>
    </row>
  </sheetData>
  <mergeCells count="1">
    <mergeCell ref="A27:F27"/>
  </mergeCells>
  <conditionalFormatting sqref="B46:B59">
    <cfRule type="duplicateValues" dxfId="0" priority="11"/>
  </conditionalFormatting>
  <hyperlinks>
    <hyperlink ref="A107" r:id="rId1" display="https://www.mca.gov.in/content/mca/global/en/acts-rules/ebooks/acts.html?act=NTk2MQ==" xr:uid="{6889A1CD-F74A-4DEC-B8EB-A3D2FD0FB1D4}"/>
  </hyperlinks>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799F6-D891-4D3C-B8C0-23D7BBDD36B7}">
  <dimension ref="A3:AD87"/>
  <sheetViews>
    <sheetView topLeftCell="O21" workbookViewId="0">
      <selection activeCell="Z24" sqref="Z24:AC29"/>
    </sheetView>
  </sheetViews>
  <sheetFormatPr defaultRowHeight="14.4"/>
  <cols>
    <col min="1" max="1" width="15.5546875" customWidth="1"/>
    <col min="26" max="26" width="17.44140625" customWidth="1"/>
    <col min="27" max="27" width="19.5546875" customWidth="1"/>
    <col min="28" max="28" width="13" customWidth="1"/>
    <col min="29" max="29" width="14.6640625" customWidth="1"/>
  </cols>
  <sheetData>
    <row r="3" spans="1:1">
      <c r="A3" s="231" t="s">
        <v>511</v>
      </c>
    </row>
    <row r="4" spans="1:1" ht="17.399999999999999">
      <c r="A4" s="352" t="s">
        <v>512</v>
      </c>
    </row>
    <row r="5" spans="1:1" ht="17.399999999999999">
      <c r="A5" s="352" t="s">
        <v>513</v>
      </c>
    </row>
    <row r="6" spans="1:1" ht="17.399999999999999">
      <c r="A6" s="352" t="s">
        <v>514</v>
      </c>
    </row>
    <row r="7" spans="1:1" ht="17.399999999999999">
      <c r="A7" s="352" t="s">
        <v>515</v>
      </c>
    </row>
    <row r="10" spans="1:1">
      <c r="A10" s="356" t="s">
        <v>516</v>
      </c>
    </row>
    <row r="11" spans="1:1">
      <c r="A11" s="354" t="s">
        <v>517</v>
      </c>
    </row>
    <row r="12" spans="1:1">
      <c r="A12" s="355" t="s">
        <v>518</v>
      </c>
    </row>
    <row r="13" spans="1:1">
      <c r="A13" s="355" t="s">
        <v>519</v>
      </c>
    </row>
    <row r="14" spans="1:1">
      <c r="A14" s="354" t="s">
        <v>520</v>
      </c>
    </row>
    <row r="15" spans="1:1">
      <c r="A15" s="354" t="s">
        <v>521</v>
      </c>
    </row>
    <row r="17" spans="1:30">
      <c r="A17" s="357" t="s">
        <v>522</v>
      </c>
    </row>
    <row r="18" spans="1:30">
      <c r="A18" s="357" t="s">
        <v>523</v>
      </c>
    </row>
    <row r="19" spans="1:30">
      <c r="A19" s="357" t="s">
        <v>524</v>
      </c>
    </row>
    <row r="20" spans="1:30">
      <c r="A20" s="358" t="s">
        <v>525</v>
      </c>
    </row>
    <row r="21" spans="1:30">
      <c r="A21" s="357" t="s">
        <v>526</v>
      </c>
    </row>
    <row r="22" spans="1:30">
      <c r="A22" s="357" t="s">
        <v>527</v>
      </c>
    </row>
    <row r="23" spans="1:30">
      <c r="A23" s="357" t="s">
        <v>528</v>
      </c>
    </row>
    <row r="24" spans="1:30">
      <c r="A24" s="357" t="s">
        <v>529</v>
      </c>
      <c r="AD24" s="212"/>
    </row>
    <row r="25" spans="1:30">
      <c r="A25" s="358" t="s">
        <v>530</v>
      </c>
      <c r="AD25" s="212"/>
    </row>
    <row r="26" spans="1:30">
      <c r="A26" s="357" t="s">
        <v>531</v>
      </c>
      <c r="AD26" s="212"/>
    </row>
    <row r="27" spans="1:30">
      <c r="A27" s="357" t="s">
        <v>532</v>
      </c>
      <c r="AD27" s="212"/>
    </row>
    <row r="28" spans="1:30">
      <c r="A28" s="357" t="s">
        <v>533</v>
      </c>
      <c r="AD28" s="212"/>
    </row>
    <row r="29" spans="1:30">
      <c r="A29" s="358" t="s">
        <v>534</v>
      </c>
      <c r="AD29" s="212"/>
    </row>
    <row r="30" spans="1:30">
      <c r="A30" s="358" t="s">
        <v>535</v>
      </c>
    </row>
    <row r="31" spans="1:30">
      <c r="A31" s="357" t="s">
        <v>536</v>
      </c>
    </row>
    <row r="32" spans="1:30">
      <c r="A32" s="357" t="s">
        <v>537</v>
      </c>
    </row>
    <row r="33" spans="1:1">
      <c r="A33" s="357" t="s">
        <v>538</v>
      </c>
    </row>
    <row r="34" spans="1:1">
      <c r="A34" s="358" t="s">
        <v>539</v>
      </c>
    </row>
    <row r="35" spans="1:1">
      <c r="A35" s="357" t="s">
        <v>540</v>
      </c>
    </row>
    <row r="36" spans="1:1">
      <c r="A36" s="358" t="s">
        <v>541</v>
      </c>
    </row>
    <row r="37" spans="1:1">
      <c r="A37" s="357" t="s">
        <v>542</v>
      </c>
    </row>
    <row r="38" spans="1:1">
      <c r="A38" s="357" t="s">
        <v>543</v>
      </c>
    </row>
    <row r="39" spans="1:1">
      <c r="A39" s="358" t="s">
        <v>544</v>
      </c>
    </row>
    <row r="40" spans="1:1">
      <c r="A40" s="357" t="s">
        <v>545</v>
      </c>
    </row>
    <row r="41" spans="1:1">
      <c r="A41" s="357" t="s">
        <v>546</v>
      </c>
    </row>
    <row r="42" spans="1:1">
      <c r="A42" s="357" t="s">
        <v>547</v>
      </c>
    </row>
    <row r="43" spans="1:1">
      <c r="A43" s="357" t="s">
        <v>548</v>
      </c>
    </row>
    <row r="44" spans="1:1">
      <c r="A44" s="357" t="s">
        <v>549</v>
      </c>
    </row>
    <row r="45" spans="1:1">
      <c r="A45" s="357" t="s">
        <v>550</v>
      </c>
    </row>
    <row r="46" spans="1:1">
      <c r="A46" s="357" t="s">
        <v>551</v>
      </c>
    </row>
    <row r="47" spans="1:1">
      <c r="A47" s="357" t="s">
        <v>552</v>
      </c>
    </row>
    <row r="48" spans="1:1">
      <c r="A48" s="357" t="s">
        <v>553</v>
      </c>
    </row>
    <row r="49" spans="1:1">
      <c r="A49" s="357" t="s">
        <v>554</v>
      </c>
    </row>
    <row r="50" spans="1:1">
      <c r="A50" s="357" t="s">
        <v>555</v>
      </c>
    </row>
    <row r="51" spans="1:1">
      <c r="A51" s="357" t="s">
        <v>556</v>
      </c>
    </row>
    <row r="52" spans="1:1">
      <c r="A52" s="357" t="s">
        <v>557</v>
      </c>
    </row>
    <row r="53" spans="1:1">
      <c r="A53" s="357" t="s">
        <v>558</v>
      </c>
    </row>
    <row r="54" spans="1:1">
      <c r="A54" s="357" t="s">
        <v>559</v>
      </c>
    </row>
    <row r="55" spans="1:1">
      <c r="A55" s="357" t="s">
        <v>560</v>
      </c>
    </row>
    <row r="56" spans="1:1">
      <c r="A56" s="357" t="s">
        <v>561</v>
      </c>
    </row>
    <row r="57" spans="1:1">
      <c r="A57" s="359" t="s">
        <v>589</v>
      </c>
    </row>
    <row r="58" spans="1:1">
      <c r="A58" s="357" t="s">
        <v>562</v>
      </c>
    </row>
    <row r="59" spans="1:1">
      <c r="A59" s="357" t="s">
        <v>563</v>
      </c>
    </row>
    <row r="60" spans="1:1">
      <c r="A60" s="357" t="s">
        <v>564</v>
      </c>
    </row>
    <row r="61" spans="1:1">
      <c r="A61" s="358" t="s">
        <v>565</v>
      </c>
    </row>
    <row r="62" spans="1:1">
      <c r="A62" s="358" t="s">
        <v>566</v>
      </c>
    </row>
    <row r="63" spans="1:1">
      <c r="A63" s="357" t="s">
        <v>590</v>
      </c>
    </row>
    <row r="64" spans="1:1">
      <c r="A64" s="358" t="s">
        <v>567</v>
      </c>
    </row>
    <row r="65" spans="1:1">
      <c r="A65" s="357" t="s">
        <v>568</v>
      </c>
    </row>
    <row r="66" spans="1:1">
      <c r="A66" s="357" t="s">
        <v>569</v>
      </c>
    </row>
    <row r="67" spans="1:1">
      <c r="A67" s="358" t="s">
        <v>570</v>
      </c>
    </row>
    <row r="68" spans="1:1">
      <c r="A68" s="357" t="s">
        <v>571</v>
      </c>
    </row>
    <row r="69" spans="1:1">
      <c r="A69" s="358" t="s">
        <v>572</v>
      </c>
    </row>
    <row r="70" spans="1:1">
      <c r="A70" s="358" t="s">
        <v>573</v>
      </c>
    </row>
    <row r="71" spans="1:1">
      <c r="A71" s="357" t="s">
        <v>591</v>
      </c>
    </row>
    <row r="72" spans="1:1">
      <c r="A72" s="357" t="s">
        <v>574</v>
      </c>
    </row>
    <row r="73" spans="1:1">
      <c r="A73" s="357" t="s">
        <v>592</v>
      </c>
    </row>
    <row r="74" spans="1:1">
      <c r="A74" s="358" t="s">
        <v>575</v>
      </c>
    </row>
    <row r="75" spans="1:1">
      <c r="A75" s="357" t="s">
        <v>576</v>
      </c>
    </row>
    <row r="76" spans="1:1">
      <c r="A76" s="357" t="s">
        <v>577</v>
      </c>
    </row>
    <row r="77" spans="1:1">
      <c r="A77" s="357" t="s">
        <v>578</v>
      </c>
    </row>
    <row r="78" spans="1:1">
      <c r="A78" s="357" t="s">
        <v>579</v>
      </c>
    </row>
    <row r="79" spans="1:1">
      <c r="A79" s="357" t="s">
        <v>580</v>
      </c>
    </row>
    <row r="80" spans="1:1">
      <c r="A80" s="358" t="s">
        <v>581</v>
      </c>
    </row>
    <row r="81" spans="1:1">
      <c r="A81" s="357" t="s">
        <v>582</v>
      </c>
    </row>
    <row r="82" spans="1:1">
      <c r="A82" s="357" t="s">
        <v>583</v>
      </c>
    </row>
    <row r="83" spans="1:1">
      <c r="A83" s="357" t="s">
        <v>584</v>
      </c>
    </row>
    <row r="84" spans="1:1">
      <c r="A84" s="357" t="s">
        <v>585</v>
      </c>
    </row>
    <row r="85" spans="1:1">
      <c r="A85" s="357" t="s">
        <v>586</v>
      </c>
    </row>
    <row r="86" spans="1:1">
      <c r="A86" s="357" t="s">
        <v>587</v>
      </c>
    </row>
    <row r="87" spans="1:1">
      <c r="A87" s="357" t="s">
        <v>588</v>
      </c>
    </row>
  </sheetData>
  <hyperlinks>
    <hyperlink ref="A12" r:id="rId1" display="https://www.mca.gov.in/content/mca/global/en/acts-rules/ebooks/acts.html?act=NTk2MQ==" xr:uid="{5F5BF16B-CC57-45B6-9267-9AD77140FF85}"/>
    <hyperlink ref="A13" r:id="rId2" display="https://www.mca.gov.in/content/mca/global/en/acts-rules/ebooks/acts.html?act=NTk2MQ==" xr:uid="{6C9049F4-EF84-4076-8E6F-A4D0F66C2D42}"/>
    <hyperlink ref="A20" r:id="rId3" display="https://www.mca.gov.in/content/mca/global/en/acts-rules/ebooks/acts.html?act=NTk2MQ==" xr:uid="{57F2C912-C1EC-4F1E-A8E8-1EA86C21370E}"/>
    <hyperlink ref="A25" r:id="rId4" display="https://www.mca.gov.in/content/mca/global/en/acts-rules/ebooks/acts.html?act=NTk2MQ==" xr:uid="{44E95020-4907-48C6-9192-4476AE4020FF}"/>
    <hyperlink ref="A29" r:id="rId5" display="https://www.mca.gov.in/content/mca/global/en/acts-rules/ebooks/acts.html?act=NTk2MQ==" xr:uid="{FF08A163-7A6F-4E43-A41F-E3EA46564CD5}"/>
    <hyperlink ref="A30" r:id="rId6" display="https://www.mca.gov.in/content/mca/global/en/acts-rules/ebooks/acts.html?act=NTk2MQ==" xr:uid="{50EE30BC-DE0A-4F06-88D8-33A6D5FEC162}"/>
    <hyperlink ref="A34" r:id="rId7" location="fn4" display="https://www.mca.gov.in/content/mca/global/en/acts-rules/ebooks/acts.html?act=NTk2MQ== - fn4" xr:uid="{704F33CA-31DD-435E-A94C-39BA6D05A6C2}"/>
    <hyperlink ref="A36" r:id="rId8" display="https://www.mca.gov.in/content/mca/global/en/acts-rules/ebooks/acts.html?act=NTk2MQ==" xr:uid="{7B31F937-E395-4D44-905D-92C92FC65E93}"/>
    <hyperlink ref="A39" r:id="rId9" location="fn5" display="https://www.mca.gov.in/content/mca/global/en/acts-rules/ebooks/acts.html?act=NTk2MQ== - fn5" xr:uid="{160CA5DA-E947-422A-9D73-4C225BD5EC2B}"/>
    <hyperlink ref="A61" r:id="rId10" display="https://www.mca.gov.in/content/mca/global/en/acts-rules/ebooks/acts.html?act=NTk2MQ==" xr:uid="{6CACADF5-06E8-4D53-A3B1-55EA9C201ECE}"/>
    <hyperlink ref="A62" r:id="rId11" display="https://www.mca.gov.in/content/mca/global/en/acts-rules/ebooks/acts.html?act=NTk2MQ==" xr:uid="{70A0DF31-CD1D-450D-8F20-75CAFB4C00A1}"/>
    <hyperlink ref="A64" r:id="rId12" location="fn5" display="https://www.mca.gov.in/content/mca/global/en/acts-rules/ebooks/acts.html?act=NTk2MQ== - fn5" xr:uid="{ED7A5F0D-DD13-423E-B69B-01DCD81ECE81}"/>
    <hyperlink ref="A67" r:id="rId13" display="https://www.mca.gov.in/content/mca/global/en/acts-rules/ebooks/acts.html?act=NTk2MQ==" xr:uid="{D6934E5F-E80E-4FD2-BF3B-0813A4AFCDD3}"/>
    <hyperlink ref="A69" r:id="rId14" display="https://www.mca.gov.in/content/mca/global/en/acts-rules/ebooks/acts.html?act=NTk2MQ==" xr:uid="{5F193E16-738F-48C5-8197-2118697C3A73}"/>
    <hyperlink ref="A70" r:id="rId15" location="fn14" display="https://www.mca.gov.in/content/mca/global/en/acts-rules/ebooks/acts.html?act=NTk2MQ== - fn14" xr:uid="{60147A07-AB69-4DB7-B968-4D6EE52E9686}"/>
    <hyperlink ref="A74" r:id="rId16" display="https://www.mca.gov.in/content/mca/global/en/acts-rules/ebooks/acts.html?act=NTk2MQ==" xr:uid="{C02AF0EC-2F13-41A4-B08C-EAE15D82EF2B}"/>
    <hyperlink ref="A80" r:id="rId17" display="https://www.mca.gov.in/content/mca/global/en/acts-rules/ebooks/acts.html?act=NTk2MQ==" xr:uid="{6DF1DD73-890D-49E0-A68D-9E27820A650C}"/>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BCAD-2458-4F28-8C50-8443C299FB48}">
  <dimension ref="B1:G14"/>
  <sheetViews>
    <sheetView showGridLines="0" showRowColHeaders="0" view="pageBreakPreview" zoomScale="98" zoomScaleNormal="100" zoomScaleSheetLayoutView="98" workbookViewId="0">
      <selection activeCell="A2" sqref="A2"/>
    </sheetView>
  </sheetViews>
  <sheetFormatPr defaultRowHeight="14.4"/>
  <cols>
    <col min="2" max="2" width="21" bestFit="1" customWidth="1"/>
    <col min="3" max="3" width="23.109375" bestFit="1" customWidth="1"/>
    <col min="4" max="4" width="23" bestFit="1" customWidth="1"/>
    <col min="5" max="5" width="24.109375" bestFit="1" customWidth="1"/>
    <col min="6" max="6" width="28.109375" bestFit="1" customWidth="1"/>
    <col min="7" max="7" width="23.109375" bestFit="1" customWidth="1"/>
  </cols>
  <sheetData>
    <row r="1" spans="2:7" ht="18">
      <c r="B1" s="1075" t="s">
        <v>22</v>
      </c>
      <c r="C1" s="1075"/>
      <c r="D1" s="1075"/>
      <c r="E1" s="1075"/>
      <c r="F1" s="1075"/>
      <c r="G1" s="1075"/>
    </row>
    <row r="2" spans="2:7">
      <c r="B2" s="1076" t="s">
        <v>23</v>
      </c>
      <c r="C2" s="1076"/>
      <c r="D2" s="1076"/>
      <c r="E2" s="1076"/>
      <c r="F2" s="1076"/>
      <c r="G2" s="1076"/>
    </row>
    <row r="4" spans="2:7" s="173" customFormat="1" ht="15" thickBot="1">
      <c r="B4" s="96" t="s">
        <v>120</v>
      </c>
      <c r="F4"/>
    </row>
    <row r="5" spans="2:7" s="173" customFormat="1">
      <c r="B5" s="177" t="s">
        <v>0</v>
      </c>
      <c r="C5" s="178" t="s">
        <v>132</v>
      </c>
      <c r="D5" s="181" t="s">
        <v>129</v>
      </c>
      <c r="E5" s="181" t="s">
        <v>130</v>
      </c>
      <c r="F5" s="181" t="s">
        <v>133</v>
      </c>
      <c r="G5" s="182" t="s">
        <v>131</v>
      </c>
    </row>
    <row r="6" spans="2:7" s="173" customFormat="1">
      <c r="B6" s="183" t="s">
        <v>121</v>
      </c>
      <c r="C6" s="174">
        <v>0</v>
      </c>
      <c r="D6" s="174">
        <v>0</v>
      </c>
      <c r="E6" s="174">
        <v>0</v>
      </c>
      <c r="F6" s="174">
        <v>0</v>
      </c>
      <c r="G6" s="175">
        <v>0</v>
      </c>
    </row>
    <row r="7" spans="2:7" s="173" customFormat="1">
      <c r="B7" s="183" t="s">
        <v>122</v>
      </c>
      <c r="C7" s="174">
        <v>0</v>
      </c>
      <c r="D7" s="174">
        <v>0</v>
      </c>
      <c r="E7" s="174">
        <v>0</v>
      </c>
      <c r="F7" s="174">
        <v>0</v>
      </c>
      <c r="G7" s="175">
        <v>0</v>
      </c>
    </row>
    <row r="8" spans="2:7" s="173" customFormat="1">
      <c r="B8" s="183" t="s">
        <v>123</v>
      </c>
      <c r="C8" s="174">
        <v>0</v>
      </c>
      <c r="D8" s="174">
        <v>0</v>
      </c>
      <c r="E8" s="174">
        <v>0</v>
      </c>
      <c r="F8" s="174">
        <v>0</v>
      </c>
      <c r="G8" s="175">
        <v>0</v>
      </c>
    </row>
    <row r="9" spans="2:7" s="173" customFormat="1">
      <c r="B9" s="183" t="s">
        <v>124</v>
      </c>
      <c r="C9" s="174">
        <v>0</v>
      </c>
      <c r="D9" s="174">
        <v>0</v>
      </c>
      <c r="E9" s="174">
        <v>0</v>
      </c>
      <c r="F9" s="174">
        <v>0</v>
      </c>
      <c r="G9" s="175">
        <v>0</v>
      </c>
    </row>
    <row r="10" spans="2:7" s="173" customFormat="1">
      <c r="B10" s="183" t="s">
        <v>125</v>
      </c>
      <c r="C10" s="174">
        <v>0</v>
      </c>
      <c r="D10" s="174">
        <v>0</v>
      </c>
      <c r="E10" s="174">
        <v>0</v>
      </c>
      <c r="F10" s="174">
        <v>0</v>
      </c>
      <c r="G10" s="175">
        <v>0</v>
      </c>
    </row>
    <row r="11" spans="2:7" s="173" customFormat="1">
      <c r="B11" s="183" t="s">
        <v>126</v>
      </c>
      <c r="C11" s="174">
        <v>0</v>
      </c>
      <c r="D11" s="174">
        <v>0</v>
      </c>
      <c r="E11" s="174">
        <v>0</v>
      </c>
      <c r="F11" s="174">
        <v>0</v>
      </c>
      <c r="G11" s="175">
        <v>0</v>
      </c>
    </row>
    <row r="12" spans="2:7" s="173" customFormat="1">
      <c r="B12" s="183" t="s">
        <v>127</v>
      </c>
      <c r="C12" s="174">
        <v>0</v>
      </c>
      <c r="D12" s="174">
        <v>0</v>
      </c>
      <c r="E12" s="174">
        <v>0</v>
      </c>
      <c r="F12" s="174">
        <v>0</v>
      </c>
      <c r="G12" s="175">
        <v>0</v>
      </c>
    </row>
    <row r="13" spans="2:7" s="173" customFormat="1" ht="15" thickBot="1">
      <c r="B13" s="184" t="s">
        <v>128</v>
      </c>
      <c r="C13" s="179">
        <f>SUM(C6:C12)</f>
        <v>0</v>
      </c>
      <c r="D13" s="179">
        <f>SUM(D6:D12)</f>
        <v>0</v>
      </c>
      <c r="E13" s="179">
        <f>SUM(E6:E12)</f>
        <v>0</v>
      </c>
      <c r="F13" s="179">
        <f>SUM(F6:F12)</f>
        <v>0</v>
      </c>
      <c r="G13" s="180">
        <f>SUM(G6:G12)</f>
        <v>0</v>
      </c>
    </row>
    <row r="14" spans="2:7">
      <c r="G14" s="176"/>
    </row>
  </sheetData>
  <mergeCells count="2">
    <mergeCell ref="B1:G1"/>
    <mergeCell ref="B2:G2"/>
  </mergeCells>
  <pageMargins left="0.7" right="0.7" top="0.75" bottom="0.75" header="0.3" footer="0.3"/>
  <pageSetup paperSize="9" scale="54"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4CB45-5EEA-4758-9E1C-5BFCA5B25504}">
  <sheetPr>
    <tabColor theme="7"/>
  </sheetPr>
  <dimension ref="B1:D19"/>
  <sheetViews>
    <sheetView showGridLines="0" topLeftCell="B6" workbookViewId="0">
      <selection activeCell="C24" sqref="C24"/>
    </sheetView>
  </sheetViews>
  <sheetFormatPr defaultRowHeight="14.4"/>
  <cols>
    <col min="2" max="2" width="51.6640625" bestFit="1" customWidth="1"/>
    <col min="3" max="3" width="22.44140625" bestFit="1" customWidth="1"/>
    <col min="4" max="4" width="13.44140625" customWidth="1"/>
    <col min="5" max="5" width="4.44140625" bestFit="1" customWidth="1"/>
    <col min="7" max="7" width="10.6640625" bestFit="1" customWidth="1"/>
  </cols>
  <sheetData>
    <row r="1" spans="2:4" ht="18.600000000000001" thickBot="1">
      <c r="B1" s="591" t="s">
        <v>840</v>
      </c>
      <c r="C1" s="451"/>
      <c r="D1" s="451"/>
    </row>
    <row r="2" spans="2:4" s="260" customFormat="1" ht="16.2" thickBot="1">
      <c r="B2" s="602" t="s">
        <v>0</v>
      </c>
      <c r="C2" s="603"/>
      <c r="D2" s="603" t="s">
        <v>370</v>
      </c>
    </row>
    <row r="3" spans="2:4" s="260" customFormat="1" ht="15.6">
      <c r="B3" s="695" t="s">
        <v>22</v>
      </c>
      <c r="C3" s="700" t="s">
        <v>1019</v>
      </c>
      <c r="D3" s="696" t="str">
        <f>IF(C3&gt;0,"Okay","Fill Details")</f>
        <v>Okay</v>
      </c>
    </row>
    <row r="4" spans="2:4" s="260" customFormat="1" ht="15.6">
      <c r="B4" s="455" t="s">
        <v>367</v>
      </c>
      <c r="C4" s="333" t="s">
        <v>1020</v>
      </c>
      <c r="D4" s="697" t="str">
        <f t="shared" ref="D4:D19" si="0">IF(C4&gt;0,"Okay","Fill Details")</f>
        <v>Okay</v>
      </c>
    </row>
    <row r="5" spans="2:4" s="260" customFormat="1" ht="15.6">
      <c r="B5" s="455" t="s">
        <v>368</v>
      </c>
      <c r="C5" s="333" t="s">
        <v>1021</v>
      </c>
      <c r="D5" s="697" t="str">
        <f t="shared" si="0"/>
        <v>Okay</v>
      </c>
    </row>
    <row r="6" spans="2:4" s="260" customFormat="1" ht="15.6">
      <c r="B6" s="455" t="s">
        <v>369</v>
      </c>
      <c r="C6" s="333" t="s">
        <v>1022</v>
      </c>
      <c r="D6" s="697" t="str">
        <f t="shared" si="0"/>
        <v>Okay</v>
      </c>
    </row>
    <row r="7" spans="2:4" s="260" customFormat="1" ht="15.6">
      <c r="B7" s="592" t="s">
        <v>366</v>
      </c>
      <c r="C7" s="334">
        <v>45016</v>
      </c>
      <c r="D7" s="697" t="str">
        <f t="shared" si="0"/>
        <v>Okay</v>
      </c>
    </row>
    <row r="8" spans="2:4" s="260" customFormat="1" ht="15.6">
      <c r="B8" s="455" t="s">
        <v>360</v>
      </c>
      <c r="C8" s="334">
        <v>44651</v>
      </c>
      <c r="D8" s="697" t="str">
        <f t="shared" si="0"/>
        <v>Okay</v>
      </c>
    </row>
    <row r="9" spans="2:4" s="260" customFormat="1" ht="15.6">
      <c r="B9" s="455" t="s">
        <v>28</v>
      </c>
      <c r="C9" s="333" t="s">
        <v>1023</v>
      </c>
      <c r="D9" s="697" t="str">
        <f t="shared" si="0"/>
        <v>Okay</v>
      </c>
    </row>
    <row r="10" spans="2:4" s="260" customFormat="1" ht="15.6">
      <c r="B10" s="455" t="s">
        <v>361</v>
      </c>
      <c r="C10" s="335" t="s">
        <v>1024</v>
      </c>
      <c r="D10" s="697" t="str">
        <f t="shared" si="0"/>
        <v>Okay</v>
      </c>
    </row>
    <row r="11" spans="2:4" s="260" customFormat="1" ht="15.6">
      <c r="B11" s="455" t="s">
        <v>29</v>
      </c>
      <c r="C11" s="333" t="s">
        <v>1025</v>
      </c>
      <c r="D11" s="697" t="str">
        <f t="shared" si="0"/>
        <v>Okay</v>
      </c>
    </row>
    <row r="12" spans="2:4" s="260" customFormat="1" ht="15.6">
      <c r="B12" s="455" t="s">
        <v>31</v>
      </c>
      <c r="C12" s="334">
        <v>45174</v>
      </c>
      <c r="D12" s="697" t="str">
        <f t="shared" si="0"/>
        <v>Okay</v>
      </c>
    </row>
    <row r="13" spans="2:4" s="260" customFormat="1" ht="15.6">
      <c r="B13" s="455" t="s">
        <v>362</v>
      </c>
      <c r="C13" s="333" t="s">
        <v>1026</v>
      </c>
      <c r="D13" s="697" t="str">
        <f t="shared" si="0"/>
        <v>Okay</v>
      </c>
    </row>
    <row r="14" spans="2:4" s="260" customFormat="1" ht="15.6">
      <c r="B14" s="455" t="s">
        <v>364</v>
      </c>
      <c r="C14" s="766" t="s">
        <v>1027</v>
      </c>
      <c r="D14" s="697" t="str">
        <f t="shared" si="0"/>
        <v>Okay</v>
      </c>
    </row>
    <row r="15" spans="2:4" s="260" customFormat="1" ht="15.6">
      <c r="B15" s="455" t="s">
        <v>363</v>
      </c>
      <c r="C15" s="333" t="s">
        <v>1028</v>
      </c>
      <c r="D15" s="697" t="str">
        <f t="shared" si="0"/>
        <v>Okay</v>
      </c>
    </row>
    <row r="16" spans="2:4" s="260" customFormat="1" ht="15.6">
      <c r="B16" s="455" t="s">
        <v>365</v>
      </c>
      <c r="C16" s="766" t="s">
        <v>1029</v>
      </c>
      <c r="D16" s="697" t="str">
        <f t="shared" si="0"/>
        <v>Okay</v>
      </c>
    </row>
    <row r="17" spans="2:4" s="260" customFormat="1" ht="15.6">
      <c r="B17" s="593" t="s">
        <v>507</v>
      </c>
      <c r="C17" s="349" t="s">
        <v>510</v>
      </c>
      <c r="D17" s="697" t="str">
        <f t="shared" si="0"/>
        <v>Okay</v>
      </c>
    </row>
    <row r="18" spans="2:4" s="260" customFormat="1" ht="15.6">
      <c r="B18" s="593" t="s">
        <v>371</v>
      </c>
      <c r="C18" s="349" t="s">
        <v>863</v>
      </c>
      <c r="D18" s="698" t="str">
        <f>IF(AND($C$17='Support Sheet'!$H$6,'Control Sheet'!$C$18='Support Sheet'!E6),"Not Okay",IF(AND('Control Sheet'!$C$17='Support Sheet'!$H$7,'Control Sheet'!$C$18='Support Sheet'!$E$2),"Not Okay",IF('Control Sheet'!$C$18=0,"Fill Details","Okay")))</f>
        <v>Okay</v>
      </c>
    </row>
    <row r="19" spans="2:4" ht="15" thickBot="1">
      <c r="B19" s="456" t="s">
        <v>842</v>
      </c>
      <c r="C19" s="701"/>
      <c r="D19" s="699" t="str">
        <f t="shared" si="0"/>
        <v>Fill Details</v>
      </c>
    </row>
  </sheetData>
  <conditionalFormatting sqref="D3:D19">
    <cfRule type="cellIs" dxfId="49" priority="8" operator="equal">
      <formula>"Fill Details"</formula>
    </cfRule>
    <cfRule type="cellIs" dxfId="48" priority="9" operator="equal">
      <formula>"Okay"</formula>
    </cfRule>
  </conditionalFormatting>
  <conditionalFormatting sqref="D18:D19">
    <cfRule type="expression" dxfId="47" priority="1">
      <formula>$D$18="Not Okay"</formula>
    </cfRule>
    <cfRule type="cellIs" dxfId="46" priority="12" operator="equal">
      <formula>"Specify in Cell E16"</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E25A3E3B-7CC6-4609-B915-2079AB80883C}">
          <x14:formula1>
            <xm:f>'Support Sheet'!$O$4:$O$11</xm:f>
          </x14:formula1>
          <xm:sqref>C7</xm:sqref>
        </x14:dataValidation>
        <x14:dataValidation type="list" allowBlank="1" showInputMessage="1" showErrorMessage="1" xr:uid="{9B1C235C-5A71-4B8A-B03F-5D006F07953C}">
          <x14:formula1>
            <xm:f>'Support Sheet'!$O$3:$O$11</xm:f>
          </x14:formula1>
          <xm:sqref>C8</xm:sqref>
        </x14:dataValidation>
        <x14:dataValidation type="list" allowBlank="1" showInputMessage="1" showErrorMessage="1" xr:uid="{56BF950D-A0F4-49CF-AE60-028BE2BD6B82}">
          <x14:formula1>
            <xm:f>'Support Sheet'!$H$6:$H$7</xm:f>
          </x14:formula1>
          <xm:sqref>C17</xm:sqref>
        </x14:dataValidation>
        <x14:dataValidation type="list" allowBlank="1" showInputMessage="1" showErrorMessage="1" xr:uid="{F63A2CE0-C7B9-4CD1-A005-1C2B6BA4840B}">
          <x14:formula1>
            <xm:f>IF($C$17='Support Sheet'!$H$6,'Support Sheet'!E2:E5,'Support Sheet'!E3:E6)</xm:f>
          </x14:formula1>
          <xm:sqref>C18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7582B-2CA1-4627-AC45-5EC6BBCC7705}">
  <sheetPr>
    <tabColor theme="7"/>
  </sheetPr>
  <dimension ref="A1:I50"/>
  <sheetViews>
    <sheetView showGridLines="0" tabSelected="1" topLeftCell="C16" zoomScaleNormal="100" workbookViewId="0">
      <selection activeCell="E28" sqref="E28"/>
    </sheetView>
  </sheetViews>
  <sheetFormatPr defaultRowHeight="14.4"/>
  <cols>
    <col min="1" max="1" width="9.109375" hidden="1" customWidth="1"/>
    <col min="2" max="2" width="30" customWidth="1"/>
    <col min="3" max="3" width="5.6640625" bestFit="1" customWidth="1"/>
    <col min="4" max="5" width="23.109375" bestFit="1" customWidth="1"/>
    <col min="6" max="6" width="28.44140625" customWidth="1"/>
    <col min="7" max="7" width="52.44140625" customWidth="1"/>
    <col min="8" max="8" width="22.5546875" customWidth="1"/>
    <col min="9" max="9" width="17.88671875" customWidth="1"/>
  </cols>
  <sheetData>
    <row r="1" spans="1:9" ht="15" customHeight="1">
      <c r="A1" s="751" t="s">
        <v>481</v>
      </c>
      <c r="B1" s="924" t="s">
        <v>481</v>
      </c>
      <c r="C1" s="924"/>
      <c r="D1" s="924"/>
      <c r="E1" s="924"/>
      <c r="G1" s="769" t="s">
        <v>108</v>
      </c>
    </row>
    <row r="2" spans="1:9" ht="15" customHeight="1">
      <c r="A2" s="751"/>
      <c r="B2" s="924"/>
      <c r="C2" s="924"/>
      <c r="D2" s="924"/>
      <c r="E2" s="924"/>
      <c r="G2" s="770" t="s">
        <v>998</v>
      </c>
    </row>
    <row r="3" spans="1:9" ht="15" customHeight="1" thickBot="1">
      <c r="A3" s="703"/>
      <c r="B3" s="703"/>
      <c r="C3" s="703"/>
      <c r="D3" s="703"/>
      <c r="E3" s="703"/>
      <c r="G3" s="771" t="s">
        <v>897</v>
      </c>
    </row>
    <row r="4" spans="1:9">
      <c r="B4" s="887" t="s">
        <v>848</v>
      </c>
      <c r="C4" s="888" t="s">
        <v>479</v>
      </c>
      <c r="D4" s="889">
        <f>SUMIF($C$9:$C$1048576,$C4,$D$9:$D$1048576)</f>
        <v>1689533.23</v>
      </c>
      <c r="E4" s="890">
        <f>SUMIF($C$9:$C$1048576,$C4,$E$9:$E$1048576)</f>
        <v>31500</v>
      </c>
      <c r="G4" s="770" t="s">
        <v>902</v>
      </c>
    </row>
    <row r="5" spans="1:9" ht="15" thickBot="1">
      <c r="B5" s="891" t="s">
        <v>849</v>
      </c>
      <c r="C5" s="451" t="s">
        <v>480</v>
      </c>
      <c r="D5" s="892">
        <f>SUMIF($C$9:$C$1048576,$C5,$D$9:$D$1048576)</f>
        <v>1693715.99</v>
      </c>
      <c r="E5" s="893">
        <f>SUMIF($C$9:$C$1048576,$C5,$E$9:$E$1048576)</f>
        <v>31500</v>
      </c>
      <c r="G5" s="772" t="s">
        <v>903</v>
      </c>
    </row>
    <row r="6" spans="1:9" ht="15.6" thickTop="1" thickBot="1">
      <c r="B6" s="894" t="s">
        <v>989</v>
      </c>
      <c r="C6" s="895"/>
      <c r="D6" s="704" t="str">
        <f>IF(D4=D5," Matched",CONCATENATE("Difference : ",D4-D5))</f>
        <v>Difference : -4182.76000000001</v>
      </c>
      <c r="E6" s="705" t="str">
        <f>IF(E4=E5," Matched",CONCATENATE("Diffrence : ",E4-E5))</f>
        <v xml:space="preserve"> Matched</v>
      </c>
    </row>
    <row r="7" spans="1:9" ht="15" thickBot="1">
      <c r="B7" s="227"/>
    </row>
    <row r="8" spans="1:9" ht="15" thickBot="1">
      <c r="B8" s="886" t="s">
        <v>0</v>
      </c>
      <c r="C8" s="345" t="s">
        <v>478</v>
      </c>
      <c r="D8" s="346">
        <f>IF('Control Sheet'!$C$7&gt;0,'Control Sheet'!$C$7,TEXT('Control Sheet'!$B$7,"DD-MM-YYYY"))</f>
        <v>45016</v>
      </c>
      <c r="E8" s="346">
        <f>IF('Control Sheet'!$C$8&gt;0,'Control Sheet'!$C$8,TEXT('Control Sheet'!$B$8,"DD-MM-YYYY"))</f>
        <v>44651</v>
      </c>
      <c r="F8" s="360" t="s">
        <v>451</v>
      </c>
      <c r="G8" s="341" t="s">
        <v>452</v>
      </c>
      <c r="H8" s="361" t="s">
        <v>453</v>
      </c>
      <c r="I8" s="341" t="s">
        <v>456</v>
      </c>
    </row>
    <row r="9" spans="1:9">
      <c r="B9" t="s">
        <v>1030</v>
      </c>
      <c r="C9" t="s">
        <v>480</v>
      </c>
      <c r="D9">
        <v>-2274</v>
      </c>
      <c r="F9" t="s">
        <v>454</v>
      </c>
      <c r="G9" t="s">
        <v>812</v>
      </c>
      <c r="H9">
        <v>0</v>
      </c>
      <c r="I9">
        <v>0</v>
      </c>
    </row>
    <row r="10" spans="1:9">
      <c r="B10" t="s">
        <v>1031</v>
      </c>
      <c r="C10" t="s">
        <v>480</v>
      </c>
      <c r="D10">
        <v>200</v>
      </c>
      <c r="F10" t="s">
        <v>485</v>
      </c>
      <c r="G10" t="s">
        <v>484</v>
      </c>
      <c r="H10">
        <v>0</v>
      </c>
      <c r="I10">
        <v>0</v>
      </c>
    </row>
    <row r="11" spans="1:9">
      <c r="B11" t="s">
        <v>1032</v>
      </c>
      <c r="C11" t="s">
        <v>480</v>
      </c>
      <c r="D11">
        <v>2800</v>
      </c>
      <c r="E11">
        <v>3000</v>
      </c>
      <c r="F11" t="s">
        <v>485</v>
      </c>
      <c r="G11" t="s">
        <v>484</v>
      </c>
      <c r="H11">
        <v>0</v>
      </c>
      <c r="I11">
        <v>0</v>
      </c>
    </row>
    <row r="12" spans="1:9">
      <c r="B12" t="s">
        <v>1033</v>
      </c>
      <c r="C12" t="s">
        <v>480</v>
      </c>
      <c r="D12">
        <v>7000</v>
      </c>
      <c r="E12">
        <v>7000</v>
      </c>
      <c r="F12" t="s">
        <v>485</v>
      </c>
      <c r="G12" t="s">
        <v>484</v>
      </c>
      <c r="H12">
        <v>0</v>
      </c>
      <c r="I12">
        <v>0</v>
      </c>
    </row>
    <row r="13" spans="1:9">
      <c r="B13" t="s">
        <v>1034</v>
      </c>
      <c r="C13" t="s">
        <v>480</v>
      </c>
      <c r="D13">
        <v>1008000</v>
      </c>
      <c r="F13" t="s">
        <v>236</v>
      </c>
      <c r="G13" t="s">
        <v>222</v>
      </c>
      <c r="H13">
        <v>0</v>
      </c>
      <c r="I13" t="s">
        <v>460</v>
      </c>
    </row>
    <row r="14" spans="1:9">
      <c r="B14" t="s">
        <v>1035</v>
      </c>
      <c r="C14" t="s">
        <v>480</v>
      </c>
      <c r="D14">
        <v>3000</v>
      </c>
      <c r="F14" t="s">
        <v>91</v>
      </c>
      <c r="G14" t="s">
        <v>227</v>
      </c>
      <c r="H14">
        <v>0</v>
      </c>
      <c r="I14">
        <v>0</v>
      </c>
    </row>
    <row r="15" spans="1:9">
      <c r="B15" t="s">
        <v>1036</v>
      </c>
      <c r="C15" t="s">
        <v>480</v>
      </c>
      <c r="D15">
        <v>14900</v>
      </c>
      <c r="F15" t="s">
        <v>91</v>
      </c>
      <c r="G15" t="s">
        <v>227</v>
      </c>
      <c r="H15">
        <v>0</v>
      </c>
      <c r="I15">
        <v>0</v>
      </c>
    </row>
    <row r="16" spans="1:9">
      <c r="B16" t="s">
        <v>1037</v>
      </c>
      <c r="C16" t="s">
        <v>479</v>
      </c>
      <c r="D16">
        <v>-2091.38</v>
      </c>
      <c r="F16" t="s">
        <v>67</v>
      </c>
      <c r="G16" t="s">
        <v>1003</v>
      </c>
      <c r="H16">
        <v>0</v>
      </c>
      <c r="I16">
        <v>0</v>
      </c>
    </row>
    <row r="17" spans="2:9">
      <c r="B17" t="s">
        <v>1038</v>
      </c>
      <c r="C17" t="s">
        <v>480</v>
      </c>
      <c r="D17">
        <v>17700</v>
      </c>
      <c r="F17" t="s">
        <v>482</v>
      </c>
      <c r="G17" t="s">
        <v>1013</v>
      </c>
      <c r="H17">
        <v>0</v>
      </c>
      <c r="I17">
        <v>0</v>
      </c>
    </row>
    <row r="18" spans="2:9">
      <c r="B18" t="s">
        <v>1039</v>
      </c>
      <c r="C18" t="s">
        <v>480</v>
      </c>
      <c r="D18">
        <v>3844.98</v>
      </c>
      <c r="F18" t="s">
        <v>463</v>
      </c>
      <c r="G18" t="s">
        <v>384</v>
      </c>
      <c r="H18">
        <v>0</v>
      </c>
      <c r="I18">
        <v>0</v>
      </c>
    </row>
    <row r="19" spans="2:9">
      <c r="B19" t="s">
        <v>1040</v>
      </c>
      <c r="C19" t="s">
        <v>480</v>
      </c>
      <c r="D19">
        <v>5886.31</v>
      </c>
      <c r="E19">
        <v>9500</v>
      </c>
      <c r="F19" t="s">
        <v>850</v>
      </c>
      <c r="G19" t="s">
        <v>237</v>
      </c>
      <c r="H19">
        <v>0</v>
      </c>
      <c r="I19">
        <v>0</v>
      </c>
    </row>
    <row r="20" spans="2:9">
      <c r="B20" t="s">
        <v>1041</v>
      </c>
      <c r="C20" t="s">
        <v>480</v>
      </c>
      <c r="D20">
        <v>240000</v>
      </c>
      <c r="F20" t="s">
        <v>463</v>
      </c>
      <c r="G20" t="s">
        <v>391</v>
      </c>
      <c r="H20">
        <v>0</v>
      </c>
      <c r="I20">
        <v>0</v>
      </c>
    </row>
    <row r="21" spans="2:9">
      <c r="B21" t="s">
        <v>1042</v>
      </c>
      <c r="C21" t="s">
        <v>480</v>
      </c>
      <c r="D21">
        <v>5744.22</v>
      </c>
      <c r="F21" t="s">
        <v>463</v>
      </c>
      <c r="G21" t="s">
        <v>387</v>
      </c>
      <c r="H21">
        <v>0</v>
      </c>
      <c r="I21">
        <v>0</v>
      </c>
    </row>
    <row r="22" spans="2:9">
      <c r="B22" t="s">
        <v>843</v>
      </c>
      <c r="C22" t="s">
        <v>479</v>
      </c>
      <c r="D22">
        <v>13998.46</v>
      </c>
      <c r="F22" t="s">
        <v>61</v>
      </c>
      <c r="G22" t="s">
        <v>833</v>
      </c>
      <c r="H22">
        <v>0</v>
      </c>
      <c r="I22">
        <v>0</v>
      </c>
    </row>
    <row r="23" spans="2:9">
      <c r="B23" t="s">
        <v>1043</v>
      </c>
      <c r="C23" t="s">
        <v>479</v>
      </c>
      <c r="F23" t="s">
        <v>850</v>
      </c>
      <c r="G23" t="s">
        <v>333</v>
      </c>
      <c r="H23">
        <v>0</v>
      </c>
      <c r="I23">
        <v>0</v>
      </c>
    </row>
    <row r="24" spans="2:9">
      <c r="B24" t="s">
        <v>1044</v>
      </c>
      <c r="C24" t="s">
        <v>479</v>
      </c>
      <c r="D24">
        <v>743.68</v>
      </c>
      <c r="E24">
        <v>12000</v>
      </c>
      <c r="F24" t="s">
        <v>336</v>
      </c>
      <c r="G24" t="s">
        <v>335</v>
      </c>
      <c r="H24">
        <v>0</v>
      </c>
      <c r="I24">
        <v>0</v>
      </c>
    </row>
    <row r="25" spans="2:9">
      <c r="B25" t="s">
        <v>1045</v>
      </c>
      <c r="C25" t="s">
        <v>479</v>
      </c>
      <c r="D25">
        <v>699823.38</v>
      </c>
      <c r="E25">
        <v>5226</v>
      </c>
      <c r="F25" t="s">
        <v>336</v>
      </c>
      <c r="G25" t="s">
        <v>769</v>
      </c>
      <c r="H25">
        <v>0</v>
      </c>
      <c r="I25">
        <v>0</v>
      </c>
    </row>
    <row r="26" spans="2:9">
      <c r="B26" t="s">
        <v>1046</v>
      </c>
      <c r="C26" t="s">
        <v>479</v>
      </c>
      <c r="D26">
        <v>50000</v>
      </c>
      <c r="F26" t="s">
        <v>67</v>
      </c>
      <c r="G26" t="s">
        <v>1004</v>
      </c>
      <c r="H26">
        <v>0</v>
      </c>
      <c r="I26">
        <v>0</v>
      </c>
    </row>
    <row r="27" spans="2:9">
      <c r="B27" t="s">
        <v>1047</v>
      </c>
      <c r="C27" t="s">
        <v>480</v>
      </c>
      <c r="D27">
        <v>372514.48</v>
      </c>
      <c r="E27">
        <v>12000</v>
      </c>
      <c r="F27" t="s">
        <v>469</v>
      </c>
      <c r="G27" t="s">
        <v>448</v>
      </c>
      <c r="H27">
        <v>0</v>
      </c>
      <c r="I27">
        <v>0</v>
      </c>
    </row>
    <row r="28" spans="2:9">
      <c r="B28" t="s">
        <v>1048</v>
      </c>
      <c r="C28" t="s">
        <v>479</v>
      </c>
      <c r="D28">
        <v>109650</v>
      </c>
      <c r="E28">
        <v>9500</v>
      </c>
      <c r="F28" t="s">
        <v>41</v>
      </c>
      <c r="G28" t="s">
        <v>151</v>
      </c>
      <c r="H28" t="s">
        <v>154</v>
      </c>
      <c r="I28">
        <v>0</v>
      </c>
    </row>
    <row r="29" spans="2:9">
      <c r="B29" t="s">
        <v>1049</v>
      </c>
      <c r="C29" t="s">
        <v>479</v>
      </c>
      <c r="D29">
        <v>3285</v>
      </c>
      <c r="F29" t="s">
        <v>41</v>
      </c>
      <c r="G29" t="s">
        <v>151</v>
      </c>
      <c r="H29" t="s">
        <v>154</v>
      </c>
      <c r="I29">
        <v>0</v>
      </c>
    </row>
    <row r="30" spans="2:9">
      <c r="B30" t="s">
        <v>1050</v>
      </c>
      <c r="C30" t="s">
        <v>479</v>
      </c>
      <c r="D30">
        <v>2413</v>
      </c>
      <c r="F30" t="s">
        <v>41</v>
      </c>
      <c r="G30" t="s">
        <v>151</v>
      </c>
      <c r="H30" t="s">
        <v>154</v>
      </c>
      <c r="I30">
        <v>0</v>
      </c>
    </row>
    <row r="31" spans="2:9">
      <c r="B31" t="s">
        <v>1051</v>
      </c>
      <c r="C31" t="s">
        <v>479</v>
      </c>
      <c r="D31">
        <v>45000</v>
      </c>
      <c r="F31" t="s">
        <v>41</v>
      </c>
      <c r="G31" t="s">
        <v>151</v>
      </c>
      <c r="H31" t="s">
        <v>154</v>
      </c>
      <c r="I31">
        <v>0</v>
      </c>
    </row>
    <row r="32" spans="2:9">
      <c r="B32" t="s">
        <v>1052</v>
      </c>
      <c r="C32" t="s">
        <v>479</v>
      </c>
      <c r="D32">
        <v>13243</v>
      </c>
      <c r="F32" t="s">
        <v>41</v>
      </c>
      <c r="G32" t="s">
        <v>151</v>
      </c>
      <c r="H32" t="s">
        <v>154</v>
      </c>
      <c r="I32">
        <v>0</v>
      </c>
    </row>
    <row r="33" spans="2:9">
      <c r="B33" t="s">
        <v>1053</v>
      </c>
      <c r="C33" t="s">
        <v>479</v>
      </c>
      <c r="D33">
        <v>3050.85</v>
      </c>
      <c r="F33" t="s">
        <v>41</v>
      </c>
      <c r="G33" t="s">
        <v>151</v>
      </c>
      <c r="H33" t="s">
        <v>154</v>
      </c>
      <c r="I33">
        <v>0</v>
      </c>
    </row>
    <row r="34" spans="2:9">
      <c r="B34" t="s">
        <v>1054</v>
      </c>
      <c r="C34" t="s">
        <v>480</v>
      </c>
      <c r="D34">
        <v>14400</v>
      </c>
      <c r="F34" t="s">
        <v>472</v>
      </c>
      <c r="G34" t="s">
        <v>1074</v>
      </c>
      <c r="H34">
        <v>0</v>
      </c>
      <c r="I34">
        <v>0</v>
      </c>
    </row>
    <row r="35" spans="2:9">
      <c r="B35" t="s">
        <v>1055</v>
      </c>
      <c r="C35" t="s">
        <v>479</v>
      </c>
      <c r="D35">
        <v>746.62</v>
      </c>
      <c r="E35">
        <v>774</v>
      </c>
      <c r="F35" t="s">
        <v>44</v>
      </c>
      <c r="G35" t="s">
        <v>168</v>
      </c>
      <c r="H35">
        <v>0</v>
      </c>
      <c r="I35">
        <v>0</v>
      </c>
    </row>
    <row r="36" spans="2:9">
      <c r="B36" t="s">
        <v>1056</v>
      </c>
      <c r="C36" t="s">
        <v>479</v>
      </c>
      <c r="D36">
        <v>3690</v>
      </c>
      <c r="F36" t="s">
        <v>44</v>
      </c>
      <c r="G36" t="s">
        <v>174</v>
      </c>
      <c r="H36">
        <v>0</v>
      </c>
      <c r="I36">
        <v>0</v>
      </c>
    </row>
    <row r="37" spans="2:9">
      <c r="B37" t="s">
        <v>1057</v>
      </c>
      <c r="C37" t="s">
        <v>479</v>
      </c>
      <c r="D37">
        <v>5744.22</v>
      </c>
      <c r="F37" t="s">
        <v>72</v>
      </c>
      <c r="G37" t="s">
        <v>357</v>
      </c>
      <c r="H37">
        <v>0</v>
      </c>
      <c r="I37">
        <v>0</v>
      </c>
    </row>
    <row r="38" spans="2:9">
      <c r="B38" t="s">
        <v>1058</v>
      </c>
      <c r="C38" t="s">
        <v>479</v>
      </c>
      <c r="D38">
        <v>900</v>
      </c>
      <c r="F38" t="s">
        <v>44</v>
      </c>
      <c r="G38" t="s">
        <v>165</v>
      </c>
      <c r="H38">
        <v>0</v>
      </c>
      <c r="I38">
        <v>0</v>
      </c>
    </row>
    <row r="39" spans="2:9">
      <c r="B39" t="s">
        <v>1059</v>
      </c>
      <c r="C39" t="s">
        <v>479</v>
      </c>
      <c r="D39">
        <v>48240</v>
      </c>
      <c r="F39" t="s">
        <v>44</v>
      </c>
      <c r="G39" t="s">
        <v>166</v>
      </c>
      <c r="H39">
        <v>0</v>
      </c>
      <c r="I39">
        <v>0</v>
      </c>
    </row>
    <row r="40" spans="2:9">
      <c r="B40" t="s">
        <v>1060</v>
      </c>
      <c r="C40" t="s">
        <v>479</v>
      </c>
      <c r="D40">
        <v>2195</v>
      </c>
      <c r="F40" t="s">
        <v>44</v>
      </c>
      <c r="G40" t="s">
        <v>177</v>
      </c>
      <c r="H40">
        <v>0</v>
      </c>
      <c r="I40">
        <v>0</v>
      </c>
    </row>
    <row r="41" spans="2:9">
      <c r="B41" t="s">
        <v>1061</v>
      </c>
      <c r="C41" t="s">
        <v>479</v>
      </c>
      <c r="D41">
        <v>4017.4</v>
      </c>
      <c r="F41" t="s">
        <v>44</v>
      </c>
      <c r="G41" t="s">
        <v>172</v>
      </c>
      <c r="H41">
        <v>0</v>
      </c>
      <c r="I41">
        <v>0</v>
      </c>
    </row>
    <row r="42" spans="2:9">
      <c r="B42" t="s">
        <v>1062</v>
      </c>
      <c r="C42" t="s">
        <v>479</v>
      </c>
      <c r="D42">
        <v>15000</v>
      </c>
      <c r="F42" t="s">
        <v>44</v>
      </c>
      <c r="G42" t="s">
        <v>163</v>
      </c>
      <c r="H42">
        <v>0</v>
      </c>
      <c r="I42">
        <v>0</v>
      </c>
    </row>
    <row r="43" spans="2:9">
      <c r="B43" t="s">
        <v>1063</v>
      </c>
      <c r="C43" t="s">
        <v>479</v>
      </c>
      <c r="D43">
        <v>129900</v>
      </c>
      <c r="E43">
        <v>4000</v>
      </c>
      <c r="F43" t="s">
        <v>44</v>
      </c>
      <c r="G43" t="s">
        <v>167</v>
      </c>
      <c r="H43">
        <v>0</v>
      </c>
      <c r="I43">
        <v>0</v>
      </c>
    </row>
    <row r="44" spans="2:9">
      <c r="B44" t="s">
        <v>1064</v>
      </c>
      <c r="C44" t="s">
        <v>479</v>
      </c>
      <c r="D44">
        <v>8000</v>
      </c>
      <c r="F44" t="s">
        <v>44</v>
      </c>
      <c r="G44" t="s">
        <v>171</v>
      </c>
      <c r="H44">
        <v>0</v>
      </c>
      <c r="I44">
        <v>0</v>
      </c>
    </row>
    <row r="45" spans="2:9">
      <c r="B45" t="s">
        <v>1065</v>
      </c>
      <c r="C45" t="s">
        <v>479</v>
      </c>
      <c r="D45">
        <v>30000</v>
      </c>
      <c r="F45" t="s">
        <v>477</v>
      </c>
      <c r="G45" t="s">
        <v>159</v>
      </c>
      <c r="H45">
        <v>0</v>
      </c>
      <c r="I45">
        <v>0</v>
      </c>
    </row>
    <row r="46" spans="2:9">
      <c r="B46" t="s">
        <v>1066</v>
      </c>
      <c r="C46" t="s">
        <v>479</v>
      </c>
      <c r="D46">
        <v>240000</v>
      </c>
      <c r="F46" t="s">
        <v>477</v>
      </c>
      <c r="G46" t="s">
        <v>161</v>
      </c>
      <c r="H46">
        <v>0</v>
      </c>
      <c r="I46">
        <v>0</v>
      </c>
    </row>
    <row r="47" spans="2:9">
      <c r="B47" t="s">
        <v>1067</v>
      </c>
      <c r="C47" t="s">
        <v>479</v>
      </c>
      <c r="D47">
        <v>64</v>
      </c>
      <c r="F47" t="s">
        <v>44</v>
      </c>
      <c r="G47" t="s">
        <v>170</v>
      </c>
      <c r="H47">
        <v>0</v>
      </c>
      <c r="I47">
        <v>0</v>
      </c>
    </row>
    <row r="48" spans="2:9">
      <c r="B48" t="s">
        <v>1068</v>
      </c>
      <c r="C48" t="s">
        <v>479</v>
      </c>
      <c r="D48">
        <v>56500</v>
      </c>
      <c r="F48" t="s">
        <v>44</v>
      </c>
      <c r="G48" t="s">
        <v>173</v>
      </c>
      <c r="H48">
        <v>0</v>
      </c>
      <c r="I48">
        <v>0</v>
      </c>
    </row>
    <row r="49" spans="2:9">
      <c r="B49" t="s">
        <v>1069</v>
      </c>
      <c r="C49" t="s">
        <v>479</v>
      </c>
      <c r="D49">
        <v>300</v>
      </c>
      <c r="F49" t="s">
        <v>44</v>
      </c>
      <c r="G49" t="s">
        <v>169</v>
      </c>
      <c r="H49">
        <v>0</v>
      </c>
      <c r="I49">
        <v>0</v>
      </c>
    </row>
    <row r="50" spans="2:9">
      <c r="B50" t="s">
        <v>1070</v>
      </c>
      <c r="C50" t="s">
        <v>479</v>
      </c>
      <c r="D50">
        <v>205120</v>
      </c>
      <c r="F50" t="s">
        <v>477</v>
      </c>
      <c r="G50" t="s">
        <v>159</v>
      </c>
      <c r="H50">
        <v>0</v>
      </c>
      <c r="I50">
        <v>0</v>
      </c>
    </row>
  </sheetData>
  <autoFilter ref="F8:I50" xr:uid="{73A7582B-2CA1-4627-AC45-5EC6BBCC7705}"/>
  <mergeCells count="1">
    <mergeCell ref="B1:E2"/>
  </mergeCells>
  <conditionalFormatting sqref="B9:B1048576">
    <cfRule type="cellIs" dxfId="45" priority="4" operator="greaterThan">
      <formula>0</formula>
    </cfRule>
  </conditionalFormatting>
  <conditionalFormatting sqref="C9:C1048576">
    <cfRule type="cellIs" dxfId="44" priority="3" operator="notEqual">
      <formula>0</formula>
    </cfRule>
  </conditionalFormatting>
  <conditionalFormatting sqref="D6:E6">
    <cfRule type="cellIs" dxfId="42" priority="6" operator="notEqual">
      <formula>"""Matchede"""</formula>
    </cfRule>
  </conditionalFormatting>
  <conditionalFormatting sqref="D9:E1048576">
    <cfRule type="cellIs" dxfId="41" priority="1" operator="greaterThan">
      <formula>0</formula>
    </cfRule>
  </conditionalFormatting>
  <conditionalFormatting sqref="F9:F155">
    <cfRule type="expression" dxfId="40" priority="17">
      <formula>$F9&gt;0</formula>
    </cfRule>
  </conditionalFormatting>
  <conditionalFormatting sqref="G9:G155">
    <cfRule type="notContainsBlanks" dxfId="39" priority="20">
      <formula>LEN(TRIM(G9))&gt;0</formula>
    </cfRule>
  </conditionalFormatting>
  <conditionalFormatting sqref="H9:H155">
    <cfRule type="notContainsBlanks" dxfId="38" priority="18">
      <formula>LEN(TRIM(H9))&gt;0</formula>
    </cfRule>
  </conditionalFormatting>
  <conditionalFormatting sqref="I9:I155">
    <cfRule type="notContainsBlanks" dxfId="37" priority="19">
      <formula>LEN(TRIM(I9))&gt;0</formula>
    </cfRule>
  </conditionalFormatting>
  <pageMargins left="0.7" right="0.7" top="0.75" bottom="0.75" header="0.3" footer="0.3"/>
  <pageSetup scale="44" orientation="portrait" r:id="rId1"/>
  <extLst>
    <ext xmlns:x14="http://schemas.microsoft.com/office/spreadsheetml/2009/9/main" uri="{78C0D931-6437-407d-A8EE-F0AAD7539E65}">
      <x14:conditionalFormattings>
        <x14:conditionalFormatting xmlns:xm="http://schemas.microsoft.com/office/excel/2006/main">
          <x14:cfRule type="containsText" priority="5" operator="containsText" id="{6478963F-4C16-4702-B247-2E50E54D53FA}">
            <xm:f>NOT(ISERROR(SEARCH("Matched",D6)))</xm:f>
            <xm:f>"Matched"</xm:f>
            <x14:dxf>
              <fill>
                <patternFill>
                  <bgColor rgb="FF00CC00"/>
                </patternFill>
              </fill>
            </x14:dxf>
          </x14:cfRule>
          <xm:sqref>D6:E6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EF905628-03E8-4848-9170-1CD8B1A0BEEF}">
          <x14:formula1>
            <xm:f>'Support Sheet'!$H$2:$H$3</xm:f>
          </x14:formula1>
          <xm:sqref>C9:C155</xm:sqref>
        </x14:dataValidation>
        <x14:dataValidation type="list" allowBlank="1" showInputMessage="1" showErrorMessage="1" xr:uid="{41E11774-90D0-4154-BA03-861C58B4AFB8}">
          <x14:formula1>
            <xm:f>OFFSET('Support Sheet'!$Y$2,1,MATCH($F9,'Support Sheet'!$Y$2:$BJ$2,0)-1,COUNTA(OFFSET('Support Sheet'!$Y$2,1,MATCH($F9,'Support Sheet'!$Y$2:$BJ$2,0)-1,25,1)),1)</xm:f>
          </x14:formula1>
          <xm:sqref>G9:G155</xm:sqref>
        </x14:dataValidation>
        <x14:dataValidation type="list" allowBlank="1" showInputMessage="1" showErrorMessage="1" xr:uid="{3DCB8E3D-8922-4CAD-B826-E3CC34B587B8}">
          <x14:formula1>
            <xm:f>'Support Sheet'!$Y$2:$BJ$2</xm:f>
          </x14:formula1>
          <xm:sqref>F9:F155</xm:sqref>
        </x14:dataValidation>
        <x14:dataValidation type="list" allowBlank="1" showInputMessage="1" showErrorMessage="1" xr:uid="{B6A0C953-AC72-4D2B-85BB-DBBDA760FD07}">
          <x14:formula1>
            <xm:f>OFFSET('Support Sheet'!$BR$26,1,MATCH($G9,'Support Sheet'!$BR$26:$GX$26,0)-1,COUNTA(OFFSET('Support Sheet'!$BR$26,1,MATCH($G9,'Support Sheet'!$BR$26:$GX$26,0)-1,15)),1)</xm:f>
          </x14:formula1>
          <xm:sqref>H9:H155</xm:sqref>
        </x14:dataValidation>
        <x14:dataValidation type="list" allowBlank="1" showInputMessage="1" showErrorMessage="1" xr:uid="{734C7AB6-374A-4731-85A6-E6FAFBF9535D}">
          <x14:formula1>
            <xm:f>OFFSET('Support Sheet'!$BR$2,1,MATCH($G9,'Support Sheet'!$BR$2:$GX$2,0)-1,COUNTA(OFFSET('Support Sheet'!$BR$2,1,MATCH($G9,'Support Sheet'!$BR$2:$GX$2,0)-1,15)),1)</xm:f>
          </x14:formula1>
          <xm:sqref>I9:I155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F56A3-B205-4FBD-8B4E-7758ED11A5EC}">
  <sheetPr>
    <tabColor theme="7"/>
  </sheetPr>
  <dimension ref="B4:H109"/>
  <sheetViews>
    <sheetView showGridLines="0" topLeftCell="B94" zoomScaleNormal="100" workbookViewId="0">
      <selection activeCell="G102" sqref="G102"/>
    </sheetView>
  </sheetViews>
  <sheetFormatPr defaultRowHeight="14.4"/>
  <cols>
    <col min="2" max="2" width="54.33203125" bestFit="1" customWidth="1"/>
    <col min="3" max="3" width="29.88671875" bestFit="1" customWidth="1"/>
    <col min="4" max="4" width="15.88671875" bestFit="1" customWidth="1"/>
    <col min="5" max="5" width="9.88671875" bestFit="1" customWidth="1"/>
    <col min="6" max="6" width="25.109375" bestFit="1" customWidth="1"/>
    <col min="7" max="7" width="40.6640625" customWidth="1"/>
    <col min="8" max="8" width="13.33203125" hidden="1" customWidth="1"/>
  </cols>
  <sheetData>
    <row r="4" spans="2:5" ht="18.600000000000001" thickBot="1">
      <c r="B4" s="591" t="s">
        <v>821</v>
      </c>
      <c r="C4" s="451"/>
      <c r="D4" s="451"/>
    </row>
    <row r="5" spans="2:5" ht="15" thickBot="1">
      <c r="B5" s="594" t="s">
        <v>864</v>
      </c>
      <c r="C5" s="702">
        <v>10000</v>
      </c>
      <c r="D5" s="332" t="str">
        <f t="shared" ref="D5:D10" si="0">IF(C5="Other","Specify in Cell E16",IF(C5=0,"Fill Details","Okay"))</f>
        <v>Okay</v>
      </c>
    </row>
    <row r="6" spans="2:5" ht="15" thickBot="1">
      <c r="B6" s="456" t="s">
        <v>865</v>
      </c>
      <c r="C6" s="701">
        <v>10000</v>
      </c>
      <c r="D6" s="332" t="str">
        <f t="shared" si="0"/>
        <v>Okay</v>
      </c>
    </row>
    <row r="7" spans="2:5" ht="15" thickBot="1">
      <c r="B7" s="456" t="s">
        <v>483</v>
      </c>
      <c r="C7" s="701">
        <v>10</v>
      </c>
      <c r="D7" s="264" t="str">
        <f t="shared" si="0"/>
        <v>Okay</v>
      </c>
    </row>
    <row r="8" spans="2:5" ht="15" thickBot="1">
      <c r="B8" s="456" t="s">
        <v>866</v>
      </c>
      <c r="C8" s="701">
        <v>1000</v>
      </c>
      <c r="D8" s="264" t="str">
        <f t="shared" si="0"/>
        <v>Okay</v>
      </c>
    </row>
    <row r="9" spans="2:5" ht="15" thickBot="1">
      <c r="B9" s="456" t="s">
        <v>867</v>
      </c>
      <c r="C9" s="701">
        <v>1000</v>
      </c>
      <c r="D9" s="264" t="str">
        <f t="shared" si="0"/>
        <v>Okay</v>
      </c>
    </row>
    <row r="10" spans="2:5" ht="15" thickBot="1">
      <c r="B10" s="456" t="s">
        <v>868</v>
      </c>
      <c r="C10" s="701">
        <v>0</v>
      </c>
      <c r="D10" s="264" t="str">
        <f t="shared" si="0"/>
        <v>Fill Details</v>
      </c>
    </row>
    <row r="13" spans="2:5" ht="18.600000000000001" thickBot="1">
      <c r="B13" s="591" t="s">
        <v>815</v>
      </c>
      <c r="C13" s="451"/>
      <c r="D13" s="451"/>
      <c r="E13" s="451"/>
    </row>
    <row r="14" spans="2:5">
      <c r="B14" s="925" t="s">
        <v>767</v>
      </c>
      <c r="C14" s="927" t="s">
        <v>765</v>
      </c>
      <c r="D14" s="929" t="s">
        <v>766</v>
      </c>
      <c r="E14" s="930"/>
    </row>
    <row r="15" spans="2:5" ht="15" thickBot="1">
      <c r="B15" s="926"/>
      <c r="C15" s="928"/>
      <c r="D15" s="474">
        <f>'Control Sheet'!C7</f>
        <v>45016</v>
      </c>
      <c r="E15" s="475">
        <f>'Control Sheet'!C8</f>
        <v>44651</v>
      </c>
    </row>
    <row r="16" spans="2:5">
      <c r="B16" s="476">
        <v>1</v>
      </c>
      <c r="C16" s="437" t="s">
        <v>1026</v>
      </c>
      <c r="D16" s="437">
        <v>700</v>
      </c>
      <c r="E16" s="438">
        <v>700</v>
      </c>
    </row>
    <row r="17" spans="2:5">
      <c r="B17" s="477">
        <f t="shared" ref="B17:B25" si="1">B16+1</f>
        <v>2</v>
      </c>
      <c r="C17" s="439" t="s">
        <v>1028</v>
      </c>
      <c r="D17" s="439">
        <v>280</v>
      </c>
      <c r="E17" s="440">
        <v>300</v>
      </c>
    </row>
    <row r="18" spans="2:5">
      <c r="B18" s="477">
        <f t="shared" si="1"/>
        <v>3</v>
      </c>
      <c r="C18" s="439"/>
      <c r="D18" s="439"/>
      <c r="E18" s="440"/>
    </row>
    <row r="19" spans="2:5">
      <c r="B19" s="477">
        <f t="shared" si="1"/>
        <v>4</v>
      </c>
      <c r="C19" s="439"/>
      <c r="D19" s="439"/>
      <c r="E19" s="440"/>
    </row>
    <row r="20" spans="2:5">
      <c r="B20" s="477">
        <f t="shared" si="1"/>
        <v>5</v>
      </c>
      <c r="C20" s="439"/>
      <c r="D20" s="439"/>
      <c r="E20" s="440"/>
    </row>
    <row r="21" spans="2:5">
      <c r="B21" s="477">
        <f t="shared" si="1"/>
        <v>6</v>
      </c>
      <c r="C21" s="439"/>
      <c r="D21" s="439"/>
      <c r="E21" s="440"/>
    </row>
    <row r="22" spans="2:5">
      <c r="B22" s="477">
        <f t="shared" si="1"/>
        <v>7</v>
      </c>
      <c r="C22" s="439"/>
      <c r="D22" s="439"/>
      <c r="E22" s="440"/>
    </row>
    <row r="23" spans="2:5">
      <c r="B23" s="477">
        <f t="shared" si="1"/>
        <v>8</v>
      </c>
      <c r="C23" s="439"/>
      <c r="D23" s="439"/>
      <c r="E23" s="440"/>
    </row>
    <row r="24" spans="2:5">
      <c r="B24" s="477">
        <f t="shared" si="1"/>
        <v>9</v>
      </c>
      <c r="C24" s="439"/>
      <c r="D24" s="439"/>
      <c r="E24" s="440"/>
    </row>
    <row r="25" spans="2:5" ht="15" thickBot="1">
      <c r="B25" s="478">
        <f t="shared" si="1"/>
        <v>10</v>
      </c>
      <c r="C25" s="441"/>
      <c r="D25" s="441"/>
      <c r="E25" s="442"/>
    </row>
    <row r="27" spans="2:5" ht="18.600000000000001" thickBot="1">
      <c r="B27" s="591" t="s">
        <v>816</v>
      </c>
      <c r="C27" s="451"/>
      <c r="D27" s="451"/>
      <c r="E27" s="451"/>
    </row>
    <row r="28" spans="2:5">
      <c r="B28" s="925" t="s">
        <v>767</v>
      </c>
      <c r="C28" s="927" t="s">
        <v>768</v>
      </c>
      <c r="D28" s="929" t="s">
        <v>766</v>
      </c>
      <c r="E28" s="930"/>
    </row>
    <row r="29" spans="2:5" ht="15" thickBot="1">
      <c r="B29" s="926"/>
      <c r="C29" s="928"/>
      <c r="D29" s="474">
        <f>'Control Sheet'!C7</f>
        <v>45016</v>
      </c>
      <c r="E29" s="475">
        <f>'Control Sheet'!C8</f>
        <v>44651</v>
      </c>
    </row>
    <row r="30" spans="2:5">
      <c r="B30" s="476">
        <v>1</v>
      </c>
      <c r="C30" s="437" t="s">
        <v>1026</v>
      </c>
      <c r="D30" s="437">
        <v>700</v>
      </c>
      <c r="E30" s="438">
        <v>700</v>
      </c>
    </row>
    <row r="31" spans="2:5">
      <c r="B31" s="477">
        <f>B30+1</f>
        <v>2</v>
      </c>
      <c r="C31" s="439" t="s">
        <v>1028</v>
      </c>
      <c r="D31" s="439">
        <v>280</v>
      </c>
      <c r="E31" s="440">
        <v>300</v>
      </c>
    </row>
    <row r="32" spans="2:5">
      <c r="B32" s="477">
        <f t="shared" ref="B32:B39" si="2">B31+1</f>
        <v>3</v>
      </c>
      <c r="C32" s="439"/>
      <c r="D32" s="439"/>
      <c r="E32" s="440"/>
    </row>
    <row r="33" spans="2:5">
      <c r="B33" s="477">
        <f t="shared" si="2"/>
        <v>4</v>
      </c>
      <c r="C33" s="439"/>
      <c r="D33" s="439"/>
      <c r="E33" s="440"/>
    </row>
    <row r="34" spans="2:5">
      <c r="B34" s="477">
        <f t="shared" si="2"/>
        <v>5</v>
      </c>
      <c r="C34" s="439"/>
      <c r="D34" s="439"/>
      <c r="E34" s="440"/>
    </row>
    <row r="35" spans="2:5">
      <c r="B35" s="477">
        <f t="shared" si="2"/>
        <v>6</v>
      </c>
      <c r="C35" s="439"/>
      <c r="D35" s="439"/>
      <c r="E35" s="440"/>
    </row>
    <row r="36" spans="2:5">
      <c r="B36" s="477">
        <f t="shared" si="2"/>
        <v>7</v>
      </c>
      <c r="C36" s="439"/>
      <c r="D36" s="439"/>
      <c r="E36" s="440"/>
    </row>
    <row r="37" spans="2:5">
      <c r="B37" s="477">
        <f t="shared" si="2"/>
        <v>8</v>
      </c>
      <c r="C37" s="439"/>
      <c r="D37" s="439"/>
      <c r="E37" s="440"/>
    </row>
    <row r="38" spans="2:5">
      <c r="B38" s="477">
        <f t="shared" si="2"/>
        <v>9</v>
      </c>
      <c r="C38" s="439"/>
      <c r="D38" s="439"/>
      <c r="E38" s="440"/>
    </row>
    <row r="39" spans="2:5" ht="15" thickBot="1">
      <c r="B39" s="478">
        <f t="shared" si="2"/>
        <v>10</v>
      </c>
      <c r="C39" s="441"/>
      <c r="D39" s="441"/>
      <c r="E39" s="442"/>
    </row>
    <row r="41" spans="2:5" ht="18.600000000000001" thickBot="1">
      <c r="B41" s="591" t="s">
        <v>817</v>
      </c>
      <c r="C41" s="451"/>
    </row>
    <row r="42" spans="2:5" ht="15" thickBot="1">
      <c r="B42" s="467" t="s">
        <v>794</v>
      </c>
      <c r="C42" s="468" t="s">
        <v>793</v>
      </c>
      <c r="D42" s="933" t="str">
        <f>IF(SUM($C$53:$C$56)&gt;0,"Calculate as per the issue and buyback","-")</f>
        <v>Calculate as per the issue and buyback</v>
      </c>
    </row>
    <row r="43" spans="2:5" ht="15.6">
      <c r="B43" s="469">
        <f>'Control Sheet'!C7</f>
        <v>45016</v>
      </c>
      <c r="C43" s="438">
        <v>1000</v>
      </c>
      <c r="D43" s="933"/>
    </row>
    <row r="44" spans="2:5" ht="16.2" thickBot="1">
      <c r="B44" s="493">
        <f>'Control Sheet'!C8</f>
        <v>44651</v>
      </c>
      <c r="C44" s="494">
        <v>1000</v>
      </c>
      <c r="D44" s="933"/>
    </row>
    <row r="45" spans="2:5" ht="15" thickBot="1">
      <c r="B45" s="495" t="s">
        <v>795</v>
      </c>
      <c r="C45" s="468" t="s">
        <v>793</v>
      </c>
      <c r="D45" s="933"/>
    </row>
    <row r="46" spans="2:5" ht="15.6">
      <c r="B46" s="469">
        <f>'Control Sheet'!C7</f>
        <v>45016</v>
      </c>
      <c r="C46" s="438">
        <v>1000</v>
      </c>
      <c r="D46" s="933"/>
    </row>
    <row r="47" spans="2:5" ht="16.2" thickBot="1">
      <c r="B47" s="470">
        <f>'Control Sheet'!C8</f>
        <v>44651</v>
      </c>
      <c r="C47" s="442">
        <v>1000</v>
      </c>
      <c r="D47" s="933"/>
    </row>
    <row r="51" spans="2:8" ht="18.600000000000001" thickBot="1">
      <c r="B51" s="591" t="s">
        <v>818</v>
      </c>
      <c r="C51" s="451"/>
    </row>
    <row r="52" spans="2:8" ht="15" thickBot="1">
      <c r="B52" s="463" t="s">
        <v>0</v>
      </c>
      <c r="C52" s="464" t="s">
        <v>776</v>
      </c>
    </row>
    <row r="53" spans="2:8">
      <c r="B53" s="465" t="s">
        <v>772</v>
      </c>
      <c r="C53" s="438">
        <v>1000</v>
      </c>
    </row>
    <row r="54" spans="2:8">
      <c r="B54" s="465" t="s">
        <v>775</v>
      </c>
      <c r="C54" s="438">
        <v>0</v>
      </c>
    </row>
    <row r="55" spans="2:8">
      <c r="B55" s="465" t="s">
        <v>773</v>
      </c>
      <c r="C55" s="438">
        <v>0</v>
      </c>
    </row>
    <row r="56" spans="2:8" ht="15" thickBot="1">
      <c r="B56" s="466" t="s">
        <v>774</v>
      </c>
      <c r="C56" s="447">
        <v>0</v>
      </c>
    </row>
    <row r="58" spans="2:8" ht="18">
      <c r="B58" s="591" t="s">
        <v>819</v>
      </c>
      <c r="C58" s="451"/>
      <c r="D58" s="451"/>
      <c r="F58" s="591" t="s">
        <v>820</v>
      </c>
      <c r="G58" s="451"/>
      <c r="H58" s="451"/>
    </row>
    <row r="59" spans="2:8" ht="15" thickBot="1">
      <c r="B59" s="450" t="s">
        <v>782</v>
      </c>
      <c r="C59" s="451"/>
      <c r="D59" s="451"/>
      <c r="F59" s="450" t="s">
        <v>785</v>
      </c>
      <c r="G59" s="451"/>
      <c r="H59" s="451"/>
    </row>
    <row r="60" spans="2:8" ht="15" thickBot="1">
      <c r="B60" s="452" t="s">
        <v>134</v>
      </c>
      <c r="C60" s="453" t="s">
        <v>0</v>
      </c>
      <c r="D60" s="453" t="s">
        <v>778</v>
      </c>
      <c r="F60" s="452" t="s">
        <v>134</v>
      </c>
      <c r="G60" s="453" t="s">
        <v>0</v>
      </c>
      <c r="H60" s="453" t="s">
        <v>778</v>
      </c>
    </row>
    <row r="61" spans="2:8" ht="21.75" customHeight="1">
      <c r="B61" s="452" t="s">
        <v>779</v>
      </c>
      <c r="C61" s="453" t="s">
        <v>703</v>
      </c>
      <c r="D61" s="454"/>
      <c r="F61" s="452" t="s">
        <v>779</v>
      </c>
      <c r="G61" s="453" t="s">
        <v>703</v>
      </c>
      <c r="H61" s="454"/>
    </row>
    <row r="62" spans="2:8" ht="15.75" customHeight="1">
      <c r="B62" s="472" t="str">
        <f>'Support Sheet'!C2</f>
        <v>(i)</v>
      </c>
      <c r="C62" s="765" t="s">
        <v>257</v>
      </c>
      <c r="D62" s="480">
        <v>13998.46</v>
      </c>
      <c r="F62" s="472" t="str">
        <f>'Support Sheet'!C2</f>
        <v>(i)</v>
      </c>
      <c r="G62" s="765" t="s">
        <v>257</v>
      </c>
      <c r="H62" s="480"/>
    </row>
    <row r="63" spans="2:8">
      <c r="B63" s="472" t="str">
        <f>'Support Sheet'!C3</f>
        <v>(ii)</v>
      </c>
      <c r="C63" s="765" t="s">
        <v>258</v>
      </c>
      <c r="D63" s="480"/>
      <c r="F63" s="472" t="str">
        <f>'Support Sheet'!C3</f>
        <v>(ii)</v>
      </c>
      <c r="G63" s="765" t="s">
        <v>258</v>
      </c>
      <c r="H63" s="480"/>
    </row>
    <row r="64" spans="2:8">
      <c r="B64" s="472" t="str">
        <f>'Support Sheet'!C4</f>
        <v>(iii)</v>
      </c>
      <c r="C64" s="765" t="s">
        <v>259</v>
      </c>
      <c r="D64" s="480"/>
      <c r="F64" s="472" t="str">
        <f>'Support Sheet'!C4</f>
        <v>(iii)</v>
      </c>
      <c r="G64" s="765" t="s">
        <v>259</v>
      </c>
      <c r="H64" s="480"/>
    </row>
    <row r="65" spans="2:8">
      <c r="B65" s="472" t="str">
        <f>'Support Sheet'!C5</f>
        <v>(iv)</v>
      </c>
      <c r="C65" s="765" t="s">
        <v>260</v>
      </c>
      <c r="D65" s="480"/>
      <c r="F65" s="472" t="str">
        <f>'Support Sheet'!C5</f>
        <v>(iv)</v>
      </c>
      <c r="G65" s="765" t="s">
        <v>260</v>
      </c>
      <c r="H65" s="480"/>
    </row>
    <row r="66" spans="2:8" ht="15" thickBot="1">
      <c r="B66" s="456"/>
      <c r="C66" s="457"/>
      <c r="D66" s="458"/>
      <c r="F66" s="455"/>
      <c r="G66" s="457"/>
      <c r="H66" s="458"/>
    </row>
    <row r="67" spans="2:8">
      <c r="B67" s="459" t="s">
        <v>780</v>
      </c>
      <c r="C67" s="460" t="s">
        <v>704</v>
      </c>
      <c r="D67" s="461"/>
      <c r="F67" s="459" t="s">
        <v>780</v>
      </c>
      <c r="G67" s="460" t="s">
        <v>704</v>
      </c>
      <c r="H67" s="461"/>
    </row>
    <row r="68" spans="2:8">
      <c r="B68" s="472" t="str">
        <f>'Support Sheet'!C2</f>
        <v>(i)</v>
      </c>
      <c r="C68" s="765" t="s">
        <v>257</v>
      </c>
      <c r="D68" s="480"/>
      <c r="F68" s="472" t="str">
        <f>'Support Sheet'!C2</f>
        <v>(i)</v>
      </c>
      <c r="G68" s="765" t="s">
        <v>257</v>
      </c>
      <c r="H68" s="480"/>
    </row>
    <row r="69" spans="2:8">
      <c r="B69" s="472" t="str">
        <f>'Support Sheet'!C3</f>
        <v>(ii)</v>
      </c>
      <c r="C69" s="765" t="s">
        <v>258</v>
      </c>
      <c r="D69" s="480"/>
      <c r="F69" s="472" t="str">
        <f>'Support Sheet'!C3</f>
        <v>(ii)</v>
      </c>
      <c r="G69" s="765" t="s">
        <v>258</v>
      </c>
      <c r="H69" s="480"/>
    </row>
    <row r="70" spans="2:8">
      <c r="B70" s="472" t="str">
        <f>'Support Sheet'!C4</f>
        <v>(iii)</v>
      </c>
      <c r="C70" s="765" t="s">
        <v>259</v>
      </c>
      <c r="D70" s="480"/>
      <c r="F70" s="472" t="str">
        <f>'Support Sheet'!C4</f>
        <v>(iii)</v>
      </c>
      <c r="G70" s="765" t="s">
        <v>259</v>
      </c>
      <c r="H70" s="480"/>
    </row>
    <row r="71" spans="2:8">
      <c r="B71" s="472" t="str">
        <f>'Support Sheet'!C5</f>
        <v>(iv)</v>
      </c>
      <c r="C71" s="765" t="s">
        <v>260</v>
      </c>
      <c r="D71" s="480"/>
      <c r="F71" s="472" t="str">
        <f>'Support Sheet'!C5</f>
        <v>(iv)</v>
      </c>
      <c r="G71" s="765" t="s">
        <v>260</v>
      </c>
      <c r="H71" s="480"/>
    </row>
    <row r="72" spans="2:8" ht="15" thickBot="1">
      <c r="B72" s="456"/>
      <c r="C72" s="457"/>
      <c r="D72" s="458"/>
      <c r="F72" s="456"/>
      <c r="G72" s="457"/>
      <c r="H72" s="458"/>
    </row>
    <row r="73" spans="2:8">
      <c r="B73" s="451"/>
      <c r="C73" s="451"/>
      <c r="D73" s="451"/>
      <c r="F73" s="451"/>
      <c r="G73" s="451"/>
      <c r="H73" s="451"/>
    </row>
    <row r="74" spans="2:8" ht="15" thickBot="1">
      <c r="B74" s="450" t="s">
        <v>783</v>
      </c>
      <c r="C74" s="451"/>
      <c r="D74" s="451"/>
      <c r="F74" s="450" t="s">
        <v>783</v>
      </c>
      <c r="G74" s="451"/>
      <c r="H74" s="451"/>
    </row>
    <row r="75" spans="2:8" ht="15" thickBot="1">
      <c r="B75" s="452" t="s">
        <v>134</v>
      </c>
      <c r="C75" s="471" t="s">
        <v>0</v>
      </c>
      <c r="D75" s="464" t="s">
        <v>778</v>
      </c>
      <c r="F75" s="471" t="s">
        <v>134</v>
      </c>
      <c r="G75" s="464" t="s">
        <v>0</v>
      </c>
      <c r="H75" s="464" t="s">
        <v>778</v>
      </c>
    </row>
    <row r="76" spans="2:8">
      <c r="B76" s="462" t="s">
        <v>779</v>
      </c>
      <c r="C76" s="741" t="s">
        <v>784</v>
      </c>
      <c r="D76" s="481"/>
      <c r="F76" s="459" t="s">
        <v>779</v>
      </c>
      <c r="G76" s="741" t="s">
        <v>784</v>
      </c>
      <c r="H76" s="461"/>
    </row>
    <row r="77" spans="2:8">
      <c r="B77" s="472" t="str">
        <f>'Support Sheet'!C2</f>
        <v>(i)</v>
      </c>
      <c r="C77" s="479"/>
      <c r="D77" s="480"/>
      <c r="F77" s="472" t="str">
        <f>'Support Sheet'!C2</f>
        <v>(i)</v>
      </c>
      <c r="G77" s="479"/>
      <c r="H77" s="480"/>
    </row>
    <row r="78" spans="2:8">
      <c r="B78" s="472" t="str">
        <f>'Support Sheet'!C3</f>
        <v>(ii)</v>
      </c>
      <c r="C78" s="479"/>
      <c r="D78" s="480"/>
      <c r="F78" s="472" t="str">
        <f>'Support Sheet'!C3</f>
        <v>(ii)</v>
      </c>
      <c r="G78" s="479"/>
      <c r="H78" s="480"/>
    </row>
    <row r="79" spans="2:8">
      <c r="B79" s="472" t="str">
        <f>'Support Sheet'!C4</f>
        <v>(iii)</v>
      </c>
      <c r="C79" s="479"/>
      <c r="D79" s="480"/>
      <c r="F79" s="472" t="str">
        <f>'Support Sheet'!C4</f>
        <v>(iii)</v>
      </c>
      <c r="G79" s="479"/>
      <c r="H79" s="480"/>
    </row>
    <row r="80" spans="2:8" ht="15" thickBot="1">
      <c r="B80" s="473" t="str">
        <f>'Support Sheet'!C5</f>
        <v>(iv)</v>
      </c>
      <c r="C80" s="482"/>
      <c r="D80" s="483"/>
      <c r="F80" s="472" t="str">
        <f>'Support Sheet'!C5</f>
        <v>(iv)</v>
      </c>
      <c r="G80" s="482"/>
      <c r="H80" s="483"/>
    </row>
    <row r="81" spans="2:8">
      <c r="B81" s="452" t="s">
        <v>780</v>
      </c>
      <c r="C81" s="742" t="s">
        <v>784</v>
      </c>
      <c r="D81" s="484"/>
      <c r="F81" s="452" t="s">
        <v>780</v>
      </c>
      <c r="G81" s="742" t="s">
        <v>784</v>
      </c>
      <c r="H81" s="454"/>
    </row>
    <row r="82" spans="2:8">
      <c r="B82" s="472" t="str">
        <f>'Support Sheet'!C2</f>
        <v>(i)</v>
      </c>
      <c r="C82" s="479"/>
      <c r="D82" s="480"/>
      <c r="F82" s="472" t="str">
        <f>'Support Sheet'!C2</f>
        <v>(i)</v>
      </c>
      <c r="G82" s="479"/>
      <c r="H82" s="480"/>
    </row>
    <row r="83" spans="2:8">
      <c r="B83" s="472" t="str">
        <f>'Support Sheet'!C3</f>
        <v>(ii)</v>
      </c>
      <c r="C83" s="479"/>
      <c r="D83" s="480"/>
      <c r="F83" s="472" t="str">
        <f>'Support Sheet'!C3</f>
        <v>(ii)</v>
      </c>
      <c r="G83" s="479"/>
      <c r="H83" s="480"/>
    </row>
    <row r="84" spans="2:8">
      <c r="B84" s="472" t="str">
        <f>'Support Sheet'!C4</f>
        <v>(iii)</v>
      </c>
      <c r="C84" s="479"/>
      <c r="D84" s="480"/>
      <c r="F84" s="472" t="str">
        <f>'Support Sheet'!C4</f>
        <v>(iii)</v>
      </c>
      <c r="G84" s="479"/>
      <c r="H84" s="480"/>
    </row>
    <row r="85" spans="2:8">
      <c r="B85" s="472" t="str">
        <f>'Support Sheet'!C5</f>
        <v>(iv)</v>
      </c>
      <c r="C85" s="479"/>
      <c r="D85" s="480"/>
      <c r="F85" s="472" t="str">
        <f>'Support Sheet'!C5</f>
        <v>(iv)</v>
      </c>
      <c r="G85" s="479"/>
      <c r="H85" s="480"/>
    </row>
    <row r="86" spans="2:8" ht="15" thickBot="1">
      <c r="B86" s="456"/>
      <c r="C86" s="457"/>
      <c r="D86" s="458"/>
      <c r="F86" s="455"/>
      <c r="G86" s="457"/>
      <c r="H86" s="458"/>
    </row>
    <row r="87" spans="2:8">
      <c r="C87" s="212"/>
      <c r="G87" s="212"/>
    </row>
    <row r="88" spans="2:8" ht="18.600000000000001" thickBot="1">
      <c r="B88" s="591" t="s">
        <v>869</v>
      </c>
      <c r="C88" s="451"/>
      <c r="D88" s="451"/>
    </row>
    <row r="89" spans="2:8" ht="15" thickBot="1">
      <c r="B89" s="463" t="s">
        <v>791</v>
      </c>
      <c r="C89" s="566" t="s">
        <v>870</v>
      </c>
      <c r="D89" s="568" t="str">
        <f>IF('Control Sheet'!$D$18="Specify in Cell E16",'Support Sheet'!$G$10,'Control Sheet'!$C$18)</f>
        <v>In Rs. hundreds</v>
      </c>
    </row>
    <row r="90" spans="2:8" ht="28.8">
      <c r="B90" s="485" t="s">
        <v>788</v>
      </c>
      <c r="C90" s="439"/>
      <c r="D90" s="569">
        <f>C90/'Support Sheet'!$G$10</f>
        <v>0</v>
      </c>
    </row>
    <row r="91" spans="2:8">
      <c r="B91" s="486" t="s">
        <v>789</v>
      </c>
      <c r="C91" s="439"/>
      <c r="D91" s="569">
        <f>C91/'Support Sheet'!$G$10</f>
        <v>0</v>
      </c>
    </row>
    <row r="92" spans="2:8">
      <c r="B92" s="486" t="s">
        <v>787</v>
      </c>
      <c r="C92" s="439"/>
      <c r="D92" s="569">
        <f>C92/'Support Sheet'!$G$10</f>
        <v>0</v>
      </c>
    </row>
    <row r="93" spans="2:8">
      <c r="B93" s="486" t="s">
        <v>786</v>
      </c>
      <c r="C93" s="439"/>
      <c r="D93" s="569">
        <f>C93/'Support Sheet'!$G$10</f>
        <v>0</v>
      </c>
    </row>
    <row r="94" spans="2:8" ht="15" thickBot="1">
      <c r="B94" s="487" t="s">
        <v>790</v>
      </c>
      <c r="C94" s="567"/>
      <c r="D94" s="570">
        <f>C94/'Support Sheet'!$G$10</f>
        <v>0</v>
      </c>
    </row>
    <row r="97" spans="2:8" ht="18.600000000000001" thickBot="1">
      <c r="B97" s="591" t="s">
        <v>1017</v>
      </c>
      <c r="C97" s="451"/>
      <c r="D97" s="451"/>
      <c r="E97" s="451"/>
      <c r="F97" s="451"/>
      <c r="G97" s="451"/>
    </row>
    <row r="98" spans="2:8" ht="15" thickBot="1">
      <c r="B98" s="857" t="s">
        <v>0</v>
      </c>
      <c r="C98" s="934" t="s">
        <v>979</v>
      </c>
      <c r="D98" s="935"/>
      <c r="E98" s="935"/>
      <c r="F98" s="936"/>
      <c r="G98" s="858" t="s">
        <v>978</v>
      </c>
    </row>
    <row r="99" spans="2:8">
      <c r="B99" s="854" t="s">
        <v>633</v>
      </c>
      <c r="C99" s="937" t="s">
        <v>1075</v>
      </c>
      <c r="D99" s="937"/>
      <c r="E99" s="937"/>
      <c r="F99" s="937"/>
      <c r="G99" s="855" t="str">
        <f>IF(OR('Ratio Analysis'!$I$14&gt;25%,'Ratio Analysis'!$I$14&lt;-25%),CONCATENATE("Specify reason for change in ",TEXT($B99,0)),"Not Applicable")</f>
        <v>Specify reason for change in Current Ratio</v>
      </c>
      <c r="H99" s="863">
        <f>IF($G$99:$G$109="Not Applicable",0,1)</f>
        <v>1</v>
      </c>
    </row>
    <row r="100" spans="2:8">
      <c r="B100" s="851" t="s">
        <v>672</v>
      </c>
      <c r="C100" s="931" t="s">
        <v>1076</v>
      </c>
      <c r="D100" s="931"/>
      <c r="E100" s="931"/>
      <c r="F100" s="931"/>
      <c r="G100" s="853" t="str">
        <f>IF(OR('Ratio Analysis'!$I$17&gt;25%,'Ratio Analysis'!$I$17&lt;-25%),CONCATENATE("Specify reason for change in ",TEXT($B100,0)),"Not Applicable")</f>
        <v>Specify reason for change in Debt Equity Ratio</v>
      </c>
    </row>
    <row r="101" spans="2:8">
      <c r="B101" s="851" t="s">
        <v>676</v>
      </c>
      <c r="C101" s="931"/>
      <c r="D101" s="931"/>
      <c r="E101" s="931"/>
      <c r="F101" s="931"/>
      <c r="G101" s="853" t="str">
        <f>IF(OR('Ratio Analysis'!$I$21&gt;25%,'Ratio Analysis'!$I$21&lt;-25%),CONCATENATE("Specify reason for change in ",TEXT($B101,0)),"Not Applicable")</f>
        <v>Not Applicable</v>
      </c>
    </row>
    <row r="102" spans="2:8">
      <c r="B102" s="851" t="s">
        <v>638</v>
      </c>
      <c r="C102" s="931" t="s">
        <v>1076</v>
      </c>
      <c r="D102" s="931"/>
      <c r="E102" s="931"/>
      <c r="F102" s="931"/>
      <c r="G102" s="853" t="str">
        <f>IF(OR('Ratio Analysis'!$I$24&gt;25%,'Ratio Analysis'!$I$24&lt;-25%),CONCATENATE("Specify reason for change in ",TEXT($B102,0)),"Not Applicable")</f>
        <v>Specify reason for change in Return on Equity Ratio</v>
      </c>
    </row>
    <row r="103" spans="2:8">
      <c r="B103" s="851" t="s">
        <v>640</v>
      </c>
      <c r="C103" s="931"/>
      <c r="D103" s="931"/>
      <c r="E103" s="931"/>
      <c r="F103" s="931"/>
      <c r="G103" s="853" t="str">
        <f>IF(OR('Ratio Analysis'!$I$27&gt;25%,'Ratio Analysis'!$I$27&lt;-25%),CONCATENATE("Specify reason for change in ",TEXT($B103,0)),"Not Applicable")</f>
        <v>Not Applicable</v>
      </c>
    </row>
    <row r="104" spans="2:8">
      <c r="B104" s="851" t="s">
        <v>645</v>
      </c>
      <c r="C104" s="931"/>
      <c r="D104" s="931"/>
      <c r="E104" s="931"/>
      <c r="F104" s="931"/>
      <c r="G104" s="853" t="str">
        <f>IF(OR('Ratio Analysis'!$I$31&gt;25%,'Ratio Analysis'!$I$31&lt;-25%),CONCATENATE("Specify reason for change in ",TEXT($B104,0)),"Not Applicable")</f>
        <v>Not Applicable</v>
      </c>
    </row>
    <row r="105" spans="2:8">
      <c r="B105" s="851" t="s">
        <v>650</v>
      </c>
      <c r="C105" s="931" t="s">
        <v>1077</v>
      </c>
      <c r="D105" s="931"/>
      <c r="E105" s="931"/>
      <c r="F105" s="931"/>
      <c r="G105" s="853" t="str">
        <f>IF(OR('Ratio Analysis'!$I$34&gt;25%,'Ratio Analysis'!$I$34&lt;-25%),CONCATENATE("Specify reason for change in ",TEXT($B105,0)),"Not Applicable")</f>
        <v>Specify reason for change in Trade Payables Turnover Ratio</v>
      </c>
    </row>
    <row r="106" spans="2:8">
      <c r="B106" s="851" t="s">
        <v>655</v>
      </c>
      <c r="C106" s="931" t="s">
        <v>1076</v>
      </c>
      <c r="D106" s="931"/>
      <c r="E106" s="931"/>
      <c r="F106" s="931"/>
      <c r="G106" s="853" t="str">
        <f>IF(OR('Ratio Analysis'!$I$38&gt;25%,'Ratio Analysis'!$I$38&lt;-25%),CONCATENATE("Specify reason for change in ",TEXT($B106,0)),"Not Applicable")</f>
        <v>Specify reason for change in Net Capital Turnover Ratio</v>
      </c>
    </row>
    <row r="107" spans="2:8">
      <c r="B107" s="851" t="s">
        <v>660</v>
      </c>
      <c r="C107" s="931" t="s">
        <v>1076</v>
      </c>
      <c r="D107" s="931"/>
      <c r="E107" s="931"/>
      <c r="F107" s="931"/>
      <c r="G107" s="853" t="str">
        <f>IF(OR('Ratio Analysis'!$I$41&gt;25%,'Ratio Analysis'!$I$41&lt;-25%),CONCATENATE("Specify reason for change in ",TEXT($B107,0)),"Not Applicable")</f>
        <v>Specify reason for change in Net Profit Ratio</v>
      </c>
    </row>
    <row r="108" spans="2:8">
      <c r="B108" s="851" t="s">
        <v>664</v>
      </c>
      <c r="C108" s="931" t="s">
        <v>1076</v>
      </c>
      <c r="D108" s="931"/>
      <c r="E108" s="931"/>
      <c r="F108" s="931"/>
      <c r="G108" s="853" t="str">
        <f>IF(OR('Ratio Analysis'!$I$44&gt;25%,'Ratio Analysis'!$I$44&lt;-25%),CONCATENATE("Specify reason for change in ",TEXT($B108,0)),"Not Applicable")</f>
        <v>Specify reason for change in Return on Capital employed</v>
      </c>
    </row>
    <row r="109" spans="2:8" ht="15" thickBot="1">
      <c r="B109" s="852" t="s">
        <v>667</v>
      </c>
      <c r="C109" s="932" t="s">
        <v>1078</v>
      </c>
      <c r="D109" s="932"/>
      <c r="E109" s="932"/>
      <c r="F109" s="932"/>
      <c r="G109" s="856" t="str">
        <f>IF(OR('Ratio Analysis'!$I$47&gt;25%,'Ratio Analysis'!$I$47&lt;-25%),CONCATENATE("Specify reason for change in ",TEXT($B109,0)),"Not Applicable")</f>
        <v>Specify reason for change in Return on Investment</v>
      </c>
    </row>
  </sheetData>
  <mergeCells count="19">
    <mergeCell ref="C109:F109"/>
    <mergeCell ref="D42:D47"/>
    <mergeCell ref="C14:C15"/>
    <mergeCell ref="D14:E14"/>
    <mergeCell ref="C103:F103"/>
    <mergeCell ref="C104:F104"/>
    <mergeCell ref="C105:F105"/>
    <mergeCell ref="C106:F106"/>
    <mergeCell ref="C107:F107"/>
    <mergeCell ref="C98:F98"/>
    <mergeCell ref="C99:F99"/>
    <mergeCell ref="C100:F100"/>
    <mergeCell ref="C101:F101"/>
    <mergeCell ref="C102:F102"/>
    <mergeCell ref="B14:B15"/>
    <mergeCell ref="B28:B29"/>
    <mergeCell ref="C28:C29"/>
    <mergeCell ref="D28:E28"/>
    <mergeCell ref="C108:F108"/>
  </mergeCells>
  <conditionalFormatting sqref="C99:F109">
    <cfRule type="expression" dxfId="36" priority="1">
      <formula>$G99&lt;&gt;"Not Applicable"</formula>
    </cfRule>
    <cfRule type="expression" dxfId="35" priority="2" stopIfTrue="1">
      <formula>$G99="Not Applicable"</formula>
    </cfRule>
  </conditionalFormatting>
  <conditionalFormatting sqref="D5:D10">
    <cfRule type="cellIs" dxfId="34" priority="4" operator="equal">
      <formula>"Fill Details"</formula>
    </cfRule>
    <cfRule type="cellIs" dxfId="33" priority="5" operator="equal">
      <formula>"Okay"</formula>
    </cfRule>
    <cfRule type="cellIs" dxfId="32" priority="6" operator="equal">
      <formula>"Specify in Cell E16"</formula>
    </cfRule>
  </conditionalFormatting>
  <conditionalFormatting sqref="D42:D47">
    <cfRule type="cellIs" dxfId="31" priority="3" operator="equal">
      <formula>"Calculate as per the issue and buyback"</formula>
    </cfRule>
  </conditionalFormatting>
  <pageMargins left="0.7" right="0.7" top="0.75" bottom="0.75" header="0.3" footer="0.3"/>
  <pageSetup scale="5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3F5CD18-F364-4A5D-AD92-B4A8DC89BCB8}">
          <x14:formula1>
            <xm:f>'Support Sheet'!$Q$3:$Q$6</xm:f>
          </x14:formula1>
          <xm:sqref>C77:C80 G82:G87 G77:G80 C72 G72 C82:C87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083F-8770-4FBB-A8F0-619D90A73341}">
  <sheetPr>
    <tabColor theme="7"/>
  </sheetPr>
  <dimension ref="B2:T44"/>
  <sheetViews>
    <sheetView showGridLines="0" zoomScale="80" zoomScaleNormal="80" workbookViewId="0">
      <selection activeCell="L4" sqref="L4"/>
    </sheetView>
  </sheetViews>
  <sheetFormatPr defaultRowHeight="14.4"/>
  <cols>
    <col min="2" max="2" width="17.33203125" bestFit="1" customWidth="1"/>
    <col min="3" max="3" width="22.88671875" bestFit="1" customWidth="1"/>
    <col min="4" max="4" width="20.88671875" bestFit="1" customWidth="1"/>
    <col min="5" max="5" width="17" bestFit="1" customWidth="1"/>
    <col min="6" max="6" width="8.44140625" bestFit="1" customWidth="1"/>
    <col min="7" max="7" width="23.88671875" bestFit="1" customWidth="1"/>
    <col min="8" max="8" width="21.5546875" bestFit="1" customWidth="1"/>
    <col min="9" max="9" width="17" bestFit="1" customWidth="1"/>
    <col min="10" max="10" width="12.5546875" customWidth="1"/>
    <col min="11" max="11" width="22.109375" bestFit="1" customWidth="1"/>
    <col min="12" max="12" width="15.109375" bestFit="1" customWidth="1"/>
    <col min="13" max="13" width="22.88671875" bestFit="1" customWidth="1"/>
    <col min="14" max="14" width="19.5546875" bestFit="1" customWidth="1"/>
    <col min="15" max="15" width="20.109375" bestFit="1" customWidth="1"/>
    <col min="16" max="16" width="8.44140625" bestFit="1" customWidth="1"/>
    <col min="17" max="17" width="23.88671875" bestFit="1" customWidth="1"/>
    <col min="18" max="19" width="20.109375" bestFit="1" customWidth="1"/>
    <col min="20" max="20" width="8.88671875" bestFit="1" customWidth="1"/>
  </cols>
  <sheetData>
    <row r="2" spans="2:20" ht="18">
      <c r="B2" s="261" t="s">
        <v>813</v>
      </c>
      <c r="L2" s="261" t="s">
        <v>814</v>
      </c>
    </row>
    <row r="3" spans="2:20" ht="15" thickBot="1">
      <c r="B3" s="579" t="s">
        <v>796</v>
      </c>
      <c r="C3" s="580" t="s">
        <v>803</v>
      </c>
      <c r="D3" s="580" t="s">
        <v>876</v>
      </c>
      <c r="E3" s="580" t="s">
        <v>799</v>
      </c>
      <c r="F3" s="580" t="s">
        <v>798</v>
      </c>
      <c r="G3" s="581" t="s">
        <v>804</v>
      </c>
      <c r="H3" s="581" t="s">
        <v>877</v>
      </c>
      <c r="I3" s="581" t="s">
        <v>800</v>
      </c>
      <c r="J3" s="582" t="s">
        <v>801</v>
      </c>
      <c r="L3" s="583" t="s">
        <v>802</v>
      </c>
      <c r="M3" s="584" t="s">
        <v>803</v>
      </c>
      <c r="N3" s="584" t="s">
        <v>878</v>
      </c>
      <c r="O3" s="584" t="s">
        <v>799</v>
      </c>
      <c r="P3" s="584" t="s">
        <v>798</v>
      </c>
      <c r="Q3" s="585" t="s">
        <v>804</v>
      </c>
      <c r="R3" s="585" t="s">
        <v>879</v>
      </c>
      <c r="S3" s="585" t="s">
        <v>800</v>
      </c>
      <c r="T3" s="586" t="s">
        <v>801</v>
      </c>
    </row>
    <row r="4" spans="2:20">
      <c r="B4" s="578" t="s">
        <v>1071</v>
      </c>
      <c r="C4" s="578">
        <v>82.6</v>
      </c>
      <c r="D4" s="739">
        <v>44961</v>
      </c>
      <c r="E4" s="451" t="str">
        <f>IF(('Control Sheet'!$C$7-Table3[[#This Row],[Payment due since]])&gt;1095,"more than 3 years",IF(('Control Sheet'!$C$7-Table3[[#This Row],[Payment due since]])&gt;730,"2year-3year",IF(('Control Sheet'!$C$7-Table3[[#This Row],[Payment due since]])&gt;365,"1year-2year","less than 1 Year")))</f>
        <v>less than 1 Year</v>
      </c>
      <c r="F4" s="578" t="s">
        <v>238</v>
      </c>
      <c r="G4" s="578">
        <v>9500</v>
      </c>
      <c r="H4" s="739">
        <v>44649</v>
      </c>
      <c r="I4" s="451" t="str">
        <f>IF(('Control Sheet'!$C$8-Table3[[#This Row],[Payment due since ]])&gt;1095,"more than 3 years",IF(('Control Sheet'!$C$8-Table3[[#This Row],[Payment due since ]])&gt;730,"2year-3year",IF(('Control Sheet'!$C$8-Table3[[#This Row],[Payment due since ]])&gt;365,"1year-2year","less than 1 Year")))</f>
        <v>less than 1 Year</v>
      </c>
      <c r="J4" s="578" t="s">
        <v>238</v>
      </c>
      <c r="L4" s="578"/>
      <c r="M4" s="578"/>
      <c r="N4" s="739"/>
      <c r="O4"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4" s="578"/>
      <c r="Q4" s="578"/>
      <c r="R4" s="739"/>
      <c r="S4"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4" s="578"/>
    </row>
    <row r="5" spans="2:20">
      <c r="B5" s="578" t="s">
        <v>1072</v>
      </c>
      <c r="C5" s="578">
        <v>3600.01</v>
      </c>
      <c r="D5" s="739">
        <v>44975</v>
      </c>
      <c r="E5" s="451" t="str">
        <f>IF(('Control Sheet'!$C$7-Table3[[#This Row],[Payment due since]])&gt;1095,"more than 3 years",IF(('Control Sheet'!$C$7-Table3[[#This Row],[Payment due since]])&gt;730,"2year-3year",IF(('Control Sheet'!$C$7-Table3[[#This Row],[Payment due since]])&gt;365,"1year-2year","less than 1 Year")))</f>
        <v>less than 1 Year</v>
      </c>
      <c r="F5" s="578" t="s">
        <v>238</v>
      </c>
      <c r="G5" s="578"/>
      <c r="H5" s="578"/>
      <c r="I5" s="451" t="str">
        <f>IF(('Control Sheet'!$C$8-Table3[[#This Row],[Payment due since ]])&gt;1095,"more than 3 years",IF(('Control Sheet'!$C$8-Table3[[#This Row],[Payment due since ]])&gt;730,"2year-3year",IF(('Control Sheet'!$C$8-Table3[[#This Row],[Payment due since ]])&gt;365,"1year-2year","less than 1 Year")))</f>
        <v>more than 3 years</v>
      </c>
      <c r="J5" s="578" t="s">
        <v>238</v>
      </c>
      <c r="L5" s="578"/>
      <c r="M5" s="578"/>
      <c r="N5" s="578"/>
      <c r="O5"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5" s="578"/>
      <c r="Q5" s="578"/>
      <c r="R5" s="578"/>
      <c r="S5"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5" s="578"/>
    </row>
    <row r="6" spans="2:20">
      <c r="B6" s="578" t="s">
        <v>1073</v>
      </c>
      <c r="C6" s="578">
        <v>2203.6999999999998</v>
      </c>
      <c r="D6" s="739">
        <v>44916</v>
      </c>
      <c r="E6" s="451" t="str">
        <f>IF(('Control Sheet'!$C$7-Table3[[#This Row],[Payment due since]])&gt;1095,"more than 3 years",IF(('Control Sheet'!$C$7-Table3[[#This Row],[Payment due since]])&gt;730,"2year-3year",IF(('Control Sheet'!$C$7-Table3[[#This Row],[Payment due since]])&gt;365,"1year-2year","less than 1 Year")))</f>
        <v>less than 1 Year</v>
      </c>
      <c r="F6" s="578" t="s">
        <v>238</v>
      </c>
      <c r="G6" s="578"/>
      <c r="H6" s="578"/>
      <c r="I6" s="451" t="str">
        <f>IF(('Control Sheet'!$C$8-Table3[[#This Row],[Payment due since ]])&gt;1095,"more than 3 years",IF(('Control Sheet'!$C$8-Table3[[#This Row],[Payment due since ]])&gt;730,"2year-3year",IF(('Control Sheet'!$C$8-Table3[[#This Row],[Payment due since ]])&gt;365,"1year-2year","less than 1 Year")))</f>
        <v>more than 3 years</v>
      </c>
      <c r="J6" s="578" t="s">
        <v>238</v>
      </c>
      <c r="L6" s="578"/>
      <c r="M6" s="578"/>
      <c r="N6" s="578"/>
      <c r="O6"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6" s="578"/>
      <c r="Q6" s="578"/>
      <c r="R6" s="578"/>
      <c r="S6"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6" s="578"/>
    </row>
    <row r="7" spans="2:20">
      <c r="B7" s="578"/>
      <c r="C7" s="578"/>
      <c r="D7" s="739"/>
      <c r="E7" s="451" t="str">
        <f>IF(('Control Sheet'!$C$7-Table3[[#This Row],[Payment due since]])&gt;1095,"more than 3 years",IF(('Control Sheet'!$C$7-Table3[[#This Row],[Payment due since]])&gt;730,"2year-3year",IF(('Control Sheet'!$C$7-Table3[[#This Row],[Payment due since]])&gt;365,"1year-2year","less than 1 Year")))</f>
        <v>more than 3 years</v>
      </c>
      <c r="F7" s="578"/>
      <c r="G7" s="578"/>
      <c r="H7" s="578"/>
      <c r="I7" s="451" t="str">
        <f>IF(('Control Sheet'!$C$8-Table3[[#This Row],[Payment due since ]])&gt;1095,"more than 3 years",IF(('Control Sheet'!$C$8-Table3[[#This Row],[Payment due since ]])&gt;730,"2year-3year",IF(('Control Sheet'!$C$8-Table3[[#This Row],[Payment due since ]])&gt;365,"1year-2year","less than 1 Year")))</f>
        <v>more than 3 years</v>
      </c>
      <c r="J7" s="578" t="s">
        <v>238</v>
      </c>
      <c r="L7" s="578"/>
      <c r="M7" s="578"/>
      <c r="N7" s="578"/>
      <c r="O7"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7" s="578"/>
      <c r="Q7" s="578"/>
      <c r="R7" s="578"/>
      <c r="S7"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7" s="578"/>
    </row>
    <row r="8" spans="2:20">
      <c r="B8" s="578"/>
      <c r="C8" s="578"/>
      <c r="D8" s="578"/>
      <c r="E8" s="451" t="str">
        <f>IF(('Control Sheet'!$C$7-Table3[[#This Row],[Payment due since]])&gt;1095,"more than 3 years",IF(('Control Sheet'!$C$7-Table3[[#This Row],[Payment due since]])&gt;730,"2year-3year",IF(('Control Sheet'!$C$7-Table3[[#This Row],[Payment due since]])&gt;365,"1year-2year","less than 1 Year")))</f>
        <v>more than 3 years</v>
      </c>
      <c r="F8" s="578"/>
      <c r="G8" s="578"/>
      <c r="H8" s="578"/>
      <c r="I8" s="451" t="str">
        <f>IF(('Control Sheet'!$C$8-Table3[[#This Row],[Payment due since ]])&gt;1095,"more than 3 years",IF(('Control Sheet'!$C$8-Table3[[#This Row],[Payment due since ]])&gt;730,"2year-3year",IF(('Control Sheet'!$C$8-Table3[[#This Row],[Payment due since ]])&gt;365,"1year-2year","less than 1 Year")))</f>
        <v>more than 3 years</v>
      </c>
      <c r="J8" s="578"/>
      <c r="L8" s="578"/>
      <c r="M8" s="578"/>
      <c r="N8" s="578"/>
      <c r="O8"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8" s="578"/>
      <c r="Q8" s="578"/>
      <c r="R8" s="578"/>
      <c r="S8"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8" s="578"/>
    </row>
    <row r="9" spans="2:20">
      <c r="B9" s="578"/>
      <c r="C9" s="578"/>
      <c r="D9" s="578"/>
      <c r="E9" s="451" t="str">
        <f>IF(('Control Sheet'!$C$7-Table3[[#This Row],[Payment due since]])&gt;1095,"more than 3 years",IF(('Control Sheet'!$C$7-Table3[[#This Row],[Payment due since]])&gt;730,"2year-3year",IF(('Control Sheet'!$C$7-Table3[[#This Row],[Payment due since]])&gt;365,"1year-2year","less than 1 Year")))</f>
        <v>more than 3 years</v>
      </c>
      <c r="F9" s="578"/>
      <c r="G9" s="578"/>
      <c r="H9" s="578"/>
      <c r="I9" s="451" t="str">
        <f>IF(('Control Sheet'!$C$8-Table3[[#This Row],[Payment due since ]])&gt;1095,"more than 3 years",IF(('Control Sheet'!$C$8-Table3[[#This Row],[Payment due since ]])&gt;730,"2year-3year",IF(('Control Sheet'!$C$8-Table3[[#This Row],[Payment due since ]])&gt;365,"1year-2year","less than 1 Year")))</f>
        <v>more than 3 years</v>
      </c>
      <c r="J9" s="578"/>
      <c r="L9" s="578"/>
      <c r="M9" s="578"/>
      <c r="N9" s="578"/>
      <c r="O9"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9" s="578"/>
      <c r="Q9" s="578"/>
      <c r="R9" s="578"/>
      <c r="S9"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9" s="578"/>
    </row>
    <row r="10" spans="2:20">
      <c r="B10" s="578"/>
      <c r="C10" s="578"/>
      <c r="D10" s="578"/>
      <c r="E10" s="451" t="str">
        <f>IF(('Control Sheet'!$C$7-Table3[[#This Row],[Payment due since]])&gt;1095,"more than 3 years",IF(('Control Sheet'!$C$7-Table3[[#This Row],[Payment due since]])&gt;730,"2year-3year",IF(('Control Sheet'!$C$7-Table3[[#This Row],[Payment due since]])&gt;365,"1year-2year","less than 1 Year")))</f>
        <v>more than 3 years</v>
      </c>
      <c r="F10" s="578"/>
      <c r="G10" s="578"/>
      <c r="H10" s="578"/>
      <c r="I10" s="451" t="str">
        <f>IF(('Control Sheet'!$C$8-Table3[[#This Row],[Payment due since ]])&gt;1095,"more than 3 years",IF(('Control Sheet'!$C$8-Table3[[#This Row],[Payment due since ]])&gt;730,"2year-3year",IF(('Control Sheet'!$C$8-Table3[[#This Row],[Payment due since ]])&gt;365,"1year-2year","less than 1 Year")))</f>
        <v>more than 3 years</v>
      </c>
      <c r="J10" s="578"/>
      <c r="L10" s="578"/>
      <c r="M10" s="578"/>
      <c r="N10" s="578"/>
      <c r="O10"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0" s="578"/>
      <c r="Q10" s="578"/>
      <c r="R10" s="578"/>
      <c r="S10"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0" s="578"/>
    </row>
    <row r="11" spans="2:20">
      <c r="B11" s="578"/>
      <c r="C11" s="578"/>
      <c r="D11" s="578"/>
      <c r="E11" s="451" t="str">
        <f>IF(('Control Sheet'!$C$7-Table3[[#This Row],[Payment due since]])&gt;1095,"more than 3 years",IF(('Control Sheet'!$C$7-Table3[[#This Row],[Payment due since]])&gt;730,"2year-3year",IF(('Control Sheet'!$C$7-Table3[[#This Row],[Payment due since]])&gt;365,"1year-2year","less than 1 Year")))</f>
        <v>more than 3 years</v>
      </c>
      <c r="F11" s="578"/>
      <c r="G11" s="578"/>
      <c r="H11" s="578"/>
      <c r="I11" s="451" t="str">
        <f>IF(('Control Sheet'!$C$8-Table3[[#This Row],[Payment due since ]])&gt;1095,"more than 3 years",IF(('Control Sheet'!$C$8-Table3[[#This Row],[Payment due since ]])&gt;730,"2year-3year",IF(('Control Sheet'!$C$8-Table3[[#This Row],[Payment due since ]])&gt;365,"1year-2year","less than 1 Year")))</f>
        <v>more than 3 years</v>
      </c>
      <c r="J11" s="578"/>
      <c r="L11" s="578"/>
      <c r="M11" s="578"/>
      <c r="N11" s="578"/>
      <c r="O11"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1" s="578"/>
      <c r="Q11" s="578"/>
      <c r="R11" s="578"/>
      <c r="S11"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1" s="578"/>
    </row>
    <row r="12" spans="2:20">
      <c r="B12" s="578"/>
      <c r="C12" s="578"/>
      <c r="D12" s="578"/>
      <c r="E12" s="451" t="str">
        <f>IF(('Control Sheet'!$C$7-Table3[[#This Row],[Payment due since]])&gt;1095,"more than 3 years",IF(('Control Sheet'!$C$7-Table3[[#This Row],[Payment due since]])&gt;730,"2year-3year",IF(('Control Sheet'!$C$7-Table3[[#This Row],[Payment due since]])&gt;365,"1year-2year","less than 1 Year")))</f>
        <v>more than 3 years</v>
      </c>
      <c r="F12" s="578"/>
      <c r="G12" s="578"/>
      <c r="H12" s="578"/>
      <c r="I12" s="451" t="str">
        <f>IF(('Control Sheet'!$C$8-Table3[[#This Row],[Payment due since ]])&gt;1095,"more than 3 years",IF(('Control Sheet'!$C$8-Table3[[#This Row],[Payment due since ]])&gt;730,"2year-3year",IF(('Control Sheet'!$C$8-Table3[[#This Row],[Payment due since ]])&gt;365,"1year-2year","less than 1 Year")))</f>
        <v>more than 3 years</v>
      </c>
      <c r="J12" s="578"/>
      <c r="L12" s="578"/>
      <c r="M12" s="578"/>
      <c r="N12" s="578"/>
      <c r="O12"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2" s="578"/>
      <c r="Q12" s="578"/>
      <c r="R12" s="578"/>
      <c r="S12"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2" s="578"/>
    </row>
    <row r="13" spans="2:20">
      <c r="B13" s="578"/>
      <c r="C13" s="578"/>
      <c r="D13" s="578"/>
      <c r="E13" s="451" t="str">
        <f>IF(('Control Sheet'!$C$7-Table3[[#This Row],[Payment due since]])&gt;1095,"more than 3 years",IF(('Control Sheet'!$C$7-Table3[[#This Row],[Payment due since]])&gt;730,"2year-3year",IF(('Control Sheet'!$C$7-Table3[[#This Row],[Payment due since]])&gt;365,"1year-2year","less than 1 Year")))</f>
        <v>more than 3 years</v>
      </c>
      <c r="F13" s="578"/>
      <c r="G13" s="578"/>
      <c r="H13" s="578"/>
      <c r="I13" s="451" t="str">
        <f>IF(('Control Sheet'!$C$8-Table3[[#This Row],[Payment due since ]])&gt;1095,"more than 3 years",IF(('Control Sheet'!$C$8-Table3[[#This Row],[Payment due since ]])&gt;730,"2year-3year",IF(('Control Sheet'!$C$8-Table3[[#This Row],[Payment due since ]])&gt;365,"1year-2year","less than 1 Year")))</f>
        <v>more than 3 years</v>
      </c>
      <c r="J13" s="578"/>
      <c r="L13" s="578"/>
      <c r="M13" s="578"/>
      <c r="N13" s="578"/>
      <c r="O13"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3" s="578"/>
      <c r="Q13" s="578"/>
      <c r="R13" s="578"/>
      <c r="S13"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3" s="578"/>
    </row>
    <row r="14" spans="2:20">
      <c r="B14" s="578"/>
      <c r="C14" s="578"/>
      <c r="D14" s="578"/>
      <c r="E14" s="451" t="str">
        <f>IF(('Control Sheet'!$C$7-Table3[[#This Row],[Payment due since]])&gt;1095,"more than 3 years",IF(('Control Sheet'!$C$7-Table3[[#This Row],[Payment due since]])&gt;730,"2year-3year",IF(('Control Sheet'!$C$7-Table3[[#This Row],[Payment due since]])&gt;365,"1year-2year","less than 1 Year")))</f>
        <v>more than 3 years</v>
      </c>
      <c r="F14" s="578"/>
      <c r="G14" s="578"/>
      <c r="H14" s="578"/>
      <c r="I14" s="451" t="str">
        <f>IF(('Control Sheet'!$C$8-Table3[[#This Row],[Payment due since ]])&gt;1095,"more than 3 years",IF(('Control Sheet'!$C$8-Table3[[#This Row],[Payment due since ]])&gt;730,"2year-3year",IF(('Control Sheet'!$C$8-Table3[[#This Row],[Payment due since ]])&gt;365,"1year-2year","less than 1 Year")))</f>
        <v>more than 3 years</v>
      </c>
      <c r="J14" s="578"/>
      <c r="L14" s="578"/>
      <c r="M14" s="578"/>
      <c r="N14" s="578"/>
      <c r="O14"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4" s="578"/>
      <c r="Q14" s="578"/>
      <c r="R14" s="578"/>
      <c r="S14"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4" s="578"/>
    </row>
    <row r="15" spans="2:20">
      <c r="B15" s="578"/>
      <c r="C15" s="578"/>
      <c r="D15" s="578"/>
      <c r="E15" s="451" t="str">
        <f>IF(('Control Sheet'!$C$7-Table3[[#This Row],[Payment due since]])&gt;1095,"more than 3 years",IF(('Control Sheet'!$C$7-Table3[[#This Row],[Payment due since]])&gt;730,"2year-3year",IF(('Control Sheet'!$C$7-Table3[[#This Row],[Payment due since]])&gt;365,"1year-2year","less than 1 Year")))</f>
        <v>more than 3 years</v>
      </c>
      <c r="F15" s="578"/>
      <c r="G15" s="578"/>
      <c r="H15" s="578"/>
      <c r="I15" s="451" t="str">
        <f>IF(('Control Sheet'!$C$8-Table3[[#This Row],[Payment due since ]])&gt;1095,"more than 3 years",IF(('Control Sheet'!$C$8-Table3[[#This Row],[Payment due since ]])&gt;730,"2year-3year",IF(('Control Sheet'!$C$8-Table3[[#This Row],[Payment due since ]])&gt;365,"1year-2year","less than 1 Year")))</f>
        <v>more than 3 years</v>
      </c>
      <c r="J15" s="578"/>
      <c r="L15" s="578"/>
      <c r="M15" s="578"/>
      <c r="N15" s="578"/>
      <c r="O15"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5" s="578"/>
      <c r="Q15" s="578"/>
      <c r="R15" s="578"/>
      <c r="S15"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5" s="578"/>
    </row>
    <row r="16" spans="2:20">
      <c r="B16" s="578"/>
      <c r="C16" s="578"/>
      <c r="D16" s="578"/>
      <c r="E16" s="451" t="str">
        <f>IF(('Control Sheet'!$C$7-Table3[[#This Row],[Payment due since]])&gt;1095,"more than 3 years",IF(('Control Sheet'!$C$7-Table3[[#This Row],[Payment due since]])&gt;730,"2year-3year",IF(('Control Sheet'!$C$7-Table3[[#This Row],[Payment due since]])&gt;365,"1year-2year","less than 1 Year")))</f>
        <v>more than 3 years</v>
      </c>
      <c r="F16" s="578"/>
      <c r="G16" s="578"/>
      <c r="H16" s="578"/>
      <c r="I16" s="451" t="str">
        <f>IF(('Control Sheet'!$C$8-Table3[[#This Row],[Payment due since ]])&gt;1095,"more than 3 years",IF(('Control Sheet'!$C$8-Table3[[#This Row],[Payment due since ]])&gt;730,"2year-3year",IF(('Control Sheet'!$C$8-Table3[[#This Row],[Payment due since ]])&gt;365,"1year-2year","less than 1 Year")))</f>
        <v>more than 3 years</v>
      </c>
      <c r="J16" s="578"/>
      <c r="L16" s="578"/>
      <c r="M16" s="578"/>
      <c r="N16" s="578"/>
      <c r="O16"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6" s="578"/>
      <c r="Q16" s="578"/>
      <c r="R16" s="578"/>
      <c r="S16"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6" s="578"/>
    </row>
    <row r="17" spans="2:20">
      <c r="B17" s="578"/>
      <c r="C17" s="578"/>
      <c r="D17" s="578"/>
      <c r="E17" s="451" t="str">
        <f>IF(('Control Sheet'!$C$7-Table3[[#This Row],[Payment due since]])&gt;1095,"more than 3 years",IF(('Control Sheet'!$C$7-Table3[[#This Row],[Payment due since]])&gt;730,"2year-3year",IF(('Control Sheet'!$C$7-Table3[[#This Row],[Payment due since]])&gt;365,"1year-2year","less than 1 Year")))</f>
        <v>more than 3 years</v>
      </c>
      <c r="F17" s="578"/>
      <c r="G17" s="578"/>
      <c r="H17" s="578"/>
      <c r="I17" s="451" t="str">
        <f>IF(('Control Sheet'!$C$8-Table3[[#This Row],[Payment due since ]])&gt;1095,"more than 3 years",IF(('Control Sheet'!$C$8-Table3[[#This Row],[Payment due since ]])&gt;730,"2year-3year",IF(('Control Sheet'!$C$8-Table3[[#This Row],[Payment due since ]])&gt;365,"1year-2year","less than 1 Year")))</f>
        <v>more than 3 years</v>
      </c>
      <c r="J17" s="578"/>
      <c r="L17" s="578"/>
      <c r="M17" s="578"/>
      <c r="N17" s="578"/>
      <c r="O17"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7" s="578"/>
      <c r="Q17" s="578"/>
      <c r="R17" s="578"/>
      <c r="S17"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7" s="578"/>
    </row>
    <row r="18" spans="2:20">
      <c r="B18" s="578"/>
      <c r="C18" s="578"/>
      <c r="D18" s="578"/>
      <c r="E18" s="451" t="str">
        <f>IF(('Control Sheet'!$C$7-Table3[[#This Row],[Payment due since]])&gt;1095,"more than 3 years",IF(('Control Sheet'!$C$7-Table3[[#This Row],[Payment due since]])&gt;730,"2year-3year",IF(('Control Sheet'!$C$7-Table3[[#This Row],[Payment due since]])&gt;365,"1year-2year","less than 1 Year")))</f>
        <v>more than 3 years</v>
      </c>
      <c r="F18" s="578"/>
      <c r="G18" s="578"/>
      <c r="H18" s="578"/>
      <c r="I18" s="451" t="str">
        <f>IF(('Control Sheet'!$C$8-Table3[[#This Row],[Payment due since ]])&gt;1095,"more than 3 years",IF(('Control Sheet'!$C$8-Table3[[#This Row],[Payment due since ]])&gt;730,"2year-3year",IF(('Control Sheet'!$C$8-Table3[[#This Row],[Payment due since ]])&gt;365,"1year-2year","less than 1 Year")))</f>
        <v>more than 3 years</v>
      </c>
      <c r="J18" s="578"/>
      <c r="L18" s="578"/>
      <c r="M18" s="578"/>
      <c r="N18" s="578"/>
      <c r="O18"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8" s="578"/>
      <c r="Q18" s="578"/>
      <c r="R18" s="578"/>
      <c r="S18"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8" s="578"/>
    </row>
    <row r="19" spans="2:20">
      <c r="B19" s="578"/>
      <c r="C19" s="578"/>
      <c r="D19" s="578"/>
      <c r="E19" s="451" t="str">
        <f>IF(('Control Sheet'!$C$7-Table3[[#This Row],[Payment due since]])&gt;1095,"more than 3 years",IF(('Control Sheet'!$C$7-Table3[[#This Row],[Payment due since]])&gt;730,"2year-3year",IF(('Control Sheet'!$C$7-Table3[[#This Row],[Payment due since]])&gt;365,"1year-2year","less than 1 Year")))</f>
        <v>more than 3 years</v>
      </c>
      <c r="F19" s="578"/>
      <c r="G19" s="578"/>
      <c r="H19" s="578"/>
      <c r="I19" s="451" t="str">
        <f>IF(('Control Sheet'!$C$8-Table3[[#This Row],[Payment due since ]])&gt;1095,"more than 3 years",IF(('Control Sheet'!$C$8-Table3[[#This Row],[Payment due since ]])&gt;730,"2year-3year",IF(('Control Sheet'!$C$8-Table3[[#This Row],[Payment due since ]])&gt;365,"1year-2year","less than 1 Year")))</f>
        <v>more than 3 years</v>
      </c>
      <c r="J19" s="578"/>
      <c r="L19" s="578"/>
      <c r="M19" s="578"/>
      <c r="N19" s="578"/>
      <c r="O19"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9" s="578"/>
      <c r="Q19" s="578"/>
      <c r="R19" s="578"/>
      <c r="S19"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9" s="578"/>
    </row>
    <row r="20" spans="2:20">
      <c r="B20" s="578"/>
      <c r="C20" s="578"/>
      <c r="D20" s="578"/>
      <c r="E20" s="451" t="str">
        <f>IF(('Control Sheet'!$C$7-Table3[[#This Row],[Payment due since]])&gt;1095,"more than 3 years",IF(('Control Sheet'!$C$7-Table3[[#This Row],[Payment due since]])&gt;730,"2year-3year",IF(('Control Sheet'!$C$7-Table3[[#This Row],[Payment due since]])&gt;365,"1year-2year","less than 1 Year")))</f>
        <v>more than 3 years</v>
      </c>
      <c r="F20" s="578"/>
      <c r="G20" s="578"/>
      <c r="H20" s="578"/>
      <c r="I20" s="451" t="str">
        <f>IF(('Control Sheet'!$C$8-Table3[[#This Row],[Payment due since ]])&gt;1095,"more than 3 years",IF(('Control Sheet'!$C$8-Table3[[#This Row],[Payment due since ]])&gt;730,"2year-3year",IF(('Control Sheet'!$C$8-Table3[[#This Row],[Payment due since ]])&gt;365,"1year-2year","less than 1 Year")))</f>
        <v>more than 3 years</v>
      </c>
      <c r="J20" s="578"/>
      <c r="L20" s="578"/>
      <c r="M20" s="578"/>
      <c r="N20" s="578"/>
      <c r="O20"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20" s="578"/>
      <c r="Q20" s="578"/>
      <c r="R20" s="578"/>
      <c r="S20"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20" s="578"/>
    </row>
    <row r="21" spans="2:20">
      <c r="B21" s="578"/>
      <c r="C21" s="578"/>
      <c r="D21" s="578"/>
      <c r="E21" s="451" t="str">
        <f>IF(('Control Sheet'!$C$7-Table3[[#This Row],[Payment due since]])&gt;1095,"more than 3 years",IF(('Control Sheet'!$C$7-Table3[[#This Row],[Payment due since]])&gt;730,"2year-3year",IF(('Control Sheet'!$C$7-Table3[[#This Row],[Payment due since]])&gt;365,"1year-2year","less than 1 Year")))</f>
        <v>more than 3 years</v>
      </c>
      <c r="F21" s="578"/>
      <c r="G21" s="578"/>
      <c r="H21" s="578"/>
      <c r="I21" s="451" t="str">
        <f>IF(('Control Sheet'!$C$8-Table3[[#This Row],[Payment due since ]])&gt;1095,"more than 3 years",IF(('Control Sheet'!$C$8-Table3[[#This Row],[Payment due since ]])&gt;730,"2year-3year",IF(('Control Sheet'!$C$8-Table3[[#This Row],[Payment due since ]])&gt;365,"1year-2year","less than 1 Year")))</f>
        <v>more than 3 years</v>
      </c>
      <c r="J21" s="578"/>
      <c r="L21" s="578"/>
      <c r="M21" s="578"/>
      <c r="N21" s="578"/>
      <c r="O21"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21" s="578"/>
      <c r="Q21" s="578"/>
      <c r="R21" s="578"/>
      <c r="S21"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21" s="578"/>
    </row>
    <row r="22" spans="2:20">
      <c r="B22" s="578"/>
      <c r="C22" s="578"/>
      <c r="D22" s="578"/>
      <c r="E22" s="451" t="str">
        <f>IF(('Control Sheet'!$C$7-Table3[[#This Row],[Payment due since]])&gt;1095,"more than 3 years",IF(('Control Sheet'!$C$7-Table3[[#This Row],[Payment due since]])&gt;730,"2year-3year",IF(('Control Sheet'!$C$7-Table3[[#This Row],[Payment due since]])&gt;365,"1year-2year","less than 1 Year")))</f>
        <v>more than 3 years</v>
      </c>
      <c r="F22" s="578"/>
      <c r="G22" s="578"/>
      <c r="H22" s="578"/>
      <c r="I22" s="451" t="str">
        <f>IF(('Control Sheet'!$C$8-Table3[[#This Row],[Payment due since ]])&gt;1095,"more than 3 years",IF(('Control Sheet'!$C$8-Table3[[#This Row],[Payment due since ]])&gt;730,"2year-3year",IF(('Control Sheet'!$C$8-Table3[[#This Row],[Payment due since ]])&gt;365,"1year-2year","less than 1 Year")))</f>
        <v>more than 3 years</v>
      </c>
      <c r="J22" s="578"/>
      <c r="L22" s="578"/>
      <c r="M22" s="578"/>
      <c r="N22" s="578"/>
      <c r="O22"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22" s="578"/>
      <c r="Q22" s="578"/>
      <c r="R22" s="578"/>
      <c r="S22"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22" s="578"/>
    </row>
    <row r="23" spans="2:20">
      <c r="B23" s="578"/>
      <c r="C23" s="578"/>
      <c r="D23" s="578"/>
      <c r="E23" s="451" t="str">
        <f>IF(('Control Sheet'!$C$7-Table3[[#This Row],[Payment due since]])&gt;1095,"more than 3 years",IF(('Control Sheet'!$C$7-Table3[[#This Row],[Payment due since]])&gt;730,"2year-3year",IF(('Control Sheet'!$C$7-Table3[[#This Row],[Payment due since]])&gt;365,"1year-2year","less than 1 Year")))</f>
        <v>more than 3 years</v>
      </c>
      <c r="F23" s="578"/>
      <c r="G23" s="578"/>
      <c r="H23" s="578"/>
      <c r="I23" s="451" t="str">
        <f>IF(('Control Sheet'!$C$8-Table3[[#This Row],[Payment due since ]])&gt;1095,"more than 3 years",IF(('Control Sheet'!$C$8-Table3[[#This Row],[Payment due since ]])&gt;730,"2year-3year",IF(('Control Sheet'!$C$8-Table3[[#This Row],[Payment due since ]])&gt;365,"1year-2year","less than 1 Year")))</f>
        <v>more than 3 years</v>
      </c>
      <c r="J23" s="578"/>
      <c r="L23" s="578"/>
      <c r="M23" s="578"/>
      <c r="N23" s="578"/>
      <c r="O23"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23" s="578"/>
      <c r="Q23" s="578"/>
      <c r="R23" s="578"/>
      <c r="S23"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23" s="578"/>
    </row>
    <row r="24" spans="2:20">
      <c r="B24" s="578"/>
      <c r="C24" s="578"/>
      <c r="D24" s="578"/>
      <c r="E24" s="451" t="str">
        <f>IF(('Control Sheet'!$C$7-Table3[[#This Row],[Payment due since]])&gt;1095,"more than 3 years",IF(('Control Sheet'!$C$7-Table3[[#This Row],[Payment due since]])&gt;730,"2year-3year",IF(('Control Sheet'!$C$7-Table3[[#This Row],[Payment due since]])&gt;365,"1year-2year","less than 1 Year")))</f>
        <v>more than 3 years</v>
      </c>
      <c r="F24" s="578"/>
      <c r="G24" s="578"/>
      <c r="H24" s="578"/>
      <c r="I24" s="451" t="str">
        <f>IF(('Control Sheet'!$C$8-Table3[[#This Row],[Payment due since ]])&gt;1095,"more than 3 years",IF(('Control Sheet'!$C$8-Table3[[#This Row],[Payment due since ]])&gt;730,"2year-3year",IF(('Control Sheet'!$C$8-Table3[[#This Row],[Payment due since ]])&gt;365,"1year-2year","less than 1 Year")))</f>
        <v>more than 3 years</v>
      </c>
      <c r="J24" s="578"/>
      <c r="L24" s="578"/>
      <c r="M24" s="578"/>
      <c r="N24" s="578"/>
      <c r="O24"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24" s="578"/>
      <c r="Q24" s="578"/>
      <c r="R24" s="578"/>
      <c r="S24"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24" s="578"/>
    </row>
    <row r="25" spans="2:20">
      <c r="B25" s="578"/>
      <c r="C25" s="578"/>
      <c r="D25" s="578"/>
      <c r="E25" s="451" t="str">
        <f>IF(('Control Sheet'!$C$7-Table3[[#This Row],[Payment due since]])&gt;1095,"more than 3 years",IF(('Control Sheet'!$C$7-Table3[[#This Row],[Payment due since]])&gt;730,"2year-3year",IF(('Control Sheet'!$C$7-Table3[[#This Row],[Payment due since]])&gt;365,"1year-2year","less than 1 Year")))</f>
        <v>more than 3 years</v>
      </c>
      <c r="F25" s="578"/>
      <c r="G25" s="578"/>
      <c r="H25" s="578"/>
      <c r="I25" s="451" t="str">
        <f>IF(('Control Sheet'!$C$8-Table3[[#This Row],[Payment due since ]])&gt;1095,"more than 3 years",IF(('Control Sheet'!$C$8-Table3[[#This Row],[Payment due since ]])&gt;730,"2year-3year",IF(('Control Sheet'!$C$8-Table3[[#This Row],[Payment due since ]])&gt;365,"1year-2year","less than 1 Year")))</f>
        <v>more than 3 years</v>
      </c>
      <c r="J25" s="578"/>
      <c r="L25" s="578"/>
      <c r="M25" s="578"/>
      <c r="N25" s="578"/>
      <c r="O25"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25" s="578"/>
      <c r="Q25" s="578"/>
      <c r="R25" s="578"/>
      <c r="S25"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25" s="578"/>
    </row>
    <row r="26" spans="2:20">
      <c r="B26" s="578"/>
      <c r="C26" s="578"/>
      <c r="D26" s="578"/>
      <c r="E26" s="451" t="str">
        <f>IF(('Control Sheet'!$C$7-Table3[[#This Row],[Payment due since]])&gt;1095,"more than 3 years",IF(('Control Sheet'!$C$7-Table3[[#This Row],[Payment due since]])&gt;730,"2year-3year",IF(('Control Sheet'!$C$7-Table3[[#This Row],[Payment due since]])&gt;365,"1year-2year","less than 1 Year")))</f>
        <v>more than 3 years</v>
      </c>
      <c r="F26" s="578"/>
      <c r="G26" s="578"/>
      <c r="H26" s="578"/>
      <c r="I26" s="451" t="str">
        <f>IF(('Control Sheet'!$C$8-Table3[[#This Row],[Payment due since ]])&gt;1095,"more than 3 years",IF(('Control Sheet'!$C$8-Table3[[#This Row],[Payment due since ]])&gt;730,"2year-3year",IF(('Control Sheet'!$C$8-Table3[[#This Row],[Payment due since ]])&gt;365,"1year-2year","less than 1 Year")))</f>
        <v>more than 3 years</v>
      </c>
      <c r="J26" s="578"/>
      <c r="L26" s="578"/>
      <c r="M26" s="578"/>
      <c r="N26" s="578"/>
      <c r="O26"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26" s="578"/>
      <c r="Q26" s="578"/>
      <c r="R26" s="578"/>
      <c r="S26"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26" s="578"/>
    </row>
    <row r="27" spans="2:20">
      <c r="B27" s="578"/>
      <c r="C27" s="578"/>
      <c r="D27" s="578"/>
      <c r="E27" s="451" t="str">
        <f>IF(('Control Sheet'!$C$7-Table3[[#This Row],[Payment due since]])&gt;1095,"more than 3 years",IF(('Control Sheet'!$C$7-Table3[[#This Row],[Payment due since]])&gt;730,"2year-3year",IF(('Control Sheet'!$C$7-Table3[[#This Row],[Payment due since]])&gt;365,"1year-2year","less than 1 Year")))</f>
        <v>more than 3 years</v>
      </c>
      <c r="F27" s="578"/>
      <c r="G27" s="578"/>
      <c r="H27" s="578"/>
      <c r="I27" s="451" t="str">
        <f>IF(('Control Sheet'!$C$8-Table3[[#This Row],[Payment due since ]])&gt;1095,"more than 3 years",IF(('Control Sheet'!$C$8-Table3[[#This Row],[Payment due since ]])&gt;730,"2year-3year",IF(('Control Sheet'!$C$8-Table3[[#This Row],[Payment due since ]])&gt;365,"1year-2year","less than 1 Year")))</f>
        <v>more than 3 years</v>
      </c>
      <c r="J27" s="578"/>
      <c r="L27" s="578"/>
      <c r="M27" s="578"/>
      <c r="N27" s="578"/>
      <c r="O27" s="451"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27" s="578"/>
      <c r="Q27" s="578"/>
      <c r="R27" s="578"/>
      <c r="S27" s="451"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27" s="578"/>
    </row>
    <row r="43" spans="10:10">
      <c r="J43" s="425"/>
    </row>
    <row r="44" spans="10:10">
      <c r="J44" s="425"/>
    </row>
  </sheetData>
  <pageMargins left="0.7" right="0.7" top="0.75" bottom="0.75" header="0.3" footer="0.3"/>
  <tableParts count="2">
    <tablePart r:id="rId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8ADB25E3-C9D0-4AF0-9C9A-C4F867361901}">
          <x14:formula1>
            <xm:f>'Support Sheet'!$T$3:$T$6</xm:f>
          </x14:formula1>
          <xm:sqref>J4:J27 F4:F27</xm:sqref>
        </x14:dataValidation>
        <x14:dataValidation type="list" allowBlank="1" showInputMessage="1" showErrorMessage="1" xr:uid="{B56441B5-0CA5-4C03-9D6D-60EFD82A0130}">
          <x14:formula1>
            <xm:f>'Support Sheet'!$V$3:$V$6</xm:f>
          </x14:formula1>
          <xm:sqref>P4:P27 T4:T27</xm:sqref>
        </x14:dataValidation>
        <x14:dataValidation type="list" allowBlank="1" showInputMessage="1" showErrorMessage="1" xr:uid="{FB2FA2B8-BF90-4BB3-90BB-283D2F37D556}">
          <x14:formula1>
            <xm:f>'Support Sheet'!$W$3:$W$7</xm:f>
          </x14:formula1>
          <xm:sqref>O4:O27 S4:S27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B5C27-905B-42DF-A9BD-A906E805AF46}">
  <sheetPr>
    <tabColor theme="7"/>
  </sheetPr>
  <dimension ref="A1:W113"/>
  <sheetViews>
    <sheetView topLeftCell="N13" zoomScaleNormal="100" workbookViewId="0">
      <selection activeCell="W13" sqref="W13"/>
    </sheetView>
  </sheetViews>
  <sheetFormatPr defaultRowHeight="14.4"/>
  <cols>
    <col min="1" max="1" width="6" customWidth="1"/>
    <col min="2" max="2" width="7.6640625" bestFit="1" customWidth="1"/>
    <col min="3" max="3" width="17.6640625" bestFit="1" customWidth="1"/>
    <col min="4" max="4" width="22.6640625" bestFit="1" customWidth="1"/>
    <col min="5" max="5" width="19.109375" customWidth="1"/>
    <col min="6" max="6" width="23.5546875" customWidth="1"/>
    <col min="7" max="7" width="12.5546875" customWidth="1"/>
    <col min="8" max="8" width="13.6640625" customWidth="1"/>
    <col min="9" max="9" width="23.6640625" customWidth="1"/>
    <col min="10" max="10" width="18" customWidth="1"/>
    <col min="11" max="11" width="40" customWidth="1"/>
    <col min="12" max="12" width="25.33203125" customWidth="1"/>
    <col min="13" max="13" width="24.6640625" customWidth="1"/>
    <col min="14" max="14" width="19.33203125" bestFit="1" customWidth="1"/>
    <col min="15" max="15" width="16.5546875" customWidth="1"/>
    <col min="16" max="16" width="29.5546875" customWidth="1"/>
    <col min="17" max="17" width="19.109375" customWidth="1"/>
    <col min="18" max="18" width="15.6640625" customWidth="1"/>
    <col min="19" max="19" width="12.44140625" hidden="1" customWidth="1"/>
    <col min="20" max="20" width="26.6640625" customWidth="1"/>
    <col min="21" max="21" width="25.6640625" customWidth="1"/>
    <col min="22" max="22" width="20.6640625" customWidth="1"/>
    <col min="23" max="23" width="13.33203125" customWidth="1"/>
  </cols>
  <sheetData>
    <row r="1" spans="1:23" ht="15" thickTop="1">
      <c r="A1" s="945" t="s">
        <v>858</v>
      </c>
      <c r="B1" s="946"/>
      <c r="C1" s="947"/>
    </row>
    <row r="2" spans="1:23" ht="15" thickBot="1">
      <c r="A2" s="948"/>
      <c r="B2" s="949"/>
      <c r="C2" s="950"/>
    </row>
    <row r="3" spans="1:23" ht="15.6" thickTop="1" thickBot="1">
      <c r="A3" s="764"/>
      <c r="C3" s="899"/>
    </row>
    <row r="4" spans="1:23" ht="15.6" thickTop="1" thickBot="1">
      <c r="A4" s="943" t="s">
        <v>761</v>
      </c>
      <c r="B4" s="944"/>
    </row>
    <row r="5" spans="1:23" ht="15" thickTop="1">
      <c r="A5" s="903" t="str">
        <f>'Support Sheet'!C2</f>
        <v>(i)</v>
      </c>
      <c r="B5" s="951" t="s">
        <v>993</v>
      </c>
      <c r="C5" s="951"/>
      <c r="D5" s="951"/>
      <c r="E5" s="952"/>
    </row>
    <row r="6" spans="1:23">
      <c r="A6" s="904" t="str">
        <f>'Support Sheet'!C3</f>
        <v>(ii)</v>
      </c>
      <c r="B6" s="939" t="s">
        <v>996</v>
      </c>
      <c r="C6" s="939"/>
      <c r="D6" s="939"/>
      <c r="E6" s="940"/>
    </row>
    <row r="7" spans="1:23" ht="30.75" customHeight="1">
      <c r="A7" s="904" t="str">
        <f>'Support Sheet'!C4</f>
        <v>(iii)</v>
      </c>
      <c r="B7" s="938" t="s">
        <v>991</v>
      </c>
      <c r="C7" s="938"/>
      <c r="D7" s="938"/>
      <c r="E7" s="953"/>
    </row>
    <row r="8" spans="1:23" ht="29.25" customHeight="1">
      <c r="A8" s="904" t="str">
        <f>'Support Sheet'!C5</f>
        <v>(iv)</v>
      </c>
      <c r="B8" s="938" t="s">
        <v>997</v>
      </c>
      <c r="C8" s="939"/>
      <c r="D8" s="939"/>
      <c r="E8" s="940"/>
    </row>
    <row r="9" spans="1:23" ht="15" thickBot="1">
      <c r="A9" s="905" t="str">
        <f>'Support Sheet'!C6</f>
        <v>(v)</v>
      </c>
      <c r="B9" s="941" t="s">
        <v>994</v>
      </c>
      <c r="C9" s="941"/>
      <c r="D9" s="941"/>
      <c r="E9" s="942"/>
    </row>
    <row r="10" spans="1:23" ht="15" thickTop="1">
      <c r="K10" s="706"/>
    </row>
    <row r="11" spans="1:23" ht="15" thickBot="1"/>
    <row r="12" spans="1:23" ht="15" thickBot="1">
      <c r="B12" s="424"/>
      <c r="C12" s="424"/>
      <c r="D12" s="435" t="s">
        <v>762</v>
      </c>
      <c r="E12" s="436">
        <f>'Control Sheet'!C8+1</f>
        <v>44652</v>
      </c>
      <c r="F12" s="424"/>
      <c r="G12" s="424"/>
      <c r="H12" s="425"/>
      <c r="I12" s="426"/>
      <c r="J12" s="424"/>
      <c r="K12" s="424"/>
      <c r="L12" s="424"/>
      <c r="M12" s="435" t="s">
        <v>733</v>
      </c>
      <c r="N12" s="436">
        <f>'Control Sheet'!C7</f>
        <v>45016</v>
      </c>
      <c r="O12" s="424"/>
      <c r="P12" s="424"/>
      <c r="Q12" s="424"/>
      <c r="R12" s="427"/>
      <c r="S12" s="427"/>
      <c r="T12" s="426"/>
    </row>
    <row r="13" spans="1:23" ht="57.6">
      <c r="A13" s="707" t="s">
        <v>734</v>
      </c>
      <c r="B13" s="708" t="s">
        <v>990</v>
      </c>
      <c r="C13" s="708" t="s">
        <v>735</v>
      </c>
      <c r="D13" s="709" t="s">
        <v>736</v>
      </c>
      <c r="E13" s="710" t="s">
        <v>737</v>
      </c>
      <c r="F13" s="708" t="s">
        <v>738</v>
      </c>
      <c r="G13" s="708" t="s">
        <v>739</v>
      </c>
      <c r="H13" s="708" t="s">
        <v>740</v>
      </c>
      <c r="I13" s="711" t="s">
        <v>741</v>
      </c>
      <c r="J13" s="708" t="s">
        <v>755</v>
      </c>
      <c r="K13" s="708" t="s">
        <v>756</v>
      </c>
      <c r="L13" s="708" t="s">
        <v>742</v>
      </c>
      <c r="M13" s="709" t="s">
        <v>743</v>
      </c>
      <c r="N13" s="709" t="s">
        <v>854</v>
      </c>
      <c r="O13" s="712" t="s">
        <v>744</v>
      </c>
      <c r="P13" s="708" t="s">
        <v>745</v>
      </c>
      <c r="Q13" s="708" t="s">
        <v>746</v>
      </c>
      <c r="R13" s="708" t="s">
        <v>747</v>
      </c>
      <c r="S13" s="713" t="s">
        <v>749</v>
      </c>
      <c r="T13" s="713" t="s">
        <v>748</v>
      </c>
      <c r="U13" s="711" t="s">
        <v>757</v>
      </c>
      <c r="V13" s="709" t="s">
        <v>859</v>
      </c>
      <c r="W13" s="714" t="s">
        <v>860</v>
      </c>
    </row>
    <row r="14" spans="1:23" hidden="1">
      <c r="A14" s="439"/>
      <c r="B14" s="752"/>
      <c r="C14" s="752" t="s">
        <v>121</v>
      </c>
      <c r="D14" s="752"/>
      <c r="E14" s="753"/>
      <c r="F14" s="752"/>
      <c r="G14" s="754">
        <f t="shared" ref="G14:G20" si="0">IF($E14&lt;=$E$12,YEARFRAC(E14,$E$12),0)</f>
        <v>122.25277777777778</v>
      </c>
      <c r="H14" s="755">
        <f t="shared" ref="H14:H20" si="1">F14-G14</f>
        <v>-122.25277777777778</v>
      </c>
      <c r="I14" s="756"/>
      <c r="J14" s="429"/>
      <c r="K14" s="429"/>
      <c r="L14" s="429"/>
      <c r="M14" s="757">
        <f t="shared" ref="M14:M21" si="2">I14*5%</f>
        <v>0</v>
      </c>
      <c r="N14" s="429"/>
      <c r="O14" s="430"/>
      <c r="P14" s="429"/>
      <c r="Q14" s="757">
        <f t="shared" ref="Q14:Q20" si="3">IF(H14&gt;0,I14-M14,0)</f>
        <v>0</v>
      </c>
      <c r="R14" s="754">
        <f t="shared" ref="R14:R20" si="4">IF($E14&lt;=$N$12,MIN(ABS($N$12-$E$12),ABS(O14-$E$12),ABS($N$12-E14),ABS(E14-O14)),0)</f>
        <v>0</v>
      </c>
      <c r="S14" s="757">
        <f>IF(OR(Table2[[#This Row],[Sales Details]]="Unsold",Table2[[#This Row],[Sales Details]]="Sold in current year"),IF(H14&gt;1,ROUND((Q14/F14)*R14/ABS($N$12-$E$12),0),K14-M14),0)</f>
        <v>0</v>
      </c>
      <c r="T14" s="757">
        <f t="shared" ref="T14:T20" si="5">IF(S14&lt;0,0,S14)</f>
        <v>0</v>
      </c>
      <c r="U14" s="754">
        <f>IF(OR(Table2[[#This Row],[Sales Details]]="Sold during previous years",Table2[[#This Row],[Sales Details]]="Sold in current year"),0,Table2[[#This Row],[ Balance as on 1st day of the year]]+Table2[[#This Row],[Addition during the year]]-Table2[[#This Row],[Depreciation  for the Year]])</f>
        <v>0</v>
      </c>
      <c r="V14" s="758">
        <f>IF(Table2[[#This Row],[Sales Details]]="Sold in current year",Table2[[#This Row],[Original Cost of Assets]],0)</f>
        <v>0</v>
      </c>
      <c r="W14" s="758">
        <f>IF(Table2[[#This Row],[Sales Details]]="Sold in current year",Table2[[#This Row],[Cumulative Depreciation as on the 1st day of year]]+Table2[[#This Row],[Depreciation  for the Year]],0)</f>
        <v>0</v>
      </c>
    </row>
    <row r="15" spans="1:23" hidden="1">
      <c r="A15" s="439"/>
      <c r="B15" s="752"/>
      <c r="C15" s="752" t="s">
        <v>123</v>
      </c>
      <c r="D15" s="752"/>
      <c r="E15" s="753"/>
      <c r="F15" s="752"/>
      <c r="G15" s="754">
        <f t="shared" si="0"/>
        <v>122.25277777777778</v>
      </c>
      <c r="H15" s="755">
        <f t="shared" si="1"/>
        <v>-122.25277777777778</v>
      </c>
      <c r="I15" s="756"/>
      <c r="J15" s="429"/>
      <c r="K15" s="429"/>
      <c r="L15" s="429"/>
      <c r="M15" s="757">
        <f t="shared" si="2"/>
        <v>0</v>
      </c>
      <c r="N15" s="429"/>
      <c r="O15" s="430"/>
      <c r="P15" s="429"/>
      <c r="Q15" s="757">
        <f t="shared" si="3"/>
        <v>0</v>
      </c>
      <c r="R15" s="754">
        <f t="shared" si="4"/>
        <v>0</v>
      </c>
      <c r="S15" s="757">
        <f t="shared" ref="S15:S20" si="6">IF(F15=0,0,IF(H15&gt;1,ROUND((Q15/F15)*R15/ABS($N$12-$E$12),0),K15-M15))</f>
        <v>0</v>
      </c>
      <c r="T15" s="757">
        <f t="shared" si="5"/>
        <v>0</v>
      </c>
      <c r="U15" s="754">
        <f>IF(OR(Table2[[#This Row],[Sales Details]]="Sold during previous years",Table2[[#This Row],[Sales Details]]="Sold in current year"),0,Table2[[#This Row],[ Balance as on 1st day of the year]]+Table2[[#This Row],[Addition during the year]]-Table2[[#This Row],[Depreciation  for the Year]])</f>
        <v>0</v>
      </c>
      <c r="V15" s="758">
        <f>IF(Table2[[#This Row],[Sales Details]]="Sold in current year",Table2[[#This Row],[Original Cost of Assets]],0)</f>
        <v>0</v>
      </c>
      <c r="W15" s="758">
        <f>IF(Table2[[#This Row],[Sales Details]]="Sold in current year",Table2[[#This Row],[Cumulative Depreciation as on the 1st day of year]]+Table2[[#This Row],[Depreciation  for the Year]],0)</f>
        <v>0</v>
      </c>
    </row>
    <row r="16" spans="1:23" hidden="1">
      <c r="A16" s="439"/>
      <c r="B16" s="752"/>
      <c r="C16" s="752" t="s">
        <v>126</v>
      </c>
      <c r="D16" s="752"/>
      <c r="E16" s="753"/>
      <c r="F16" s="752"/>
      <c r="G16" s="754">
        <f t="shared" si="0"/>
        <v>122.25277777777778</v>
      </c>
      <c r="H16" s="755">
        <f t="shared" si="1"/>
        <v>-122.25277777777778</v>
      </c>
      <c r="I16" s="756"/>
      <c r="J16" s="429"/>
      <c r="K16" s="429"/>
      <c r="L16" s="429"/>
      <c r="M16" s="757">
        <f t="shared" si="2"/>
        <v>0</v>
      </c>
      <c r="N16" s="429"/>
      <c r="O16" s="430"/>
      <c r="P16" s="429"/>
      <c r="Q16" s="757">
        <f t="shared" si="3"/>
        <v>0</v>
      </c>
      <c r="R16" s="754">
        <f t="shared" si="4"/>
        <v>0</v>
      </c>
      <c r="S16" s="757">
        <f t="shared" si="6"/>
        <v>0</v>
      </c>
      <c r="T16" s="757">
        <f t="shared" si="5"/>
        <v>0</v>
      </c>
      <c r="U16" s="754">
        <f>IF(OR(Table2[[#This Row],[Sales Details]]="Sold during previous years",Table2[[#This Row],[Sales Details]]="Sold in current year"),0,Table2[[#This Row],[ Balance as on 1st day of the year]]+Table2[[#This Row],[Addition during the year]]-Table2[[#This Row],[Depreciation  for the Year]])</f>
        <v>0</v>
      </c>
      <c r="V16" s="758">
        <f>IF(Table2[[#This Row],[Sales Details]]="Sold in current year",Table2[[#This Row],[Original Cost of Assets]],0)</f>
        <v>0</v>
      </c>
      <c r="W16" s="758">
        <f>IF(Table2[[#This Row],[Sales Details]]="Sold in current year",Table2[[#This Row],[Cumulative Depreciation as on the 1st day of year]]+Table2[[#This Row],[Depreciation  for the Year]],0)</f>
        <v>0</v>
      </c>
    </row>
    <row r="17" spans="1:23" hidden="1">
      <c r="A17" s="439"/>
      <c r="B17" s="752"/>
      <c r="C17" s="752" t="s">
        <v>127</v>
      </c>
      <c r="D17" s="752"/>
      <c r="E17" s="753"/>
      <c r="F17" s="752"/>
      <c r="G17" s="754">
        <f t="shared" si="0"/>
        <v>122.25277777777778</v>
      </c>
      <c r="H17" s="755">
        <f t="shared" si="1"/>
        <v>-122.25277777777778</v>
      </c>
      <c r="I17" s="756"/>
      <c r="J17" s="429"/>
      <c r="K17" s="429"/>
      <c r="L17" s="429"/>
      <c r="M17" s="757">
        <f t="shared" si="2"/>
        <v>0</v>
      </c>
      <c r="N17" s="429"/>
      <c r="O17" s="430"/>
      <c r="P17" s="429"/>
      <c r="Q17" s="757">
        <f t="shared" si="3"/>
        <v>0</v>
      </c>
      <c r="R17" s="754">
        <f t="shared" si="4"/>
        <v>0</v>
      </c>
      <c r="S17" s="757">
        <f t="shared" si="6"/>
        <v>0</v>
      </c>
      <c r="T17" s="757">
        <f t="shared" si="5"/>
        <v>0</v>
      </c>
      <c r="U17" s="754">
        <f>IF(OR(Table2[[#This Row],[Sales Details]]="Sold during previous years",Table2[[#This Row],[Sales Details]]="Sold in current year"),0,Table2[[#This Row],[ Balance as on 1st day of the year]]+Table2[[#This Row],[Addition during the year]]-Table2[[#This Row],[Depreciation  for the Year]])</f>
        <v>0</v>
      </c>
      <c r="V17" s="758">
        <f>IF(Table2[[#This Row],[Sales Details]]="Sold in current year",Table2[[#This Row],[Original Cost of Assets]],0)</f>
        <v>0</v>
      </c>
      <c r="W17" s="758">
        <f>IF(Table2[[#This Row],[Sales Details]]="Sold in current year",Table2[[#This Row],[Cumulative Depreciation as on the 1st day of year]]+Table2[[#This Row],[Depreciation  for the Year]],0)</f>
        <v>0</v>
      </c>
    </row>
    <row r="18" spans="1:23" hidden="1">
      <c r="A18" s="439"/>
      <c r="B18" s="752"/>
      <c r="C18" s="752" t="s">
        <v>122</v>
      </c>
      <c r="D18" s="752"/>
      <c r="E18" s="753"/>
      <c r="F18" s="752"/>
      <c r="G18" s="754">
        <f t="shared" si="0"/>
        <v>122.25277777777778</v>
      </c>
      <c r="H18" s="755">
        <f t="shared" si="1"/>
        <v>-122.25277777777778</v>
      </c>
      <c r="I18" s="756"/>
      <c r="J18" s="429"/>
      <c r="K18" s="429"/>
      <c r="L18" s="429"/>
      <c r="M18" s="757">
        <f t="shared" si="2"/>
        <v>0</v>
      </c>
      <c r="N18" s="429"/>
      <c r="O18" s="430"/>
      <c r="P18" s="429"/>
      <c r="Q18" s="757">
        <f t="shared" si="3"/>
        <v>0</v>
      </c>
      <c r="R18" s="754">
        <f t="shared" si="4"/>
        <v>0</v>
      </c>
      <c r="S18" s="757">
        <f t="shared" si="6"/>
        <v>0</v>
      </c>
      <c r="T18" s="757">
        <f t="shared" si="5"/>
        <v>0</v>
      </c>
      <c r="U18" s="754">
        <f>IF(OR(Table2[[#This Row],[Sales Details]]="Sold during previous years",Table2[[#This Row],[Sales Details]]="Sold in current year"),0,Table2[[#This Row],[ Balance as on 1st day of the year]]+Table2[[#This Row],[Addition during the year]]-Table2[[#This Row],[Depreciation  for the Year]])</f>
        <v>0</v>
      </c>
      <c r="V18" s="758">
        <f>IF(Table2[[#This Row],[Sales Details]]="Sold in current year",Table2[[#This Row],[Original Cost of Assets]],0)</f>
        <v>0</v>
      </c>
      <c r="W18" s="758">
        <f>IF(Table2[[#This Row],[Sales Details]]="Sold in current year",Table2[[#This Row],[Cumulative Depreciation as on the 1st day of year]]+Table2[[#This Row],[Depreciation  for the Year]],0)</f>
        <v>0</v>
      </c>
    </row>
    <row r="19" spans="1:23" hidden="1">
      <c r="A19" s="439"/>
      <c r="B19" s="752"/>
      <c r="C19" s="752" t="s">
        <v>124</v>
      </c>
      <c r="D19" s="752"/>
      <c r="E19" s="753"/>
      <c r="F19" s="752"/>
      <c r="G19" s="754">
        <f t="shared" si="0"/>
        <v>122.25277777777778</v>
      </c>
      <c r="H19" s="755">
        <f t="shared" si="1"/>
        <v>-122.25277777777778</v>
      </c>
      <c r="I19" s="756"/>
      <c r="J19" s="429"/>
      <c r="K19" s="429"/>
      <c r="L19" s="429"/>
      <c r="M19" s="757">
        <f t="shared" si="2"/>
        <v>0</v>
      </c>
      <c r="N19" s="429"/>
      <c r="O19" s="430"/>
      <c r="P19" s="429"/>
      <c r="Q19" s="757">
        <f t="shared" si="3"/>
        <v>0</v>
      </c>
      <c r="R19" s="754">
        <f t="shared" si="4"/>
        <v>0</v>
      </c>
      <c r="S19" s="757">
        <f t="shared" si="6"/>
        <v>0</v>
      </c>
      <c r="T19" s="757">
        <f t="shared" si="5"/>
        <v>0</v>
      </c>
      <c r="U19" s="754">
        <f>IF(OR(Table2[[#This Row],[Sales Details]]="Sold during previous years",Table2[[#This Row],[Sales Details]]="Sold in current year"),0,Table2[[#This Row],[ Balance as on 1st day of the year]]+Table2[[#This Row],[Addition during the year]]-Table2[[#This Row],[Depreciation  for the Year]])</f>
        <v>0</v>
      </c>
      <c r="V19" s="758">
        <f>IF(Table2[[#This Row],[Sales Details]]="Sold in current year",Table2[[#This Row],[Original Cost of Assets]],0)</f>
        <v>0</v>
      </c>
      <c r="W19" s="758">
        <f>IF(Table2[[#This Row],[Sales Details]]="Sold in current year",Table2[[#This Row],[Cumulative Depreciation as on the 1st day of year]]+Table2[[#This Row],[Depreciation  for the Year]],0)</f>
        <v>0</v>
      </c>
    </row>
    <row r="20" spans="1:23" hidden="1">
      <c r="A20" s="439"/>
      <c r="B20" s="752"/>
      <c r="C20" s="752" t="s">
        <v>125</v>
      </c>
      <c r="D20" s="752"/>
      <c r="E20" s="753"/>
      <c r="F20" s="752"/>
      <c r="G20" s="754">
        <f t="shared" si="0"/>
        <v>122.25277777777778</v>
      </c>
      <c r="H20" s="755">
        <f t="shared" si="1"/>
        <v>-122.25277777777778</v>
      </c>
      <c r="I20" s="756"/>
      <c r="J20" s="429"/>
      <c r="K20" s="429"/>
      <c r="L20" s="429"/>
      <c r="M20" s="757">
        <f t="shared" si="2"/>
        <v>0</v>
      </c>
      <c r="N20" s="429"/>
      <c r="O20" s="430"/>
      <c r="P20" s="429"/>
      <c r="Q20" s="757">
        <f t="shared" si="3"/>
        <v>0</v>
      </c>
      <c r="R20" s="754">
        <f t="shared" si="4"/>
        <v>0</v>
      </c>
      <c r="S20" s="757">
        <f t="shared" si="6"/>
        <v>0</v>
      </c>
      <c r="T20" s="757">
        <f t="shared" si="5"/>
        <v>0</v>
      </c>
      <c r="U20" s="754">
        <f>IF(OR(Table2[[#This Row],[Sales Details]]="Sold during previous years",Table2[[#This Row],[Sales Details]]="Sold in current year"),0,Table2[[#This Row],[ Balance as on 1st day of the year]]+Table2[[#This Row],[Addition during the year]]-Table2[[#This Row],[Depreciation  for the Year]])</f>
        <v>0</v>
      </c>
      <c r="V20" s="758">
        <f>IF(Table2[[#This Row],[Sales Details]]="Sold in current year",Table2[[#This Row],[Original Cost of Assets]],0)</f>
        <v>0</v>
      </c>
      <c r="W20" s="758">
        <f>IF(Table2[[#This Row],[Sales Details]]="Sold in current year",Table2[[#This Row],[Cumulative Depreciation as on the 1st day of year]]+Table2[[#This Row],[Depreciation  for the Year]],0)</f>
        <v>0</v>
      </c>
    </row>
    <row r="21" spans="1:23">
      <c r="A21" s="439"/>
      <c r="B21" s="752"/>
      <c r="C21" s="752"/>
      <c r="D21" s="752"/>
      <c r="E21" s="753"/>
      <c r="F21" s="752"/>
      <c r="G21" s="754">
        <f t="shared" ref="G21" si="7">IF($E21&lt;=$E$12,YEARFRAC(E21,$E$12),0)</f>
        <v>122.25277777777778</v>
      </c>
      <c r="H21" s="755">
        <f t="shared" ref="H21" si="8">F21-G21</f>
        <v>-122.25277777777778</v>
      </c>
      <c r="I21" s="756"/>
      <c r="J21" s="429"/>
      <c r="K21" s="429"/>
      <c r="L21" s="429"/>
      <c r="M21" s="757">
        <f t="shared" si="2"/>
        <v>0</v>
      </c>
      <c r="N21" s="429"/>
      <c r="O21" s="430"/>
      <c r="P21" s="429"/>
      <c r="Q21" s="757">
        <f t="shared" ref="Q21" si="9">IF(H21&gt;0,I21-M21,0)</f>
        <v>0</v>
      </c>
      <c r="R21" s="754">
        <f t="shared" ref="R21" si="10">IF($E21&lt;=$N$12,MIN(ABS($N$12-$E$12),ABS(O21-$E$12),ABS($N$12-E21),ABS(E21-O21)),0)</f>
        <v>0</v>
      </c>
      <c r="S21" s="757">
        <f t="shared" ref="S21" si="11">IF(F21=0,0,IF(H21&gt;1,ROUND((Q21/F21)*R21/ABS($N$12-$E$12),0),K21-M21))</f>
        <v>0</v>
      </c>
      <c r="T21" s="757">
        <f t="shared" ref="T21" si="12">IF(S21&lt;0,0,S21)</f>
        <v>0</v>
      </c>
      <c r="U21" s="754">
        <f>IF(OR(Table2[[#This Row],[Sales Details]]="Sold during previous years",Table2[[#This Row],[Sales Details]]="Sold in current year"),0,Table2[[#This Row],[ Balance as on 1st day of the year]]+Table2[[#This Row],[Addition during the year]]-Table2[[#This Row],[Depreciation  for the Year]])</f>
        <v>0</v>
      </c>
      <c r="V21" s="758">
        <f>IF(Table2[[#This Row],[Sales Details]]="Sold in current year",Table2[[#This Row],[Original Cost of Assets]],0)</f>
        <v>0</v>
      </c>
      <c r="W21" s="758">
        <f>IF(Table2[[#This Row],[Sales Details]]="Sold in current year",Table2[[#This Row],[Cumulative Depreciation as on the 1st day of year]]+Table2[[#This Row],[Depreciation  for the Year]],0)</f>
        <v>0</v>
      </c>
    </row>
    <row r="22" spans="1:23">
      <c r="A22" s="439"/>
      <c r="B22" s="752"/>
      <c r="C22" s="752"/>
      <c r="D22" s="752"/>
      <c r="E22" s="753"/>
      <c r="F22" s="752"/>
      <c r="G22" s="754">
        <f t="shared" ref="G22:G43" si="13">IF($E22&lt;=$E$12,YEARFRAC(E22,$E$12),0)</f>
        <v>122.25277777777778</v>
      </c>
      <c r="H22" s="755">
        <f t="shared" ref="H22:H43" si="14">F22-G22</f>
        <v>-122.25277777777778</v>
      </c>
      <c r="I22" s="756"/>
      <c r="J22" s="429"/>
      <c r="K22" s="429"/>
      <c r="L22" s="429"/>
      <c r="M22" s="757"/>
      <c r="N22" s="429"/>
      <c r="O22" s="430"/>
      <c r="P22" s="429"/>
      <c r="Q22" s="757"/>
      <c r="R22" s="754"/>
      <c r="S22" s="757"/>
      <c r="T22" s="757"/>
      <c r="U22" s="754">
        <f>IF(OR(Table2[[#This Row],[Sales Details]]="Sold during previous years",Table2[[#This Row],[Sales Details]]="Sold in current year"),0,Table2[[#This Row],[ Balance as on 1st day of the year]]+Table2[[#This Row],[Addition during the year]]-Table2[[#This Row],[Depreciation  for the Year]])</f>
        <v>0</v>
      </c>
      <c r="V22" s="758">
        <f>IF(Table2[[#This Row],[Sales Details]]="Sold in current year",Table2[[#This Row],[Original Cost of Assets]],0)</f>
        <v>0</v>
      </c>
      <c r="W22" s="758">
        <f>IF(Table2[[#This Row],[Sales Details]]="Sold in current year",Table2[[#This Row],[Cumulative Depreciation as on the 1st day of year]]+Table2[[#This Row],[Depreciation  for the Year]],0)</f>
        <v>0</v>
      </c>
    </row>
    <row r="23" spans="1:23">
      <c r="A23" s="439"/>
      <c r="B23" s="752"/>
      <c r="C23" s="752"/>
      <c r="D23" s="752"/>
      <c r="E23" s="753"/>
      <c r="F23" s="752"/>
      <c r="G23" s="754">
        <f t="shared" si="13"/>
        <v>122.25277777777778</v>
      </c>
      <c r="H23" s="755">
        <f t="shared" si="14"/>
        <v>-122.25277777777778</v>
      </c>
      <c r="I23" s="756"/>
      <c r="J23" s="429"/>
      <c r="K23" s="429"/>
      <c r="L23" s="429"/>
      <c r="M23" s="757"/>
      <c r="N23" s="429"/>
      <c r="O23" s="430"/>
      <c r="P23" s="429"/>
      <c r="Q23" s="757"/>
      <c r="R23" s="754"/>
      <c r="S23" s="757"/>
      <c r="T23" s="757"/>
      <c r="U23" s="754">
        <f>IF(OR(Table2[[#This Row],[Sales Details]]="Sold during previous years",Table2[[#This Row],[Sales Details]]="Sold in current year"),0,Table2[[#This Row],[ Balance as on 1st day of the year]]+Table2[[#This Row],[Addition during the year]]-Table2[[#This Row],[Depreciation  for the Year]])</f>
        <v>0</v>
      </c>
      <c r="V23" s="758">
        <f>IF(Table2[[#This Row],[Sales Details]]="Sold in current year",Table2[[#This Row],[Original Cost of Assets]],0)</f>
        <v>0</v>
      </c>
      <c r="W23" s="758">
        <f>IF(Table2[[#This Row],[Sales Details]]="Sold in current year",Table2[[#This Row],[Cumulative Depreciation as on the 1st day of year]]+Table2[[#This Row],[Depreciation  for the Year]],0)</f>
        <v>0</v>
      </c>
    </row>
    <row r="24" spans="1:23">
      <c r="A24" s="439"/>
      <c r="B24" s="752"/>
      <c r="C24" s="752"/>
      <c r="D24" s="752"/>
      <c r="E24" s="753"/>
      <c r="F24" s="752"/>
      <c r="G24" s="754">
        <f t="shared" si="13"/>
        <v>122.25277777777778</v>
      </c>
      <c r="H24" s="755">
        <f t="shared" si="14"/>
        <v>-122.25277777777778</v>
      </c>
      <c r="I24" s="756"/>
      <c r="J24" s="429"/>
      <c r="K24" s="429"/>
      <c r="L24" s="429"/>
      <c r="M24" s="757"/>
      <c r="N24" s="429"/>
      <c r="O24" s="430"/>
      <c r="P24" s="429"/>
      <c r="Q24" s="757"/>
      <c r="R24" s="754"/>
      <c r="S24" s="757"/>
      <c r="T24" s="757"/>
      <c r="U24" s="754">
        <f>IF(OR(Table2[[#This Row],[Sales Details]]="Sold during previous years",Table2[[#This Row],[Sales Details]]="Sold in current year"),0,Table2[[#This Row],[ Balance as on 1st day of the year]]+Table2[[#This Row],[Addition during the year]]-Table2[[#This Row],[Depreciation  for the Year]])</f>
        <v>0</v>
      </c>
      <c r="V24" s="758">
        <f>IF(Table2[[#This Row],[Sales Details]]="Sold in current year",Table2[[#This Row],[Original Cost of Assets]],0)</f>
        <v>0</v>
      </c>
      <c r="W24" s="758">
        <f>IF(Table2[[#This Row],[Sales Details]]="Sold in current year",Table2[[#This Row],[Cumulative Depreciation as on the 1st day of year]]+Table2[[#This Row],[Depreciation  for the Year]],0)</f>
        <v>0</v>
      </c>
    </row>
    <row r="25" spans="1:23">
      <c r="A25" s="439"/>
      <c r="B25" s="752"/>
      <c r="C25" s="752"/>
      <c r="D25" s="752"/>
      <c r="E25" s="753"/>
      <c r="F25" s="752"/>
      <c r="G25" s="754">
        <f t="shared" si="13"/>
        <v>122.25277777777778</v>
      </c>
      <c r="H25" s="755">
        <f t="shared" si="14"/>
        <v>-122.25277777777778</v>
      </c>
      <c r="I25" s="756"/>
      <c r="J25" s="429"/>
      <c r="K25" s="429"/>
      <c r="L25" s="429"/>
      <c r="M25" s="757"/>
      <c r="N25" s="429"/>
      <c r="O25" s="430"/>
      <c r="P25" s="429"/>
      <c r="Q25" s="757"/>
      <c r="R25" s="754"/>
      <c r="S25" s="757"/>
      <c r="T25" s="757"/>
      <c r="U25" s="754">
        <f>IF(OR(Table2[[#This Row],[Sales Details]]="Sold during previous years",Table2[[#This Row],[Sales Details]]="Sold in current year"),0,Table2[[#This Row],[ Balance as on 1st day of the year]]+Table2[[#This Row],[Addition during the year]]-Table2[[#This Row],[Depreciation  for the Year]])</f>
        <v>0</v>
      </c>
      <c r="V25" s="758">
        <f>IF(Table2[[#This Row],[Sales Details]]="Sold in current year",Table2[[#This Row],[Original Cost of Assets]],0)</f>
        <v>0</v>
      </c>
      <c r="W25" s="758">
        <f>IF(Table2[[#This Row],[Sales Details]]="Sold in current year",Table2[[#This Row],[Cumulative Depreciation as on the 1st day of year]]+Table2[[#This Row],[Depreciation  for the Year]],0)</f>
        <v>0</v>
      </c>
    </row>
    <row r="26" spans="1:23">
      <c r="A26" s="439"/>
      <c r="B26" s="752"/>
      <c r="C26" s="752"/>
      <c r="D26" s="752"/>
      <c r="E26" s="753"/>
      <c r="F26" s="752"/>
      <c r="G26" s="754">
        <f t="shared" si="13"/>
        <v>122.25277777777778</v>
      </c>
      <c r="H26" s="755">
        <f t="shared" si="14"/>
        <v>-122.25277777777778</v>
      </c>
      <c r="I26" s="756"/>
      <c r="J26" s="429"/>
      <c r="K26" s="429"/>
      <c r="L26" s="429"/>
      <c r="M26" s="757"/>
      <c r="N26" s="429"/>
      <c r="O26" s="430"/>
      <c r="P26" s="429"/>
      <c r="Q26" s="757"/>
      <c r="R26" s="754"/>
      <c r="S26" s="757"/>
      <c r="T26" s="757"/>
      <c r="U26" s="754">
        <f>IF(OR(Table2[[#This Row],[Sales Details]]="Sold during previous years",Table2[[#This Row],[Sales Details]]="Sold in current year"),0,Table2[[#This Row],[ Balance as on 1st day of the year]]+Table2[[#This Row],[Addition during the year]]-Table2[[#This Row],[Depreciation  for the Year]])</f>
        <v>0</v>
      </c>
      <c r="V26" s="758">
        <f>IF(Table2[[#This Row],[Sales Details]]="Sold in current year",Table2[[#This Row],[Original Cost of Assets]],0)</f>
        <v>0</v>
      </c>
      <c r="W26" s="758">
        <f>IF(Table2[[#This Row],[Sales Details]]="Sold in current year",Table2[[#This Row],[Cumulative Depreciation as on the 1st day of year]]+Table2[[#This Row],[Depreciation  for the Year]],0)</f>
        <v>0</v>
      </c>
    </row>
    <row r="27" spans="1:23">
      <c r="A27" s="439"/>
      <c r="B27" s="752"/>
      <c r="C27" s="752"/>
      <c r="D27" s="752"/>
      <c r="E27" s="753"/>
      <c r="F27" s="752"/>
      <c r="G27" s="754">
        <f t="shared" si="13"/>
        <v>122.25277777777778</v>
      </c>
      <c r="H27" s="755">
        <f t="shared" si="14"/>
        <v>-122.25277777777778</v>
      </c>
      <c r="I27" s="756"/>
      <c r="J27" s="429"/>
      <c r="K27" s="429"/>
      <c r="L27" s="429"/>
      <c r="M27" s="757"/>
      <c r="N27" s="429"/>
      <c r="O27" s="430"/>
      <c r="P27" s="429"/>
      <c r="Q27" s="757"/>
      <c r="R27" s="754"/>
      <c r="S27" s="757"/>
      <c r="T27" s="757"/>
      <c r="U27" s="754">
        <f>IF(OR(Table2[[#This Row],[Sales Details]]="Sold during previous years",Table2[[#This Row],[Sales Details]]="Sold in current year"),0,Table2[[#This Row],[ Balance as on 1st day of the year]]+Table2[[#This Row],[Addition during the year]]-Table2[[#This Row],[Depreciation  for the Year]])</f>
        <v>0</v>
      </c>
      <c r="V27" s="758">
        <f>IF(Table2[[#This Row],[Sales Details]]="Sold in current year",Table2[[#This Row],[Original Cost of Assets]],0)</f>
        <v>0</v>
      </c>
      <c r="W27" s="758">
        <f>IF(Table2[[#This Row],[Sales Details]]="Sold in current year",Table2[[#This Row],[Cumulative Depreciation as on the 1st day of year]]+Table2[[#This Row],[Depreciation  for the Year]],0)</f>
        <v>0</v>
      </c>
    </row>
    <row r="28" spans="1:23">
      <c r="A28" s="439"/>
      <c r="B28" s="752"/>
      <c r="C28" s="752"/>
      <c r="D28" s="752"/>
      <c r="E28" s="753"/>
      <c r="F28" s="752"/>
      <c r="G28" s="754">
        <f t="shared" si="13"/>
        <v>122.25277777777778</v>
      </c>
      <c r="H28" s="755">
        <f t="shared" si="14"/>
        <v>-122.25277777777778</v>
      </c>
      <c r="I28" s="756"/>
      <c r="J28" s="429"/>
      <c r="K28" s="429"/>
      <c r="L28" s="429"/>
      <c r="M28" s="757"/>
      <c r="N28" s="429"/>
      <c r="O28" s="430"/>
      <c r="P28" s="429"/>
      <c r="Q28" s="757"/>
      <c r="R28" s="754"/>
      <c r="S28" s="757"/>
      <c r="T28" s="757"/>
      <c r="U28" s="754">
        <f>IF(OR(Table2[[#This Row],[Sales Details]]="Sold during previous years",Table2[[#This Row],[Sales Details]]="Sold in current year"),0,Table2[[#This Row],[ Balance as on 1st day of the year]]+Table2[[#This Row],[Addition during the year]]-Table2[[#This Row],[Depreciation  for the Year]])</f>
        <v>0</v>
      </c>
      <c r="V28" s="758">
        <f>IF(Table2[[#This Row],[Sales Details]]="Sold in current year",Table2[[#This Row],[Original Cost of Assets]],0)</f>
        <v>0</v>
      </c>
      <c r="W28" s="758">
        <f>IF(Table2[[#This Row],[Sales Details]]="Sold in current year",Table2[[#This Row],[Cumulative Depreciation as on the 1st day of year]]+Table2[[#This Row],[Depreciation  for the Year]],0)</f>
        <v>0</v>
      </c>
    </row>
    <row r="29" spans="1:23">
      <c r="A29" s="439"/>
      <c r="B29" s="752"/>
      <c r="C29" s="752"/>
      <c r="D29" s="752"/>
      <c r="E29" s="753"/>
      <c r="F29" s="752"/>
      <c r="G29" s="754">
        <f t="shared" si="13"/>
        <v>122.25277777777778</v>
      </c>
      <c r="H29" s="755">
        <f t="shared" si="14"/>
        <v>-122.25277777777778</v>
      </c>
      <c r="I29" s="756"/>
      <c r="J29" s="429"/>
      <c r="K29" s="429"/>
      <c r="L29" s="429"/>
      <c r="M29" s="757"/>
      <c r="N29" s="429"/>
      <c r="O29" s="430"/>
      <c r="P29" s="429"/>
      <c r="Q29" s="757"/>
      <c r="R29" s="754"/>
      <c r="S29" s="757"/>
      <c r="T29" s="757"/>
      <c r="U29" s="754">
        <f>IF(OR(Table2[[#This Row],[Sales Details]]="Sold during previous years",Table2[[#This Row],[Sales Details]]="Sold in current year"),0,Table2[[#This Row],[ Balance as on 1st day of the year]]+Table2[[#This Row],[Addition during the year]]-Table2[[#This Row],[Depreciation  for the Year]])</f>
        <v>0</v>
      </c>
      <c r="V29" s="758">
        <f>IF(Table2[[#This Row],[Sales Details]]="Sold in current year",Table2[[#This Row],[Original Cost of Assets]],0)</f>
        <v>0</v>
      </c>
      <c r="W29" s="758">
        <f>IF(Table2[[#This Row],[Sales Details]]="Sold in current year",Table2[[#This Row],[Cumulative Depreciation as on the 1st day of year]]+Table2[[#This Row],[Depreciation  for the Year]],0)</f>
        <v>0</v>
      </c>
    </row>
    <row r="30" spans="1:23">
      <c r="A30" s="439"/>
      <c r="B30" s="752"/>
      <c r="C30" s="752"/>
      <c r="D30" s="752"/>
      <c r="E30" s="753"/>
      <c r="F30" s="752"/>
      <c r="G30" s="754">
        <f t="shared" si="13"/>
        <v>122.25277777777778</v>
      </c>
      <c r="H30" s="755">
        <f t="shared" si="14"/>
        <v>-122.25277777777778</v>
      </c>
      <c r="I30" s="756"/>
      <c r="J30" s="429"/>
      <c r="K30" s="429"/>
      <c r="L30" s="429"/>
      <c r="M30" s="757"/>
      <c r="N30" s="429"/>
      <c r="O30" s="430"/>
      <c r="P30" s="429"/>
      <c r="Q30" s="757"/>
      <c r="R30" s="754"/>
      <c r="S30" s="757"/>
      <c r="T30" s="757"/>
      <c r="U30" s="754">
        <f>IF(OR(Table2[[#This Row],[Sales Details]]="Sold during previous years",Table2[[#This Row],[Sales Details]]="Sold in current year"),0,Table2[[#This Row],[ Balance as on 1st day of the year]]+Table2[[#This Row],[Addition during the year]]-Table2[[#This Row],[Depreciation  for the Year]])</f>
        <v>0</v>
      </c>
      <c r="V30" s="758">
        <f>IF(Table2[[#This Row],[Sales Details]]="Sold in current year",Table2[[#This Row],[Original Cost of Assets]],0)</f>
        <v>0</v>
      </c>
      <c r="W30" s="758">
        <f>IF(Table2[[#This Row],[Sales Details]]="Sold in current year",Table2[[#This Row],[Cumulative Depreciation as on the 1st day of year]]+Table2[[#This Row],[Depreciation  for the Year]],0)</f>
        <v>0</v>
      </c>
    </row>
    <row r="31" spans="1:23">
      <c r="A31" s="439"/>
      <c r="B31" s="752"/>
      <c r="C31" s="752"/>
      <c r="D31" s="752"/>
      <c r="E31" s="753"/>
      <c r="F31" s="752"/>
      <c r="G31" s="754">
        <f t="shared" si="13"/>
        <v>122.25277777777778</v>
      </c>
      <c r="H31" s="755">
        <f t="shared" si="14"/>
        <v>-122.25277777777778</v>
      </c>
      <c r="I31" s="756"/>
      <c r="J31" s="429"/>
      <c r="K31" s="429"/>
      <c r="L31" s="429"/>
      <c r="M31" s="757"/>
      <c r="N31" s="429"/>
      <c r="O31" s="430"/>
      <c r="P31" s="429"/>
      <c r="Q31" s="757"/>
      <c r="R31" s="754"/>
      <c r="S31" s="757"/>
      <c r="T31" s="757"/>
      <c r="U31" s="754">
        <f>IF(OR(Table2[[#This Row],[Sales Details]]="Sold during previous years",Table2[[#This Row],[Sales Details]]="Sold in current year"),0,Table2[[#This Row],[ Balance as on 1st day of the year]]+Table2[[#This Row],[Addition during the year]]-Table2[[#This Row],[Depreciation  for the Year]])</f>
        <v>0</v>
      </c>
      <c r="V31" s="758">
        <f>IF(Table2[[#This Row],[Sales Details]]="Sold in current year",Table2[[#This Row],[Original Cost of Assets]],0)</f>
        <v>0</v>
      </c>
      <c r="W31" s="758">
        <f>IF(Table2[[#This Row],[Sales Details]]="Sold in current year",Table2[[#This Row],[Cumulative Depreciation as on the 1st day of year]]+Table2[[#This Row],[Depreciation  for the Year]],0)</f>
        <v>0</v>
      </c>
    </row>
    <row r="32" spans="1:23">
      <c r="A32" s="439"/>
      <c r="B32" s="752"/>
      <c r="C32" s="752"/>
      <c r="D32" s="752"/>
      <c r="E32" s="753"/>
      <c r="F32" s="752"/>
      <c r="G32" s="754">
        <f t="shared" si="13"/>
        <v>122.25277777777778</v>
      </c>
      <c r="H32" s="755">
        <f t="shared" si="14"/>
        <v>-122.25277777777778</v>
      </c>
      <c r="I32" s="756"/>
      <c r="J32" s="429"/>
      <c r="K32" s="429"/>
      <c r="L32" s="429"/>
      <c r="M32" s="757"/>
      <c r="N32" s="429"/>
      <c r="O32" s="430"/>
      <c r="P32" s="429"/>
      <c r="Q32" s="757"/>
      <c r="R32" s="754"/>
      <c r="S32" s="757"/>
      <c r="T32" s="757"/>
      <c r="U32" s="754">
        <f>IF(OR(Table2[[#This Row],[Sales Details]]="Sold during previous years",Table2[[#This Row],[Sales Details]]="Sold in current year"),0,Table2[[#This Row],[ Balance as on 1st day of the year]]+Table2[[#This Row],[Addition during the year]]-Table2[[#This Row],[Depreciation  for the Year]])</f>
        <v>0</v>
      </c>
      <c r="V32" s="758">
        <f>IF(Table2[[#This Row],[Sales Details]]="Sold in current year",Table2[[#This Row],[Original Cost of Assets]],0)</f>
        <v>0</v>
      </c>
      <c r="W32" s="758">
        <f>IF(Table2[[#This Row],[Sales Details]]="Sold in current year",Table2[[#This Row],[Cumulative Depreciation as on the 1st day of year]]+Table2[[#This Row],[Depreciation  for the Year]],0)</f>
        <v>0</v>
      </c>
    </row>
    <row r="33" spans="1:23">
      <c r="A33" s="439"/>
      <c r="B33" s="752"/>
      <c r="C33" s="752"/>
      <c r="D33" s="752"/>
      <c r="E33" s="753"/>
      <c r="F33" s="752"/>
      <c r="G33" s="754">
        <f t="shared" si="13"/>
        <v>122.25277777777778</v>
      </c>
      <c r="H33" s="755">
        <f t="shared" si="14"/>
        <v>-122.25277777777778</v>
      </c>
      <c r="I33" s="756"/>
      <c r="J33" s="429"/>
      <c r="K33" s="429"/>
      <c r="L33" s="429"/>
      <c r="M33" s="757"/>
      <c r="N33" s="429"/>
      <c r="O33" s="430"/>
      <c r="P33" s="429"/>
      <c r="Q33" s="757"/>
      <c r="R33" s="754"/>
      <c r="S33" s="757"/>
      <c r="T33" s="757"/>
      <c r="U33" s="754">
        <f>IF(OR(Table2[[#This Row],[Sales Details]]="Sold during previous years",Table2[[#This Row],[Sales Details]]="Sold in current year"),0,Table2[[#This Row],[ Balance as on 1st day of the year]]+Table2[[#This Row],[Addition during the year]]-Table2[[#This Row],[Depreciation  for the Year]])</f>
        <v>0</v>
      </c>
      <c r="V33" s="758">
        <f>IF(Table2[[#This Row],[Sales Details]]="Sold in current year",Table2[[#This Row],[Original Cost of Assets]],0)</f>
        <v>0</v>
      </c>
      <c r="W33" s="758">
        <f>IF(Table2[[#This Row],[Sales Details]]="Sold in current year",Table2[[#This Row],[Cumulative Depreciation as on the 1st day of year]]+Table2[[#This Row],[Depreciation  for the Year]],0)</f>
        <v>0</v>
      </c>
    </row>
    <row r="34" spans="1:23">
      <c r="A34" s="439"/>
      <c r="B34" s="752"/>
      <c r="C34" s="752"/>
      <c r="D34" s="752"/>
      <c r="E34" s="753"/>
      <c r="F34" s="752"/>
      <c r="G34" s="754">
        <f t="shared" si="13"/>
        <v>122.25277777777778</v>
      </c>
      <c r="H34" s="755">
        <f t="shared" si="14"/>
        <v>-122.25277777777778</v>
      </c>
      <c r="I34" s="756"/>
      <c r="J34" s="429"/>
      <c r="K34" s="429"/>
      <c r="L34" s="429"/>
      <c r="M34" s="757"/>
      <c r="N34" s="429"/>
      <c r="O34" s="430"/>
      <c r="P34" s="429"/>
      <c r="Q34" s="757"/>
      <c r="R34" s="754"/>
      <c r="S34" s="757"/>
      <c r="T34" s="757"/>
      <c r="U34" s="754">
        <f>IF(OR(Table2[[#This Row],[Sales Details]]="Sold during previous years",Table2[[#This Row],[Sales Details]]="Sold in current year"),0,Table2[[#This Row],[ Balance as on 1st day of the year]]+Table2[[#This Row],[Addition during the year]]-Table2[[#This Row],[Depreciation  for the Year]])</f>
        <v>0</v>
      </c>
      <c r="V34" s="758">
        <f>IF(Table2[[#This Row],[Sales Details]]="Sold in current year",Table2[[#This Row],[Original Cost of Assets]],0)</f>
        <v>0</v>
      </c>
      <c r="W34" s="758">
        <f>IF(Table2[[#This Row],[Sales Details]]="Sold in current year",Table2[[#This Row],[Cumulative Depreciation as on the 1st day of year]]+Table2[[#This Row],[Depreciation  for the Year]],0)</f>
        <v>0</v>
      </c>
    </row>
    <row r="35" spans="1:23">
      <c r="A35" s="439"/>
      <c r="B35" s="752"/>
      <c r="C35" s="752"/>
      <c r="D35" s="752"/>
      <c r="E35" s="753"/>
      <c r="F35" s="752"/>
      <c r="G35" s="754">
        <f t="shared" si="13"/>
        <v>122.25277777777778</v>
      </c>
      <c r="H35" s="755">
        <f t="shared" si="14"/>
        <v>-122.25277777777778</v>
      </c>
      <c r="I35" s="756"/>
      <c r="J35" s="429"/>
      <c r="K35" s="429"/>
      <c r="L35" s="429"/>
      <c r="M35" s="757"/>
      <c r="N35" s="429"/>
      <c r="O35" s="430"/>
      <c r="P35" s="429"/>
      <c r="Q35" s="757"/>
      <c r="R35" s="754"/>
      <c r="S35" s="757"/>
      <c r="T35" s="757"/>
      <c r="U35" s="754">
        <f>IF(OR(Table2[[#This Row],[Sales Details]]="Sold during previous years",Table2[[#This Row],[Sales Details]]="Sold in current year"),0,Table2[[#This Row],[ Balance as on 1st day of the year]]+Table2[[#This Row],[Addition during the year]]-Table2[[#This Row],[Depreciation  for the Year]])</f>
        <v>0</v>
      </c>
      <c r="V35" s="758">
        <f>IF(Table2[[#This Row],[Sales Details]]="Sold in current year",Table2[[#This Row],[Original Cost of Assets]],0)</f>
        <v>0</v>
      </c>
      <c r="W35" s="758">
        <f>IF(Table2[[#This Row],[Sales Details]]="Sold in current year",Table2[[#This Row],[Cumulative Depreciation as on the 1st day of year]]+Table2[[#This Row],[Depreciation  for the Year]],0)</f>
        <v>0</v>
      </c>
    </row>
    <row r="36" spans="1:23">
      <c r="A36" s="439"/>
      <c r="B36" s="752"/>
      <c r="C36" s="752"/>
      <c r="D36" s="752"/>
      <c r="E36" s="753"/>
      <c r="F36" s="752"/>
      <c r="G36" s="754">
        <f t="shared" si="13"/>
        <v>122.25277777777778</v>
      </c>
      <c r="H36" s="755">
        <f t="shared" si="14"/>
        <v>-122.25277777777778</v>
      </c>
      <c r="I36" s="756"/>
      <c r="J36" s="429"/>
      <c r="K36" s="429"/>
      <c r="L36" s="429"/>
      <c r="M36" s="757"/>
      <c r="N36" s="429"/>
      <c r="O36" s="430"/>
      <c r="P36" s="429"/>
      <c r="Q36" s="757"/>
      <c r="R36" s="754"/>
      <c r="S36" s="757"/>
      <c r="T36" s="757"/>
      <c r="U36" s="754">
        <f>IF(OR(Table2[[#This Row],[Sales Details]]="Sold during previous years",Table2[[#This Row],[Sales Details]]="Sold in current year"),0,Table2[[#This Row],[ Balance as on 1st day of the year]]+Table2[[#This Row],[Addition during the year]]-Table2[[#This Row],[Depreciation  for the Year]])</f>
        <v>0</v>
      </c>
      <c r="V36" s="758">
        <f>IF(Table2[[#This Row],[Sales Details]]="Sold in current year",Table2[[#This Row],[Original Cost of Assets]],0)</f>
        <v>0</v>
      </c>
      <c r="W36" s="758">
        <f>IF(Table2[[#This Row],[Sales Details]]="Sold in current year",Table2[[#This Row],[Cumulative Depreciation as on the 1st day of year]]+Table2[[#This Row],[Depreciation  for the Year]],0)</f>
        <v>0</v>
      </c>
    </row>
    <row r="37" spans="1:23">
      <c r="A37" s="439"/>
      <c r="B37" s="752"/>
      <c r="C37" s="752"/>
      <c r="D37" s="752"/>
      <c r="E37" s="753"/>
      <c r="F37" s="752"/>
      <c r="G37" s="754">
        <f t="shared" si="13"/>
        <v>122.25277777777778</v>
      </c>
      <c r="H37" s="755">
        <f t="shared" si="14"/>
        <v>-122.25277777777778</v>
      </c>
      <c r="I37" s="756"/>
      <c r="J37" s="429"/>
      <c r="K37" s="429"/>
      <c r="L37" s="429"/>
      <c r="M37" s="757"/>
      <c r="N37" s="429"/>
      <c r="O37" s="430"/>
      <c r="P37" s="429"/>
      <c r="Q37" s="757"/>
      <c r="R37" s="754"/>
      <c r="S37" s="757"/>
      <c r="T37" s="757"/>
      <c r="U37" s="754">
        <f>IF(OR(Table2[[#This Row],[Sales Details]]="Sold during previous years",Table2[[#This Row],[Sales Details]]="Sold in current year"),0,Table2[[#This Row],[ Balance as on 1st day of the year]]+Table2[[#This Row],[Addition during the year]]-Table2[[#This Row],[Depreciation  for the Year]])</f>
        <v>0</v>
      </c>
      <c r="V37" s="758">
        <f>IF(Table2[[#This Row],[Sales Details]]="Sold in current year",Table2[[#This Row],[Original Cost of Assets]],0)</f>
        <v>0</v>
      </c>
      <c r="W37" s="758">
        <f>IF(Table2[[#This Row],[Sales Details]]="Sold in current year",Table2[[#This Row],[Cumulative Depreciation as on the 1st day of year]]+Table2[[#This Row],[Depreciation  for the Year]],0)</f>
        <v>0</v>
      </c>
    </row>
    <row r="38" spans="1:23">
      <c r="A38" s="439"/>
      <c r="B38" s="752"/>
      <c r="C38" s="752"/>
      <c r="D38" s="752"/>
      <c r="E38" s="753"/>
      <c r="F38" s="752"/>
      <c r="G38" s="754">
        <f t="shared" si="13"/>
        <v>122.25277777777778</v>
      </c>
      <c r="H38" s="755">
        <f t="shared" si="14"/>
        <v>-122.25277777777778</v>
      </c>
      <c r="I38" s="756"/>
      <c r="J38" s="429"/>
      <c r="K38" s="429"/>
      <c r="L38" s="429"/>
      <c r="M38" s="757"/>
      <c r="N38" s="429"/>
      <c r="O38" s="430"/>
      <c r="P38" s="429"/>
      <c r="Q38" s="757"/>
      <c r="R38" s="754"/>
      <c r="S38" s="757"/>
      <c r="T38" s="757"/>
      <c r="U38" s="754">
        <f>IF(OR(Table2[[#This Row],[Sales Details]]="Sold during previous years",Table2[[#This Row],[Sales Details]]="Sold in current year"),0,Table2[[#This Row],[ Balance as on 1st day of the year]]+Table2[[#This Row],[Addition during the year]]-Table2[[#This Row],[Depreciation  for the Year]])</f>
        <v>0</v>
      </c>
      <c r="V38" s="758">
        <f>IF(Table2[[#This Row],[Sales Details]]="Sold in current year",Table2[[#This Row],[Original Cost of Assets]],0)</f>
        <v>0</v>
      </c>
      <c r="W38" s="758">
        <f>IF(Table2[[#This Row],[Sales Details]]="Sold in current year",Table2[[#This Row],[Cumulative Depreciation as on the 1st day of year]]+Table2[[#This Row],[Depreciation  for the Year]],0)</f>
        <v>0</v>
      </c>
    </row>
    <row r="39" spans="1:23">
      <c r="A39" s="439"/>
      <c r="B39" s="752"/>
      <c r="C39" s="752"/>
      <c r="D39" s="752"/>
      <c r="E39" s="753"/>
      <c r="F39" s="752"/>
      <c r="G39" s="754">
        <f t="shared" si="13"/>
        <v>122.25277777777778</v>
      </c>
      <c r="H39" s="755">
        <f t="shared" si="14"/>
        <v>-122.25277777777778</v>
      </c>
      <c r="I39" s="756"/>
      <c r="J39" s="429"/>
      <c r="K39" s="429"/>
      <c r="L39" s="429"/>
      <c r="M39" s="757"/>
      <c r="N39" s="429"/>
      <c r="O39" s="430"/>
      <c r="P39" s="429"/>
      <c r="Q39" s="757"/>
      <c r="R39" s="754"/>
      <c r="S39" s="757"/>
      <c r="T39" s="757"/>
      <c r="U39" s="754">
        <f>IF(OR(Table2[[#This Row],[Sales Details]]="Sold during previous years",Table2[[#This Row],[Sales Details]]="Sold in current year"),0,Table2[[#This Row],[ Balance as on 1st day of the year]]+Table2[[#This Row],[Addition during the year]]-Table2[[#This Row],[Depreciation  for the Year]])</f>
        <v>0</v>
      </c>
      <c r="V39" s="758">
        <f>IF(Table2[[#This Row],[Sales Details]]="Sold in current year",Table2[[#This Row],[Original Cost of Assets]],0)</f>
        <v>0</v>
      </c>
      <c r="W39" s="758">
        <f>IF(Table2[[#This Row],[Sales Details]]="Sold in current year",Table2[[#This Row],[Cumulative Depreciation as on the 1st day of year]]+Table2[[#This Row],[Depreciation  for the Year]],0)</f>
        <v>0</v>
      </c>
    </row>
    <row r="40" spans="1:23">
      <c r="A40" s="439"/>
      <c r="B40" s="752"/>
      <c r="C40" s="752"/>
      <c r="D40" s="752"/>
      <c r="E40" s="753"/>
      <c r="F40" s="752"/>
      <c r="G40" s="754">
        <f t="shared" si="13"/>
        <v>122.25277777777778</v>
      </c>
      <c r="H40" s="755">
        <f t="shared" si="14"/>
        <v>-122.25277777777778</v>
      </c>
      <c r="I40" s="756"/>
      <c r="J40" s="429"/>
      <c r="K40" s="429"/>
      <c r="L40" s="429"/>
      <c r="M40" s="757"/>
      <c r="N40" s="429"/>
      <c r="O40" s="430"/>
      <c r="P40" s="429"/>
      <c r="Q40" s="757"/>
      <c r="R40" s="754"/>
      <c r="S40" s="757"/>
      <c r="T40" s="757"/>
      <c r="U40" s="754">
        <f>IF(OR(Table2[[#This Row],[Sales Details]]="Sold during previous years",Table2[[#This Row],[Sales Details]]="Sold in current year"),0,Table2[[#This Row],[ Balance as on 1st day of the year]]+Table2[[#This Row],[Addition during the year]]-Table2[[#This Row],[Depreciation  for the Year]])</f>
        <v>0</v>
      </c>
      <c r="V40" s="758">
        <f>IF(Table2[[#This Row],[Sales Details]]="Sold in current year",Table2[[#This Row],[Original Cost of Assets]],0)</f>
        <v>0</v>
      </c>
      <c r="W40" s="758">
        <f>IF(Table2[[#This Row],[Sales Details]]="Sold in current year",Table2[[#This Row],[Cumulative Depreciation as on the 1st day of year]]+Table2[[#This Row],[Depreciation  for the Year]],0)</f>
        <v>0</v>
      </c>
    </row>
    <row r="41" spans="1:23">
      <c r="A41" s="439"/>
      <c r="B41" s="752"/>
      <c r="C41" s="752"/>
      <c r="D41" s="752"/>
      <c r="E41" s="753"/>
      <c r="F41" s="752"/>
      <c r="G41" s="754">
        <f t="shared" si="13"/>
        <v>122.25277777777778</v>
      </c>
      <c r="H41" s="755">
        <f t="shared" si="14"/>
        <v>-122.25277777777778</v>
      </c>
      <c r="I41" s="756"/>
      <c r="J41" s="429"/>
      <c r="K41" s="429"/>
      <c r="L41" s="429"/>
      <c r="M41" s="757"/>
      <c r="N41" s="429"/>
      <c r="O41" s="430"/>
      <c r="P41" s="429"/>
      <c r="Q41" s="757"/>
      <c r="R41" s="754"/>
      <c r="S41" s="757"/>
      <c r="T41" s="757"/>
      <c r="U41" s="754">
        <f>IF(OR(Table2[[#This Row],[Sales Details]]="Sold during previous years",Table2[[#This Row],[Sales Details]]="Sold in current year"),0,Table2[[#This Row],[ Balance as on 1st day of the year]]+Table2[[#This Row],[Addition during the year]]-Table2[[#This Row],[Depreciation  for the Year]])</f>
        <v>0</v>
      </c>
      <c r="V41" s="758">
        <f>IF(Table2[[#This Row],[Sales Details]]="Sold in current year",Table2[[#This Row],[Original Cost of Assets]],0)</f>
        <v>0</v>
      </c>
      <c r="W41" s="758">
        <f>IF(Table2[[#This Row],[Sales Details]]="Sold in current year",Table2[[#This Row],[Cumulative Depreciation as on the 1st day of year]]+Table2[[#This Row],[Depreciation  for the Year]],0)</f>
        <v>0</v>
      </c>
    </row>
    <row r="42" spans="1:23">
      <c r="A42" s="439"/>
      <c r="B42" s="752"/>
      <c r="C42" s="752"/>
      <c r="D42" s="752"/>
      <c r="E42" s="753"/>
      <c r="F42" s="752"/>
      <c r="G42" s="754">
        <f t="shared" si="13"/>
        <v>122.25277777777778</v>
      </c>
      <c r="H42" s="755">
        <f t="shared" si="14"/>
        <v>-122.25277777777778</v>
      </c>
      <c r="I42" s="756"/>
      <c r="J42" s="429"/>
      <c r="K42" s="429"/>
      <c r="L42" s="429"/>
      <c r="M42" s="757"/>
      <c r="N42" s="429"/>
      <c r="O42" s="430"/>
      <c r="P42" s="429"/>
      <c r="Q42" s="757"/>
      <c r="R42" s="754"/>
      <c r="S42" s="757"/>
      <c r="T42" s="757"/>
      <c r="U42" s="754">
        <f>IF(OR(Table2[[#This Row],[Sales Details]]="Sold during previous years",Table2[[#This Row],[Sales Details]]="Sold in current year"),0,Table2[[#This Row],[ Balance as on 1st day of the year]]+Table2[[#This Row],[Addition during the year]]-Table2[[#This Row],[Depreciation  for the Year]])</f>
        <v>0</v>
      </c>
      <c r="V42" s="758">
        <f>IF(Table2[[#This Row],[Sales Details]]="Sold in current year",Table2[[#This Row],[Original Cost of Assets]],0)</f>
        <v>0</v>
      </c>
      <c r="W42" s="758">
        <f>IF(Table2[[#This Row],[Sales Details]]="Sold in current year",Table2[[#This Row],[Cumulative Depreciation as on the 1st day of year]]+Table2[[#This Row],[Depreciation  for the Year]],0)</f>
        <v>0</v>
      </c>
    </row>
    <row r="43" spans="1:23">
      <c r="A43" s="439"/>
      <c r="B43" s="752"/>
      <c r="C43" s="752"/>
      <c r="D43" s="752"/>
      <c r="E43" s="753"/>
      <c r="F43" s="752"/>
      <c r="G43" s="754">
        <f t="shared" si="13"/>
        <v>122.25277777777778</v>
      </c>
      <c r="H43" s="755">
        <f t="shared" si="14"/>
        <v>-122.25277777777778</v>
      </c>
      <c r="I43" s="756"/>
      <c r="J43" s="429"/>
      <c r="K43" s="429"/>
      <c r="L43" s="429"/>
      <c r="M43" s="757"/>
      <c r="N43" s="429"/>
      <c r="O43" s="430"/>
      <c r="P43" s="429"/>
      <c r="Q43" s="757"/>
      <c r="R43" s="754"/>
      <c r="S43" s="757"/>
      <c r="T43" s="757"/>
      <c r="U43" s="754">
        <f>IF(OR(Table2[[#This Row],[Sales Details]]="Sold during previous years",Table2[[#This Row],[Sales Details]]="Sold in current year"),0,Table2[[#This Row],[ Balance as on 1st day of the year]]+Table2[[#This Row],[Addition during the year]]-Table2[[#This Row],[Depreciation  for the Year]])</f>
        <v>0</v>
      </c>
      <c r="V43" s="758">
        <f>IF(Table2[[#This Row],[Sales Details]]="Sold in current year",Table2[[#This Row],[Original Cost of Assets]],0)</f>
        <v>0</v>
      </c>
      <c r="W43" s="758">
        <f>IF(Table2[[#This Row],[Sales Details]]="Sold in current year",Table2[[#This Row],[Cumulative Depreciation as on the 1st day of year]]+Table2[[#This Row],[Depreciation  for the Year]],0)</f>
        <v>0</v>
      </c>
    </row>
    <row r="44" spans="1:23">
      <c r="B44" s="424"/>
      <c r="C44" s="424"/>
      <c r="D44" s="424"/>
      <c r="E44" s="425"/>
      <c r="F44" s="424"/>
      <c r="G44" s="424"/>
      <c r="H44" s="431"/>
      <c r="I44" s="431"/>
      <c r="K44" s="432"/>
      <c r="L44" s="432"/>
      <c r="M44" s="432"/>
      <c r="N44" s="432"/>
      <c r="O44" s="433"/>
      <c r="P44" s="432"/>
      <c r="Q44" s="432"/>
      <c r="R44" s="424"/>
      <c r="S44" s="432"/>
      <c r="T44" s="432"/>
      <c r="U44" s="424"/>
    </row>
    <row r="45" spans="1:23">
      <c r="B45" s="424"/>
      <c r="C45" s="424"/>
      <c r="D45" s="424"/>
      <c r="E45" s="425"/>
      <c r="F45" s="424"/>
      <c r="G45" s="424"/>
      <c r="H45" s="431"/>
      <c r="I45" s="431"/>
      <c r="K45" s="432"/>
      <c r="L45" s="432"/>
      <c r="M45" s="432"/>
      <c r="N45" s="432"/>
      <c r="O45" s="433"/>
      <c r="P45" s="432"/>
      <c r="Q45" s="432"/>
      <c r="R45" s="424"/>
      <c r="S45" s="432"/>
      <c r="T45" s="432"/>
      <c r="U45" s="424"/>
    </row>
    <row r="46" spans="1:23">
      <c r="B46" s="424"/>
      <c r="C46" s="424"/>
      <c r="D46" s="424"/>
      <c r="E46" s="425"/>
      <c r="F46" s="424"/>
      <c r="G46" s="424"/>
      <c r="H46" s="431"/>
      <c r="I46" s="431"/>
      <c r="K46" s="432"/>
      <c r="L46" s="432"/>
      <c r="M46" s="432"/>
      <c r="N46" s="432"/>
      <c r="O46" s="433"/>
      <c r="P46" s="432"/>
      <c r="Q46" s="432"/>
      <c r="R46" s="424"/>
      <c r="S46" s="432"/>
      <c r="T46" s="432"/>
      <c r="U46" s="424"/>
    </row>
    <row r="47" spans="1:23">
      <c r="B47" s="424"/>
      <c r="C47" s="424"/>
      <c r="D47" s="424"/>
      <c r="E47" s="425"/>
      <c r="F47" s="424"/>
      <c r="G47" s="424"/>
      <c r="H47" s="431"/>
      <c r="I47" s="431"/>
      <c r="K47" s="432"/>
      <c r="L47" s="432"/>
      <c r="M47" s="432"/>
      <c r="N47" s="432"/>
      <c r="O47" s="433"/>
      <c r="P47" s="432"/>
      <c r="Q47" s="432"/>
      <c r="R47" s="424"/>
      <c r="S47" s="432"/>
      <c r="T47" s="432"/>
      <c r="U47" s="424"/>
    </row>
    <row r="48" spans="1:23">
      <c r="B48" s="424"/>
      <c r="C48" s="424"/>
      <c r="D48" s="424"/>
      <c r="E48" s="425"/>
      <c r="F48" s="424"/>
      <c r="G48" s="424"/>
      <c r="H48" s="431"/>
      <c r="I48" s="431"/>
      <c r="K48" s="432"/>
      <c r="L48" s="432"/>
      <c r="M48" s="432"/>
      <c r="N48" s="432"/>
      <c r="O48" s="433"/>
      <c r="P48" s="432"/>
      <c r="Q48" s="432"/>
      <c r="R48" s="424"/>
      <c r="S48" s="432"/>
      <c r="T48" s="432"/>
      <c r="U48" s="424"/>
    </row>
    <row r="49" spans="2:21">
      <c r="B49" s="424"/>
      <c r="C49" s="424"/>
      <c r="D49" s="424"/>
      <c r="E49" s="425"/>
      <c r="F49" s="424"/>
      <c r="G49" s="424"/>
      <c r="H49" s="431"/>
      <c r="I49" s="431"/>
      <c r="K49" s="432"/>
      <c r="L49" s="432"/>
      <c r="M49" s="432"/>
      <c r="N49" s="432"/>
      <c r="O49" s="433"/>
      <c r="P49" s="432"/>
      <c r="Q49" s="432"/>
      <c r="R49" s="424"/>
      <c r="S49" s="432"/>
      <c r="T49" s="432"/>
      <c r="U49" s="424"/>
    </row>
    <row r="50" spans="2:21">
      <c r="B50" s="424"/>
      <c r="C50" s="424"/>
      <c r="D50" s="424"/>
      <c r="E50" s="425"/>
      <c r="F50" s="424"/>
      <c r="G50" s="424"/>
      <c r="H50" s="431"/>
      <c r="I50" s="431"/>
      <c r="K50" s="432"/>
      <c r="L50" s="432"/>
      <c r="M50" s="432"/>
      <c r="N50" s="432"/>
      <c r="O50" s="433"/>
      <c r="P50" s="432"/>
      <c r="Q50" s="432"/>
      <c r="R50" s="424"/>
      <c r="S50" s="432"/>
      <c r="T50" s="432"/>
      <c r="U50" s="424"/>
    </row>
    <row r="51" spans="2:21">
      <c r="B51" s="424"/>
      <c r="C51" s="424"/>
      <c r="D51" s="424"/>
      <c r="E51" s="425"/>
      <c r="F51" s="424"/>
      <c r="G51" s="424"/>
      <c r="H51" s="431"/>
      <c r="I51" s="431"/>
      <c r="K51" s="432"/>
      <c r="L51" s="432"/>
      <c r="M51" s="432"/>
      <c r="N51" s="432"/>
      <c r="O51" s="433"/>
      <c r="P51" s="432"/>
      <c r="Q51" s="432"/>
      <c r="R51" s="424"/>
      <c r="S51" s="432"/>
      <c r="T51" s="432"/>
      <c r="U51" s="424"/>
    </row>
    <row r="52" spans="2:21">
      <c r="B52" s="424"/>
      <c r="C52" s="424"/>
      <c r="D52" s="424"/>
      <c r="E52" s="425"/>
      <c r="F52" s="424"/>
      <c r="G52" s="424"/>
      <c r="H52" s="431"/>
      <c r="I52" s="431"/>
      <c r="K52" s="432"/>
      <c r="L52" s="432"/>
      <c r="M52" s="432"/>
      <c r="N52" s="432"/>
      <c r="O52" s="433"/>
      <c r="P52" s="432"/>
      <c r="Q52" s="432"/>
      <c r="R52" s="424"/>
      <c r="S52" s="432"/>
      <c r="T52" s="432"/>
      <c r="U52" s="424"/>
    </row>
    <row r="53" spans="2:21">
      <c r="B53" s="424"/>
      <c r="C53" s="424"/>
      <c r="D53" s="424"/>
      <c r="E53" s="425"/>
      <c r="F53" s="424"/>
      <c r="G53" s="424"/>
      <c r="H53" s="431"/>
      <c r="I53" s="431"/>
      <c r="K53" s="432"/>
      <c r="L53" s="432"/>
      <c r="M53" s="432"/>
      <c r="N53" s="432"/>
      <c r="O53" s="433"/>
      <c r="P53" s="432"/>
      <c r="Q53" s="432"/>
      <c r="R53" s="424"/>
      <c r="S53" s="432"/>
      <c r="T53" s="432"/>
      <c r="U53" s="424"/>
    </row>
    <row r="54" spans="2:21">
      <c r="B54" s="424"/>
      <c r="C54" s="424"/>
      <c r="D54" s="424"/>
      <c r="E54" s="425"/>
      <c r="F54" s="424"/>
      <c r="G54" s="424"/>
      <c r="H54" s="431"/>
      <c r="I54" s="431"/>
      <c r="K54" s="432"/>
      <c r="L54" s="432"/>
      <c r="M54" s="432"/>
      <c r="N54" s="432"/>
      <c r="O54" s="433"/>
      <c r="P54" s="432"/>
      <c r="Q54" s="432"/>
      <c r="R54" s="424"/>
      <c r="S54" s="432"/>
      <c r="T54" s="432"/>
      <c r="U54" s="424"/>
    </row>
    <row r="55" spans="2:21">
      <c r="B55" s="424"/>
      <c r="C55" s="424"/>
      <c r="D55" s="424"/>
      <c r="E55" s="425"/>
      <c r="F55" s="424"/>
      <c r="G55" s="424"/>
      <c r="H55" s="431"/>
      <c r="I55" s="431"/>
      <c r="K55" s="432"/>
      <c r="L55" s="432"/>
      <c r="M55" s="432"/>
      <c r="N55" s="432"/>
      <c r="O55" s="433"/>
      <c r="P55" s="432"/>
      <c r="Q55" s="432"/>
      <c r="R55" s="424"/>
      <c r="S55" s="432"/>
      <c r="T55" s="432"/>
      <c r="U55" s="424"/>
    </row>
    <row r="56" spans="2:21">
      <c r="B56" s="424"/>
      <c r="C56" s="424"/>
      <c r="D56" s="424"/>
      <c r="E56" s="425"/>
      <c r="F56" s="424"/>
      <c r="G56" s="424"/>
      <c r="H56" s="431"/>
      <c r="I56" s="431"/>
      <c r="K56" s="432"/>
      <c r="L56" s="432"/>
      <c r="M56" s="432"/>
      <c r="N56" s="432"/>
      <c r="O56" s="433"/>
      <c r="P56" s="432"/>
      <c r="Q56" s="432"/>
      <c r="R56" s="424"/>
      <c r="S56" s="432"/>
      <c r="T56" s="432"/>
      <c r="U56" s="424"/>
    </row>
    <row r="57" spans="2:21">
      <c r="B57" s="424"/>
      <c r="C57" s="424"/>
      <c r="D57" s="424"/>
      <c r="E57" s="425"/>
      <c r="F57" s="424"/>
      <c r="G57" s="424"/>
      <c r="H57" s="431"/>
      <c r="I57" s="431"/>
      <c r="K57" s="432"/>
      <c r="L57" s="432"/>
      <c r="M57" s="432"/>
      <c r="N57" s="432"/>
      <c r="O57" s="433"/>
      <c r="P57" s="432"/>
      <c r="Q57" s="432"/>
      <c r="R57" s="424"/>
      <c r="S57" s="432"/>
      <c r="T57" s="432"/>
      <c r="U57" s="424"/>
    </row>
    <row r="58" spans="2:21">
      <c r="B58" s="424"/>
      <c r="C58" s="424"/>
      <c r="D58" s="424"/>
      <c r="E58" s="425"/>
      <c r="F58" s="424"/>
      <c r="G58" s="424"/>
      <c r="H58" s="431"/>
      <c r="I58" s="431"/>
      <c r="K58" s="432"/>
      <c r="L58" s="432"/>
      <c r="M58" s="432"/>
      <c r="N58" s="432"/>
      <c r="O58" s="433"/>
      <c r="P58" s="432"/>
      <c r="Q58" s="432"/>
      <c r="R58" s="424"/>
      <c r="S58" s="432"/>
      <c r="T58" s="432"/>
      <c r="U58" s="424"/>
    </row>
    <row r="59" spans="2:21">
      <c r="B59" s="424"/>
      <c r="C59" s="424"/>
      <c r="D59" s="424"/>
      <c r="E59" s="425"/>
      <c r="F59" s="424"/>
      <c r="G59" s="424"/>
      <c r="H59" s="431"/>
      <c r="I59" s="431"/>
      <c r="K59" s="432"/>
      <c r="L59" s="432"/>
      <c r="M59" s="432"/>
      <c r="N59" s="432"/>
      <c r="O59" s="433"/>
      <c r="P59" s="432"/>
      <c r="Q59" s="432"/>
      <c r="R59" s="424"/>
      <c r="S59" s="432"/>
      <c r="T59" s="432"/>
      <c r="U59" s="424"/>
    </row>
    <row r="60" spans="2:21">
      <c r="B60" s="424"/>
      <c r="C60" s="424"/>
      <c r="D60" s="424"/>
      <c r="E60" s="425"/>
      <c r="F60" s="424"/>
      <c r="G60" s="424"/>
      <c r="H60" s="431"/>
      <c r="I60" s="431"/>
      <c r="K60" s="432"/>
      <c r="L60" s="432"/>
      <c r="M60" s="432"/>
      <c r="N60" s="432"/>
      <c r="O60" s="433"/>
      <c r="P60" s="432"/>
      <c r="Q60" s="432"/>
      <c r="R60" s="424"/>
      <c r="S60" s="432"/>
      <c r="T60" s="432"/>
      <c r="U60" s="424"/>
    </row>
    <row r="61" spans="2:21">
      <c r="B61" s="424"/>
      <c r="C61" s="424"/>
      <c r="D61" s="424"/>
      <c r="E61" s="425"/>
      <c r="F61" s="424"/>
      <c r="G61" s="424"/>
      <c r="H61" s="431"/>
      <c r="I61" s="431"/>
      <c r="K61" s="432"/>
      <c r="L61" s="432"/>
      <c r="M61" s="432"/>
      <c r="N61" s="432"/>
      <c r="O61" s="433"/>
      <c r="P61" s="432"/>
      <c r="Q61" s="432"/>
      <c r="R61" s="424"/>
      <c r="S61" s="432"/>
      <c r="T61" s="432"/>
      <c r="U61" s="424"/>
    </row>
    <row r="62" spans="2:21">
      <c r="B62" s="424"/>
      <c r="C62" s="424"/>
      <c r="D62" s="424"/>
      <c r="E62" s="425"/>
      <c r="F62" s="424"/>
      <c r="G62" s="424"/>
      <c r="H62" s="431"/>
      <c r="I62" s="431"/>
      <c r="K62" s="432"/>
      <c r="L62" s="432"/>
      <c r="M62" s="432"/>
      <c r="N62" s="432"/>
      <c r="O62" s="433"/>
      <c r="P62" s="432"/>
      <c r="Q62" s="432"/>
      <c r="R62" s="424"/>
      <c r="S62" s="432"/>
      <c r="T62" s="432"/>
      <c r="U62" s="424"/>
    </row>
    <row r="63" spans="2:21">
      <c r="B63" s="424"/>
      <c r="C63" s="424"/>
      <c r="D63" s="424"/>
      <c r="E63" s="425"/>
      <c r="F63" s="424"/>
      <c r="G63" s="424"/>
      <c r="H63" s="431"/>
      <c r="I63" s="431"/>
      <c r="K63" s="432"/>
      <c r="L63" s="432"/>
      <c r="M63" s="432"/>
      <c r="N63" s="432"/>
      <c r="O63" s="433"/>
      <c r="P63" s="432"/>
      <c r="Q63" s="432"/>
      <c r="R63" s="424"/>
      <c r="S63" s="432"/>
      <c r="T63" s="432"/>
      <c r="U63" s="424"/>
    </row>
    <row r="64" spans="2:21">
      <c r="B64" s="424"/>
      <c r="C64" s="424"/>
      <c r="D64" s="424"/>
      <c r="E64" s="425"/>
      <c r="F64" s="424"/>
      <c r="G64" s="424"/>
      <c r="H64" s="431"/>
      <c r="I64" s="431"/>
      <c r="K64" s="432"/>
      <c r="L64" s="432"/>
      <c r="M64" s="432"/>
      <c r="N64" s="432"/>
      <c r="O64" s="433"/>
      <c r="P64" s="432"/>
      <c r="Q64" s="432"/>
      <c r="R64" s="424"/>
      <c r="S64" s="432"/>
      <c r="T64" s="432"/>
      <c r="U64" s="424"/>
    </row>
    <row r="65" spans="2:21">
      <c r="B65" s="424"/>
      <c r="C65" s="424"/>
      <c r="D65" s="424"/>
      <c r="E65" s="425"/>
      <c r="F65" s="424"/>
      <c r="G65" s="424"/>
      <c r="H65" s="431"/>
      <c r="I65" s="431"/>
      <c r="K65" s="432"/>
      <c r="L65" s="432"/>
      <c r="M65" s="432"/>
      <c r="N65" s="432"/>
      <c r="O65" s="433"/>
      <c r="P65" s="432"/>
      <c r="Q65" s="432"/>
      <c r="R65" s="424"/>
      <c r="S65" s="432"/>
      <c r="T65" s="432"/>
      <c r="U65" s="424"/>
    </row>
    <row r="66" spans="2:21">
      <c r="B66" s="424"/>
      <c r="C66" s="424"/>
      <c r="D66" s="424"/>
      <c r="E66" s="425"/>
      <c r="F66" s="424"/>
      <c r="G66" s="424"/>
      <c r="H66" s="431"/>
      <c r="I66" s="431"/>
      <c r="K66" s="432"/>
      <c r="L66" s="432"/>
      <c r="M66" s="432"/>
      <c r="N66" s="432"/>
      <c r="O66" s="433"/>
      <c r="P66" s="432"/>
      <c r="Q66" s="432"/>
      <c r="R66" s="424"/>
      <c r="S66" s="432"/>
      <c r="T66" s="432"/>
      <c r="U66" s="424"/>
    </row>
    <row r="67" spans="2:21">
      <c r="B67" s="424"/>
      <c r="C67" s="424"/>
      <c r="D67" s="424"/>
      <c r="E67" s="425"/>
      <c r="F67" s="424"/>
      <c r="G67" s="424"/>
      <c r="H67" s="431"/>
      <c r="I67" s="431"/>
      <c r="K67" s="432"/>
      <c r="L67" s="432"/>
      <c r="M67" s="432"/>
      <c r="N67" s="432"/>
      <c r="O67" s="433"/>
      <c r="P67" s="432"/>
      <c r="Q67" s="432"/>
      <c r="R67" s="424"/>
      <c r="S67" s="432"/>
      <c r="T67" s="432"/>
      <c r="U67" s="424"/>
    </row>
    <row r="68" spans="2:21">
      <c r="B68" s="424"/>
      <c r="C68" s="424"/>
      <c r="D68" s="424"/>
      <c r="E68" s="425"/>
      <c r="F68" s="424"/>
      <c r="G68" s="424"/>
      <c r="H68" s="431"/>
      <c r="I68" s="431"/>
      <c r="K68" s="432"/>
      <c r="L68" s="432"/>
      <c r="M68" s="432"/>
      <c r="N68" s="432"/>
      <c r="O68" s="433"/>
      <c r="P68" s="432"/>
      <c r="Q68" s="432"/>
      <c r="R68" s="424"/>
      <c r="S68" s="432"/>
      <c r="T68" s="432"/>
      <c r="U68" s="424"/>
    </row>
    <row r="69" spans="2:21">
      <c r="B69" s="424"/>
      <c r="C69" s="424"/>
      <c r="D69" s="424"/>
      <c r="E69" s="425"/>
      <c r="F69" s="424"/>
      <c r="G69" s="424"/>
      <c r="H69" s="431"/>
      <c r="I69" s="431"/>
      <c r="K69" s="432"/>
      <c r="L69" s="432"/>
      <c r="M69" s="432"/>
      <c r="N69" s="432"/>
      <c r="O69" s="433"/>
      <c r="P69" s="432"/>
      <c r="Q69" s="432"/>
      <c r="R69" s="424"/>
      <c r="S69" s="432"/>
      <c r="T69" s="432"/>
      <c r="U69" s="424"/>
    </row>
    <row r="70" spans="2:21">
      <c r="B70" s="424"/>
      <c r="C70" s="424"/>
      <c r="D70" s="424"/>
      <c r="E70" s="425"/>
      <c r="F70" s="424"/>
      <c r="G70" s="424"/>
      <c r="H70" s="431"/>
      <c r="I70" s="431"/>
      <c r="K70" s="432"/>
      <c r="L70" s="432"/>
      <c r="M70" s="432"/>
      <c r="N70" s="432"/>
      <c r="O70" s="433"/>
      <c r="P70" s="432"/>
      <c r="Q70" s="432"/>
      <c r="R70" s="424"/>
      <c r="S70" s="432"/>
      <c r="T70" s="432"/>
      <c r="U70" s="424"/>
    </row>
    <row r="71" spans="2:21">
      <c r="B71" s="424"/>
      <c r="C71" s="424"/>
      <c r="D71" s="424"/>
      <c r="E71" s="425"/>
      <c r="F71" s="424"/>
      <c r="G71" s="424"/>
      <c r="H71" s="431"/>
      <c r="I71" s="431"/>
      <c r="K71" s="432"/>
      <c r="L71" s="432"/>
      <c r="M71" s="432"/>
      <c r="N71" s="432"/>
      <c r="O71" s="433"/>
      <c r="P71" s="432"/>
      <c r="Q71" s="432"/>
      <c r="R71" s="424"/>
      <c r="S71" s="432"/>
      <c r="T71" s="432"/>
      <c r="U71" s="424"/>
    </row>
    <row r="72" spans="2:21">
      <c r="B72" s="424"/>
      <c r="C72" s="424"/>
      <c r="D72" s="424"/>
      <c r="E72" s="425"/>
      <c r="F72" s="424"/>
      <c r="G72" s="424"/>
      <c r="H72" s="431"/>
      <c r="I72" s="431"/>
      <c r="K72" s="432"/>
      <c r="L72" s="432"/>
      <c r="M72" s="432"/>
      <c r="N72" s="432"/>
      <c r="O72" s="433"/>
      <c r="P72" s="432"/>
      <c r="Q72" s="432"/>
      <c r="R72" s="424"/>
      <c r="S72" s="432"/>
      <c r="T72" s="432"/>
      <c r="U72" s="424"/>
    </row>
    <row r="73" spans="2:21">
      <c r="B73" s="424"/>
      <c r="C73" s="424"/>
      <c r="D73" s="424"/>
      <c r="E73" s="425"/>
      <c r="F73" s="424"/>
      <c r="G73" s="424"/>
      <c r="H73" s="431"/>
      <c r="I73" s="431"/>
      <c r="K73" s="432"/>
      <c r="L73" s="432"/>
      <c r="M73" s="432"/>
      <c r="N73" s="432"/>
      <c r="O73" s="433"/>
      <c r="P73" s="432"/>
      <c r="Q73" s="432"/>
      <c r="R73" s="424"/>
      <c r="S73" s="432"/>
      <c r="T73" s="432"/>
      <c r="U73" s="424"/>
    </row>
    <row r="74" spans="2:21">
      <c r="B74" s="424"/>
      <c r="C74" s="424"/>
      <c r="D74" s="424"/>
      <c r="E74" s="425"/>
      <c r="F74" s="424"/>
      <c r="G74" s="424"/>
      <c r="H74" s="431"/>
      <c r="I74" s="431"/>
      <c r="K74" s="432"/>
      <c r="L74" s="432"/>
      <c r="M74" s="432"/>
      <c r="N74" s="432"/>
      <c r="O74" s="433"/>
      <c r="P74" s="432"/>
      <c r="Q74" s="432"/>
      <c r="R74" s="424"/>
      <c r="S74" s="432"/>
      <c r="T74" s="432"/>
      <c r="U74" s="424"/>
    </row>
    <row r="75" spans="2:21">
      <c r="B75" s="424"/>
      <c r="C75" s="424"/>
      <c r="D75" s="424"/>
      <c r="E75" s="425"/>
      <c r="F75" s="424"/>
      <c r="G75" s="424"/>
      <c r="H75" s="431"/>
      <c r="I75" s="431"/>
      <c r="K75" s="432"/>
      <c r="L75" s="432"/>
      <c r="M75" s="432"/>
      <c r="N75" s="432"/>
      <c r="O75" s="433"/>
      <c r="P75" s="432"/>
      <c r="Q75" s="432"/>
      <c r="R75" s="424"/>
      <c r="S75" s="432"/>
      <c r="T75" s="432"/>
      <c r="U75" s="424"/>
    </row>
    <row r="76" spans="2:21">
      <c r="B76" s="424"/>
      <c r="C76" s="424"/>
      <c r="D76" s="424"/>
      <c r="E76" s="425"/>
      <c r="F76" s="424"/>
      <c r="G76" s="424"/>
      <c r="H76" s="431"/>
      <c r="I76" s="431"/>
      <c r="K76" s="432"/>
      <c r="L76" s="432"/>
      <c r="M76" s="432"/>
      <c r="N76" s="432"/>
      <c r="O76" s="433"/>
      <c r="P76" s="432"/>
      <c r="Q76" s="432"/>
      <c r="R76" s="424"/>
      <c r="S76" s="432"/>
      <c r="T76" s="432"/>
      <c r="U76" s="424"/>
    </row>
    <row r="77" spans="2:21">
      <c r="B77" s="424"/>
      <c r="C77" s="424"/>
      <c r="D77" s="424"/>
      <c r="E77" s="425"/>
      <c r="F77" s="424"/>
      <c r="G77" s="424"/>
      <c r="H77" s="431"/>
      <c r="I77" s="431"/>
      <c r="K77" s="432"/>
      <c r="L77" s="432"/>
      <c r="M77" s="432"/>
      <c r="N77" s="432"/>
      <c r="O77" s="433"/>
      <c r="P77" s="432"/>
      <c r="Q77" s="432"/>
      <c r="R77" s="424"/>
      <c r="S77" s="432"/>
      <c r="T77" s="432"/>
      <c r="U77" s="424"/>
    </row>
    <row r="78" spans="2:21">
      <c r="B78" s="424"/>
      <c r="C78" s="424"/>
      <c r="D78" s="424"/>
      <c r="E78" s="425"/>
      <c r="F78" s="424"/>
      <c r="G78" s="424"/>
      <c r="H78" s="431"/>
      <c r="I78" s="431"/>
      <c r="K78" s="432"/>
      <c r="L78" s="432"/>
      <c r="M78" s="432"/>
      <c r="N78" s="432"/>
      <c r="O78" s="433"/>
      <c r="P78" s="432"/>
      <c r="Q78" s="432"/>
      <c r="R78" s="424"/>
      <c r="S78" s="432"/>
      <c r="T78" s="432"/>
      <c r="U78" s="424"/>
    </row>
    <row r="79" spans="2:21">
      <c r="B79" s="424"/>
      <c r="C79" s="424"/>
      <c r="D79" s="424"/>
      <c r="E79" s="425"/>
      <c r="F79" s="424"/>
      <c r="G79" s="424"/>
      <c r="H79" s="431"/>
      <c r="I79" s="431"/>
      <c r="K79" s="432"/>
      <c r="L79" s="432"/>
      <c r="M79" s="432"/>
      <c r="N79" s="432"/>
      <c r="O79" s="433"/>
      <c r="P79" s="432"/>
      <c r="Q79" s="432"/>
      <c r="R79" s="424"/>
      <c r="S79" s="432"/>
      <c r="T79" s="432"/>
      <c r="U79" s="424"/>
    </row>
    <row r="80" spans="2:21">
      <c r="B80" s="424"/>
      <c r="C80" s="424"/>
      <c r="D80" s="424"/>
      <c r="E80" s="425"/>
      <c r="F80" s="424"/>
      <c r="G80" s="424"/>
      <c r="H80" s="431"/>
      <c r="I80" s="431"/>
      <c r="K80" s="432"/>
      <c r="L80" s="432"/>
      <c r="M80" s="432"/>
      <c r="N80" s="432"/>
      <c r="O80" s="433"/>
      <c r="P80" s="432"/>
      <c r="Q80" s="432"/>
      <c r="R80" s="424"/>
      <c r="S80" s="432"/>
      <c r="T80" s="432"/>
      <c r="U80" s="424"/>
    </row>
    <row r="81" spans="2:21">
      <c r="B81" s="424"/>
      <c r="C81" s="424"/>
      <c r="D81" s="424"/>
      <c r="E81" s="425"/>
      <c r="F81" s="424"/>
      <c r="G81" s="424"/>
      <c r="H81" s="431"/>
      <c r="I81" s="431"/>
      <c r="K81" s="432"/>
      <c r="L81" s="432"/>
      <c r="M81" s="432"/>
      <c r="N81" s="432"/>
      <c r="O81" s="433"/>
      <c r="P81" s="432"/>
      <c r="Q81" s="432"/>
      <c r="R81" s="424"/>
      <c r="S81" s="432"/>
      <c r="T81" s="432"/>
      <c r="U81" s="424"/>
    </row>
    <row r="82" spans="2:21">
      <c r="B82" s="424"/>
      <c r="C82" s="424"/>
      <c r="D82" s="424"/>
      <c r="E82" s="425"/>
      <c r="F82" s="424"/>
      <c r="G82" s="424"/>
      <c r="H82" s="431"/>
      <c r="I82" s="431"/>
      <c r="K82" s="432"/>
      <c r="L82" s="432"/>
      <c r="M82" s="432"/>
      <c r="N82" s="432"/>
      <c r="O82" s="433"/>
      <c r="P82" s="432"/>
      <c r="Q82" s="432"/>
      <c r="R82" s="424"/>
      <c r="S82" s="432"/>
      <c r="T82" s="432"/>
      <c r="U82" s="424"/>
    </row>
    <row r="83" spans="2:21">
      <c r="B83" s="424"/>
      <c r="C83" s="424"/>
      <c r="D83" s="424"/>
      <c r="E83" s="425"/>
      <c r="F83" s="424"/>
      <c r="G83" s="424"/>
      <c r="H83" s="431"/>
      <c r="I83" s="431"/>
      <c r="K83" s="432"/>
      <c r="L83" s="432"/>
      <c r="M83" s="432"/>
      <c r="N83" s="432"/>
      <c r="O83" s="433"/>
      <c r="P83" s="432"/>
      <c r="Q83" s="432"/>
      <c r="R83" s="424"/>
      <c r="S83" s="432"/>
      <c r="T83" s="432"/>
      <c r="U83" s="424"/>
    </row>
    <row r="84" spans="2:21">
      <c r="B84" s="424"/>
      <c r="C84" s="424"/>
      <c r="D84" s="424"/>
      <c r="E84" s="425"/>
      <c r="F84" s="424"/>
      <c r="G84" s="424"/>
      <c r="H84" s="431"/>
      <c r="I84" s="431"/>
      <c r="K84" s="432"/>
      <c r="L84" s="432"/>
      <c r="M84" s="432"/>
      <c r="N84" s="432"/>
      <c r="O84" s="433"/>
      <c r="P84" s="432"/>
      <c r="Q84" s="432"/>
      <c r="R84" s="424"/>
      <c r="S84" s="432"/>
      <c r="T84" s="432"/>
      <c r="U84" s="424"/>
    </row>
    <row r="85" spans="2:21">
      <c r="B85" s="424"/>
      <c r="C85" s="424"/>
      <c r="D85" s="424"/>
      <c r="E85" s="425"/>
      <c r="F85" s="424"/>
      <c r="G85" s="424"/>
      <c r="H85" s="431"/>
      <c r="I85" s="431"/>
      <c r="K85" s="432"/>
      <c r="L85" s="432"/>
      <c r="M85" s="432"/>
      <c r="N85" s="432"/>
      <c r="O85" s="433"/>
      <c r="P85" s="432"/>
      <c r="Q85" s="432"/>
      <c r="R85" s="424"/>
      <c r="S85" s="432"/>
      <c r="T85" s="432"/>
      <c r="U85" s="424"/>
    </row>
    <row r="86" spans="2:21">
      <c r="B86" s="424"/>
      <c r="C86" s="424"/>
      <c r="D86" s="424"/>
      <c r="E86" s="425"/>
      <c r="F86" s="424"/>
      <c r="G86" s="424"/>
      <c r="H86" s="431"/>
      <c r="I86" s="431"/>
      <c r="K86" s="432"/>
      <c r="L86" s="432"/>
      <c r="M86" s="432"/>
      <c r="N86" s="432"/>
      <c r="O86" s="433"/>
      <c r="P86" s="432"/>
      <c r="Q86" s="432"/>
      <c r="R86" s="424"/>
      <c r="S86" s="432"/>
      <c r="T86" s="432"/>
      <c r="U86" s="424"/>
    </row>
    <row r="87" spans="2:21">
      <c r="B87" s="424"/>
      <c r="C87" s="424"/>
      <c r="D87" s="424"/>
      <c r="E87" s="425"/>
      <c r="F87" s="424"/>
      <c r="G87" s="424"/>
      <c r="H87" s="431"/>
      <c r="I87" s="431"/>
      <c r="K87" s="432"/>
      <c r="L87" s="432"/>
      <c r="M87" s="432"/>
      <c r="N87" s="432"/>
      <c r="O87" s="433"/>
      <c r="P87" s="432"/>
      <c r="Q87" s="432"/>
      <c r="R87" s="424"/>
      <c r="S87" s="432"/>
      <c r="T87" s="432"/>
      <c r="U87" s="424"/>
    </row>
    <row r="88" spans="2:21">
      <c r="B88" s="424"/>
      <c r="C88" s="424"/>
      <c r="D88" s="424"/>
      <c r="E88" s="425"/>
      <c r="F88" s="424"/>
      <c r="G88" s="424"/>
      <c r="H88" s="431"/>
      <c r="I88" s="431"/>
      <c r="K88" s="432"/>
      <c r="L88" s="432"/>
      <c r="M88" s="432"/>
      <c r="N88" s="432"/>
      <c r="O88" s="433"/>
      <c r="P88" s="432"/>
      <c r="Q88" s="432"/>
      <c r="R88" s="424"/>
      <c r="S88" s="432"/>
      <c r="T88" s="432"/>
      <c r="U88" s="424"/>
    </row>
    <row r="89" spans="2:21">
      <c r="B89" s="424"/>
      <c r="C89" s="424"/>
      <c r="D89" s="424"/>
      <c r="E89" s="425"/>
      <c r="F89" s="424"/>
      <c r="G89" s="424"/>
      <c r="H89" s="431"/>
      <c r="I89" s="431"/>
      <c r="K89" s="432"/>
      <c r="L89" s="432"/>
      <c r="M89" s="432"/>
      <c r="N89" s="432"/>
      <c r="O89" s="433"/>
      <c r="P89" s="432"/>
      <c r="Q89" s="432"/>
      <c r="R89" s="424"/>
      <c r="S89" s="432"/>
      <c r="T89" s="432"/>
      <c r="U89" s="424"/>
    </row>
    <row r="90" spans="2:21">
      <c r="B90" s="424"/>
      <c r="C90" s="424"/>
      <c r="D90" s="424"/>
      <c r="E90" s="425"/>
      <c r="F90" s="424"/>
      <c r="G90" s="424"/>
      <c r="H90" s="431"/>
      <c r="I90" s="431"/>
      <c r="K90" s="432"/>
      <c r="L90" s="432"/>
      <c r="M90" s="432"/>
      <c r="N90" s="432"/>
      <c r="O90" s="433"/>
      <c r="P90" s="432"/>
      <c r="Q90" s="432"/>
      <c r="R90" s="424"/>
      <c r="S90" s="432"/>
      <c r="T90" s="432"/>
      <c r="U90" s="424"/>
    </row>
    <row r="91" spans="2:21">
      <c r="B91" s="424"/>
      <c r="C91" s="424"/>
      <c r="D91" s="424"/>
      <c r="E91" s="425"/>
      <c r="F91" s="424"/>
      <c r="G91" s="424"/>
      <c r="H91" s="431"/>
      <c r="I91" s="431"/>
      <c r="K91" s="432"/>
      <c r="L91" s="432"/>
      <c r="M91" s="432"/>
      <c r="N91" s="432"/>
      <c r="O91" s="433"/>
      <c r="P91" s="432"/>
      <c r="Q91" s="432"/>
      <c r="R91" s="424"/>
      <c r="S91" s="432"/>
      <c r="T91" s="432"/>
      <c r="U91" s="424"/>
    </row>
    <row r="92" spans="2:21">
      <c r="B92" s="424"/>
      <c r="C92" s="424"/>
      <c r="D92" s="424"/>
      <c r="E92" s="425"/>
      <c r="F92" s="424"/>
      <c r="G92" s="424"/>
      <c r="H92" s="431"/>
      <c r="I92" s="431"/>
      <c r="K92" s="432"/>
      <c r="L92" s="432"/>
      <c r="M92" s="432"/>
      <c r="N92" s="432"/>
      <c r="O92" s="433"/>
      <c r="P92" s="432"/>
      <c r="Q92" s="432"/>
      <c r="R92" s="424"/>
      <c r="S92" s="432"/>
      <c r="T92" s="432"/>
      <c r="U92" s="424"/>
    </row>
    <row r="93" spans="2:21">
      <c r="B93" s="424"/>
      <c r="C93" s="424"/>
      <c r="D93" s="424"/>
      <c r="E93" s="425"/>
      <c r="F93" s="424"/>
      <c r="G93" s="424"/>
      <c r="H93" s="431"/>
      <c r="I93" s="431"/>
      <c r="K93" s="432"/>
      <c r="L93" s="432"/>
      <c r="M93" s="432"/>
      <c r="N93" s="432"/>
      <c r="O93" s="433"/>
      <c r="P93" s="432"/>
      <c r="Q93" s="432"/>
      <c r="R93" s="424"/>
      <c r="S93" s="432"/>
      <c r="T93" s="432"/>
      <c r="U93" s="424"/>
    </row>
    <row r="94" spans="2:21">
      <c r="B94" s="424"/>
      <c r="C94" s="424"/>
      <c r="D94" s="424"/>
      <c r="E94" s="425"/>
      <c r="F94" s="424"/>
      <c r="G94" s="424"/>
      <c r="H94" s="431"/>
      <c r="I94" s="431"/>
      <c r="K94" s="432"/>
      <c r="L94" s="432"/>
      <c r="M94" s="432"/>
      <c r="N94" s="432"/>
      <c r="O94" s="433"/>
      <c r="P94" s="432"/>
      <c r="Q94" s="432"/>
      <c r="R94" s="424"/>
      <c r="S94" s="432"/>
      <c r="T94" s="432"/>
      <c r="U94" s="424"/>
    </row>
    <row r="95" spans="2:21">
      <c r="B95" s="424"/>
      <c r="C95" s="424"/>
      <c r="D95" s="424"/>
      <c r="E95" s="425"/>
      <c r="F95" s="424"/>
      <c r="G95" s="424"/>
      <c r="H95" s="431"/>
      <c r="I95" s="431"/>
      <c r="K95" s="432"/>
      <c r="L95" s="432"/>
      <c r="M95" s="432"/>
      <c r="N95" s="432"/>
      <c r="O95" s="433"/>
      <c r="P95" s="432"/>
      <c r="Q95" s="432"/>
      <c r="R95" s="424"/>
      <c r="S95" s="432"/>
      <c r="T95" s="432"/>
      <c r="U95" s="424"/>
    </row>
    <row r="96" spans="2:21">
      <c r="B96" s="424"/>
      <c r="C96" s="424"/>
      <c r="D96" s="424"/>
      <c r="E96" s="425"/>
      <c r="F96" s="424"/>
      <c r="G96" s="424"/>
      <c r="H96" s="431"/>
      <c r="I96" s="431"/>
      <c r="K96" s="432"/>
      <c r="L96" s="432"/>
      <c r="M96" s="432"/>
      <c r="N96" s="432"/>
      <c r="O96" s="433"/>
      <c r="P96" s="432"/>
      <c r="Q96" s="432"/>
      <c r="R96" s="424"/>
      <c r="S96" s="432"/>
      <c r="T96" s="432"/>
      <c r="U96" s="424"/>
    </row>
    <row r="97" spans="2:21">
      <c r="B97" s="424"/>
      <c r="C97" s="424"/>
      <c r="D97" s="424"/>
      <c r="E97" s="425"/>
      <c r="F97" s="424"/>
      <c r="G97" s="424"/>
      <c r="H97" s="431"/>
      <c r="I97" s="431"/>
      <c r="K97" s="432"/>
      <c r="L97" s="432"/>
      <c r="M97" s="432"/>
      <c r="N97" s="432"/>
      <c r="O97" s="433"/>
      <c r="P97" s="432"/>
      <c r="Q97" s="432"/>
      <c r="R97" s="424"/>
      <c r="S97" s="432"/>
      <c r="T97" s="432"/>
      <c r="U97" s="424"/>
    </row>
    <row r="98" spans="2:21">
      <c r="B98" s="424"/>
      <c r="C98" s="424"/>
      <c r="D98" s="424"/>
      <c r="E98" s="425"/>
      <c r="F98" s="424"/>
      <c r="G98" s="424"/>
      <c r="H98" s="431"/>
      <c r="I98" s="431"/>
      <c r="K98" s="432"/>
      <c r="L98" s="432"/>
      <c r="M98" s="432"/>
      <c r="N98" s="432"/>
      <c r="O98" s="433"/>
      <c r="P98" s="432"/>
      <c r="Q98" s="432"/>
      <c r="R98" s="424"/>
      <c r="S98" s="432"/>
      <c r="T98" s="432"/>
      <c r="U98" s="424"/>
    </row>
    <row r="99" spans="2:21">
      <c r="B99" s="424"/>
      <c r="C99" s="424"/>
      <c r="D99" s="424"/>
      <c r="E99" s="425"/>
      <c r="F99" s="424"/>
      <c r="G99" s="424"/>
      <c r="H99" s="431"/>
      <c r="I99" s="431"/>
      <c r="K99" s="432"/>
      <c r="L99" s="432"/>
      <c r="M99" s="432"/>
      <c r="N99" s="432"/>
      <c r="O99" s="433"/>
      <c r="P99" s="432"/>
      <c r="Q99" s="432"/>
      <c r="R99" s="424"/>
      <c r="S99" s="432"/>
      <c r="T99" s="432"/>
      <c r="U99" s="424"/>
    </row>
    <row r="100" spans="2:21">
      <c r="B100" s="424"/>
      <c r="C100" s="424"/>
      <c r="D100" s="424"/>
      <c r="E100" s="425"/>
      <c r="F100" s="424"/>
      <c r="G100" s="424"/>
      <c r="H100" s="431"/>
      <c r="I100" s="431"/>
      <c r="K100" s="432"/>
      <c r="L100" s="432"/>
      <c r="M100" s="432"/>
      <c r="N100" s="432"/>
      <c r="O100" s="433"/>
      <c r="P100" s="432"/>
      <c r="Q100" s="432"/>
      <c r="R100" s="424"/>
      <c r="S100" s="432"/>
      <c r="T100" s="432"/>
      <c r="U100" s="424"/>
    </row>
    <row r="101" spans="2:21">
      <c r="B101" s="424"/>
      <c r="C101" s="424"/>
      <c r="D101" s="424"/>
      <c r="E101" s="425"/>
      <c r="F101" s="424"/>
      <c r="G101" s="424"/>
      <c r="H101" s="431"/>
      <c r="I101" s="431"/>
      <c r="K101" s="432"/>
      <c r="L101" s="432"/>
      <c r="M101" s="432"/>
      <c r="N101" s="432"/>
      <c r="O101" s="433"/>
      <c r="P101" s="432"/>
      <c r="Q101" s="432"/>
      <c r="R101" s="424"/>
      <c r="S101" s="432"/>
      <c r="T101" s="432"/>
      <c r="U101" s="424"/>
    </row>
    <row r="102" spans="2:21">
      <c r="B102" s="424"/>
      <c r="C102" s="424"/>
      <c r="D102" s="424"/>
      <c r="E102" s="425"/>
      <c r="F102" s="424"/>
      <c r="G102" s="424"/>
      <c r="H102" s="431"/>
      <c r="I102" s="431"/>
      <c r="K102" s="432"/>
      <c r="L102" s="432"/>
      <c r="M102" s="432"/>
      <c r="N102" s="432"/>
      <c r="O102" s="433"/>
      <c r="P102" s="432"/>
      <c r="Q102" s="432"/>
      <c r="R102" s="424"/>
      <c r="S102" s="432"/>
      <c r="T102" s="432"/>
      <c r="U102" s="424"/>
    </row>
    <row r="103" spans="2:21">
      <c r="B103" s="424"/>
      <c r="C103" s="424"/>
      <c r="D103" s="424"/>
      <c r="E103" s="425"/>
      <c r="F103" s="424"/>
      <c r="G103" s="424"/>
      <c r="H103" s="431"/>
      <c r="I103" s="431"/>
      <c r="K103" s="432"/>
      <c r="L103" s="432"/>
      <c r="M103" s="432"/>
      <c r="N103" s="432"/>
      <c r="O103" s="433"/>
      <c r="P103" s="432"/>
      <c r="Q103" s="432"/>
      <c r="R103" s="424"/>
      <c r="S103" s="432"/>
      <c r="T103" s="432"/>
      <c r="U103" s="424"/>
    </row>
    <row r="104" spans="2:21">
      <c r="B104" s="424"/>
      <c r="C104" s="424"/>
      <c r="D104" s="424"/>
      <c r="E104" s="425"/>
      <c r="F104" s="424"/>
      <c r="G104" s="424"/>
      <c r="H104" s="431"/>
      <c r="I104" s="431"/>
      <c r="K104" s="432"/>
      <c r="L104" s="432"/>
      <c r="M104" s="432"/>
      <c r="N104" s="432"/>
      <c r="O104" s="433"/>
      <c r="P104" s="432"/>
      <c r="Q104" s="432"/>
      <c r="R104" s="424"/>
      <c r="S104" s="432"/>
      <c r="T104" s="432"/>
      <c r="U104" s="424"/>
    </row>
    <row r="105" spans="2:21">
      <c r="B105" s="424"/>
      <c r="C105" s="424"/>
      <c r="D105" s="424"/>
      <c r="E105" s="425"/>
      <c r="F105" s="424"/>
      <c r="G105" s="424"/>
      <c r="H105" s="431"/>
      <c r="I105" s="431"/>
      <c r="K105" s="432"/>
      <c r="L105" s="432"/>
      <c r="M105" s="432"/>
      <c r="N105" s="432"/>
      <c r="O105" s="433"/>
      <c r="P105" s="432"/>
      <c r="Q105" s="432"/>
      <c r="R105" s="424"/>
      <c r="S105" s="432"/>
      <c r="T105" s="432"/>
      <c r="U105" s="424"/>
    </row>
    <row r="106" spans="2:21">
      <c r="B106" s="424"/>
      <c r="C106" s="424"/>
      <c r="D106" s="424"/>
      <c r="E106" s="425"/>
      <c r="F106" s="424"/>
      <c r="G106" s="424"/>
      <c r="H106" s="431"/>
      <c r="I106" s="431"/>
      <c r="K106" s="432"/>
      <c r="L106" s="432"/>
      <c r="M106" s="432"/>
      <c r="N106" s="432"/>
      <c r="O106" s="433"/>
      <c r="P106" s="432"/>
      <c r="Q106" s="432"/>
      <c r="R106" s="424"/>
      <c r="S106" s="432"/>
      <c r="T106" s="432"/>
      <c r="U106" s="424"/>
    </row>
    <row r="107" spans="2:21">
      <c r="B107" s="424"/>
      <c r="C107" s="424"/>
      <c r="D107" s="424"/>
      <c r="E107" s="425"/>
      <c r="F107" s="424"/>
      <c r="G107" s="424"/>
      <c r="H107" s="431"/>
      <c r="I107" s="431"/>
      <c r="K107" s="432"/>
      <c r="L107" s="432"/>
      <c r="M107" s="432"/>
      <c r="N107" s="432"/>
      <c r="O107" s="433"/>
      <c r="P107" s="432"/>
      <c r="Q107" s="432"/>
      <c r="R107" s="424"/>
      <c r="S107" s="432"/>
      <c r="T107" s="432"/>
      <c r="U107" s="424"/>
    </row>
    <row r="108" spans="2:21">
      <c r="B108" s="424"/>
      <c r="C108" s="424"/>
      <c r="D108" s="424"/>
      <c r="E108" s="425"/>
      <c r="F108" s="424"/>
      <c r="G108" s="424"/>
      <c r="H108" s="431"/>
      <c r="I108" s="431"/>
      <c r="K108" s="432"/>
      <c r="L108" s="432"/>
      <c r="M108" s="432"/>
      <c r="N108" s="432"/>
      <c r="O108" s="433"/>
      <c r="P108" s="432"/>
      <c r="Q108" s="432"/>
      <c r="R108" s="424"/>
      <c r="S108" s="432"/>
      <c r="T108" s="432"/>
      <c r="U108" s="424"/>
    </row>
    <row r="109" spans="2:21">
      <c r="B109" s="424"/>
      <c r="C109" s="424"/>
      <c r="D109" s="424"/>
      <c r="E109" s="425"/>
      <c r="F109" s="424"/>
      <c r="G109" s="424"/>
      <c r="H109" s="431"/>
      <c r="I109" s="431"/>
      <c r="K109" s="432"/>
      <c r="L109" s="432"/>
      <c r="M109" s="432"/>
      <c r="N109" s="432"/>
      <c r="O109" s="433"/>
      <c r="P109" s="432"/>
      <c r="Q109" s="432"/>
      <c r="R109" s="424"/>
      <c r="S109" s="432"/>
      <c r="T109" s="432"/>
      <c r="U109" s="424"/>
    </row>
    <row r="110" spans="2:21">
      <c r="B110" s="424"/>
      <c r="C110" s="424"/>
      <c r="D110" s="424"/>
      <c r="E110" s="425"/>
      <c r="F110" s="424"/>
      <c r="G110" s="424"/>
      <c r="H110" s="431"/>
      <c r="I110" s="431"/>
      <c r="K110" s="432"/>
      <c r="L110" s="432"/>
      <c r="M110" s="432"/>
      <c r="N110" s="432"/>
      <c r="O110" s="433"/>
      <c r="P110" s="432"/>
      <c r="Q110" s="432"/>
      <c r="R110" s="424"/>
      <c r="S110" s="432"/>
      <c r="T110" s="432"/>
      <c r="U110" s="424"/>
    </row>
    <row r="111" spans="2:21">
      <c r="B111" s="424"/>
      <c r="C111" s="424"/>
      <c r="D111" s="424"/>
      <c r="E111" s="425"/>
      <c r="F111" s="424"/>
      <c r="G111" s="424"/>
      <c r="H111" s="431"/>
      <c r="I111" s="431"/>
      <c r="K111" s="432"/>
      <c r="L111" s="432"/>
      <c r="M111" s="432"/>
      <c r="N111" s="432"/>
      <c r="O111" s="433"/>
      <c r="P111" s="432"/>
      <c r="Q111" s="432"/>
      <c r="R111" s="424"/>
      <c r="S111" s="432"/>
      <c r="T111" s="432"/>
      <c r="U111" s="424"/>
    </row>
    <row r="112" spans="2:21">
      <c r="B112" s="424"/>
      <c r="C112" s="424"/>
      <c r="D112" s="424"/>
      <c r="E112" s="425"/>
      <c r="F112" s="424"/>
      <c r="G112" s="424"/>
      <c r="H112" s="431"/>
      <c r="I112" s="431"/>
      <c r="K112" s="432"/>
      <c r="L112" s="432"/>
      <c r="M112" s="432"/>
      <c r="N112" s="432"/>
      <c r="O112" s="433"/>
      <c r="P112" s="432"/>
      <c r="Q112" s="432"/>
      <c r="R112" s="424"/>
      <c r="S112" s="432"/>
      <c r="T112" s="432"/>
      <c r="U112" s="424"/>
    </row>
    <row r="113" spans="2:21">
      <c r="B113" s="424"/>
      <c r="C113" s="424"/>
      <c r="D113" s="424"/>
      <c r="E113" s="425"/>
      <c r="F113" s="424"/>
      <c r="G113" s="424"/>
      <c r="H113" s="431"/>
      <c r="I113" s="431"/>
      <c r="K113" s="432"/>
      <c r="L113" s="432"/>
      <c r="M113" s="432"/>
      <c r="N113" s="432"/>
      <c r="O113" s="433"/>
      <c r="P113" s="432"/>
      <c r="Q113" s="432"/>
      <c r="R113" s="424"/>
      <c r="S113" s="432"/>
      <c r="T113" s="432"/>
      <c r="U113" s="424"/>
    </row>
  </sheetData>
  <mergeCells count="7">
    <mergeCell ref="B8:E8"/>
    <mergeCell ref="B9:E9"/>
    <mergeCell ref="A4:B4"/>
    <mergeCell ref="A1:C2"/>
    <mergeCell ref="B5:E5"/>
    <mergeCell ref="B6:E6"/>
    <mergeCell ref="B7:E7"/>
  </mergeCells>
  <conditionalFormatting sqref="N14:N32">
    <cfRule type="cellIs" dxfId="30" priority="1" operator="equal">
      <formula>"Sold in current year"</formula>
    </cfRule>
    <cfRule type="cellIs" dxfId="29" priority="2" operator="equal">
      <formula>"Sold during previous years"</formula>
    </cfRule>
    <cfRule type="cellIs" dxfId="28" priority="3" operator="equal">
      <formula>"Unsold"</formula>
    </cfRule>
  </conditionalFormatting>
  <pageMargins left="0.7" right="0.7" top="0.75" bottom="0.75" header="0.3" footer="0.3"/>
  <pageSetup scale="20"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25EF2E0E-8982-4FDF-89DE-35979B741A74}">
          <x14:formula1>
            <xm:f>'PPE &amp; Intangibles '!$C$11:$C$17</xm:f>
          </x14:formula1>
          <xm:sqref>C14:C113</xm:sqref>
        </x14:dataValidation>
        <x14:dataValidation type="list" allowBlank="1" showInputMessage="1" showErrorMessage="1" xr:uid="{612F37EA-BC7D-47DC-A830-1E464AA2D262}">
          <x14:formula1>
            <xm:f>'Support Sheet'!$E$9:$E$11</xm:f>
          </x14:formula1>
          <xm:sqref>N14:N43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D2D27-5AA7-4F6C-85EB-DCC322D6F995}">
  <sheetPr>
    <tabColor theme="7"/>
  </sheetPr>
  <dimension ref="A1:W43"/>
  <sheetViews>
    <sheetView topLeftCell="A8" zoomScaleNormal="100" workbookViewId="0">
      <selection activeCell="N11" sqref="N11"/>
    </sheetView>
  </sheetViews>
  <sheetFormatPr defaultRowHeight="14.4"/>
  <cols>
    <col min="1" max="1" width="6.5546875" customWidth="1"/>
    <col min="2" max="2" width="10.109375" customWidth="1"/>
    <col min="3" max="3" width="20.44140625" customWidth="1"/>
    <col min="4" max="4" width="16.109375" bestFit="1" customWidth="1"/>
    <col min="5" max="5" width="18.6640625" customWidth="1"/>
    <col min="6" max="6" width="12.33203125" bestFit="1" customWidth="1"/>
    <col min="7" max="7" width="9" bestFit="1" customWidth="1"/>
    <col min="8" max="8" width="10.109375" bestFit="1" customWidth="1"/>
    <col min="9" max="9" width="10.6640625" bestFit="1" customWidth="1"/>
    <col min="10" max="11" width="12.88671875" bestFit="1" customWidth="1"/>
    <col min="12" max="12" width="12.44140625" bestFit="1" customWidth="1"/>
    <col min="13" max="13" width="10" bestFit="1" customWidth="1"/>
    <col min="14" max="14" width="19.33203125" bestFit="1" customWidth="1"/>
    <col min="15" max="15" width="11.33203125" bestFit="1" customWidth="1"/>
    <col min="16" max="16" width="12.5546875" bestFit="1" customWidth="1"/>
    <col min="17" max="17" width="12.33203125" bestFit="1" customWidth="1"/>
    <col min="18" max="18" width="9.5546875" bestFit="1" customWidth="1"/>
    <col min="19" max="19" width="13.109375" hidden="1" customWidth="1"/>
    <col min="20" max="20" width="13.5546875" bestFit="1" customWidth="1"/>
    <col min="21" max="21" width="11.44140625" bestFit="1" customWidth="1"/>
    <col min="22" max="22" width="12.44140625" bestFit="1" customWidth="1"/>
    <col min="23" max="23" width="12.44140625" customWidth="1"/>
  </cols>
  <sheetData>
    <row r="1" spans="1:23">
      <c r="A1" s="958" t="s">
        <v>899</v>
      </c>
      <c r="B1" s="958"/>
      <c r="C1" s="958"/>
    </row>
    <row r="2" spans="1:23">
      <c r="A2" s="958"/>
      <c r="B2" s="958"/>
      <c r="C2" s="958"/>
    </row>
    <row r="3" spans="1:23" ht="15" thickBot="1"/>
    <row r="4" spans="1:23" ht="15.6" thickTop="1" thickBot="1">
      <c r="A4" s="959" t="s">
        <v>761</v>
      </c>
      <c r="B4" s="960"/>
    </row>
    <row r="5" spans="1:23" ht="15" thickTop="1">
      <c r="A5" s="896" t="str">
        <f>'Support Sheet'!C2</f>
        <v>(i)</v>
      </c>
      <c r="B5" s="961" t="s">
        <v>993</v>
      </c>
      <c r="C5" s="961"/>
      <c r="D5" s="961"/>
      <c r="E5" s="962"/>
    </row>
    <row r="6" spans="1:23">
      <c r="A6" s="897" t="str">
        <f>'Support Sheet'!C3</f>
        <v>(ii)</v>
      </c>
      <c r="B6" s="963" t="s">
        <v>995</v>
      </c>
      <c r="C6" s="963"/>
      <c r="D6" s="963"/>
      <c r="E6" s="964"/>
    </row>
    <row r="7" spans="1:23" ht="31.5" customHeight="1">
      <c r="A7" s="897" t="str">
        <f>'Support Sheet'!C4</f>
        <v>(iii)</v>
      </c>
      <c r="B7" s="956" t="s">
        <v>992</v>
      </c>
      <c r="C7" s="956"/>
      <c r="D7" s="956"/>
      <c r="E7" s="957"/>
    </row>
    <row r="8" spans="1:23" ht="30" customHeight="1">
      <c r="A8" s="897" t="str">
        <f>'Support Sheet'!C5</f>
        <v>(iv)</v>
      </c>
      <c r="B8" s="956" t="s">
        <v>997</v>
      </c>
      <c r="C8" s="956"/>
      <c r="D8" s="956"/>
      <c r="E8" s="957"/>
    </row>
    <row r="9" spans="1:23" ht="15" thickBot="1">
      <c r="A9" s="898" t="str">
        <f>'Support Sheet'!C6</f>
        <v>(v)</v>
      </c>
      <c r="B9" s="954" t="s">
        <v>994</v>
      </c>
      <c r="C9" s="954"/>
      <c r="D9" s="954"/>
      <c r="E9" s="955"/>
    </row>
    <row r="10" spans="1:23" ht="15" thickTop="1"/>
    <row r="11" spans="1:23" ht="15" thickBot="1"/>
    <row r="12" spans="1:23" ht="15" thickBot="1">
      <c r="B12" s="424"/>
      <c r="C12" s="424"/>
      <c r="D12" s="435" t="s">
        <v>762</v>
      </c>
      <c r="E12" s="436">
        <f>'Control Sheet'!C8+1</f>
        <v>44652</v>
      </c>
      <c r="F12" s="424"/>
      <c r="G12" s="424"/>
      <c r="H12" s="425"/>
      <c r="I12" s="426"/>
      <c r="J12" s="424"/>
      <c r="K12" s="424"/>
      <c r="L12" s="424"/>
      <c r="M12" s="435" t="s">
        <v>733</v>
      </c>
      <c r="N12" s="436">
        <f>'Control Sheet'!C7</f>
        <v>45016</v>
      </c>
      <c r="O12" s="424"/>
      <c r="P12" s="424"/>
      <c r="Q12" s="424"/>
      <c r="R12" s="427"/>
      <c r="S12" s="427"/>
      <c r="T12" s="426"/>
    </row>
    <row r="13" spans="1:23" ht="72">
      <c r="A13" s="707" t="s">
        <v>734</v>
      </c>
      <c r="B13" s="708" t="s">
        <v>990</v>
      </c>
      <c r="C13" s="708" t="s">
        <v>735</v>
      </c>
      <c r="D13" s="709" t="s">
        <v>736</v>
      </c>
      <c r="E13" s="710" t="s">
        <v>737</v>
      </c>
      <c r="F13" s="708" t="s">
        <v>738</v>
      </c>
      <c r="G13" s="708" t="s">
        <v>739</v>
      </c>
      <c r="H13" s="708" t="s">
        <v>740</v>
      </c>
      <c r="I13" s="711" t="s">
        <v>741</v>
      </c>
      <c r="J13" s="708" t="s">
        <v>755</v>
      </c>
      <c r="K13" s="708" t="s">
        <v>756</v>
      </c>
      <c r="L13" s="708" t="s">
        <v>742</v>
      </c>
      <c r="M13" s="709" t="s">
        <v>743</v>
      </c>
      <c r="N13" s="709" t="s">
        <v>854</v>
      </c>
      <c r="O13" s="712" t="s">
        <v>744</v>
      </c>
      <c r="P13" s="708" t="s">
        <v>745</v>
      </c>
      <c r="Q13" s="708" t="s">
        <v>746</v>
      </c>
      <c r="R13" s="708" t="s">
        <v>747</v>
      </c>
      <c r="S13" s="713" t="s">
        <v>749</v>
      </c>
      <c r="T13" s="713" t="s">
        <v>748</v>
      </c>
      <c r="U13" s="711" t="s">
        <v>757</v>
      </c>
      <c r="V13" s="709" t="s">
        <v>859</v>
      </c>
      <c r="W13" s="714" t="s">
        <v>860</v>
      </c>
    </row>
    <row r="14" spans="1:23" hidden="1">
      <c r="A14" s="439"/>
      <c r="B14" s="752"/>
      <c r="C14" s="752" t="s">
        <v>274</v>
      </c>
      <c r="D14" s="752"/>
      <c r="E14" s="753"/>
      <c r="F14" s="752"/>
      <c r="G14" s="754">
        <f t="shared" ref="G14:G22" si="0">IF($E14&lt;=$E$12,YEARFRAC(E14,$E$12),0)</f>
        <v>122.25277777777778</v>
      </c>
      <c r="H14" s="755">
        <f t="shared" ref="H14:H22" si="1">F14-G14</f>
        <v>-122.25277777777778</v>
      </c>
      <c r="I14" s="756"/>
      <c r="J14" s="429"/>
      <c r="K14" s="429"/>
      <c r="L14" s="429"/>
      <c r="M14" s="757">
        <f t="shared" ref="M14:M43" si="2">I14*5%</f>
        <v>0</v>
      </c>
      <c r="N14" s="429"/>
      <c r="O14" s="430"/>
      <c r="P14" s="429"/>
      <c r="Q14" s="757">
        <f>IF(H14&gt;0,I14-M14,0)</f>
        <v>0</v>
      </c>
      <c r="R14" s="754">
        <f>IF($E14&lt;=$N$12,MIN(ABS($N$12-$E$12),ABS(O14-$E$12),ABS($N$12-E14),ABS(E14-O14)),0)</f>
        <v>0</v>
      </c>
      <c r="S14" s="757">
        <f>IF(OR(Table22[[#This Row],[Sales Details]]="Sold in current year",Table22[[#This Row],[Sales Details]]="Unsold"),IF(H14&gt;1,ROUND((Q14/F14)*R14/ABS($N$12-$E$12),0),K14-M14),0)</f>
        <v>0</v>
      </c>
      <c r="T14" s="757">
        <f t="shared" ref="T14" si="3">IF(S14&lt;0,0,S14)</f>
        <v>0</v>
      </c>
      <c r="U14" s="754">
        <f>IF(OR(Table22[[#This Row],[Sales Details]]="Sold during previous years",Table22[[#This Row],[Sales Details]]="Sold in current year"),0,Table22[[#This Row],[ Balance as on 1st day of the year]]+Table22[[#This Row],[Addition during the year]]-Table22[[#This Row],[Depreciation  for the Year]])</f>
        <v>0</v>
      </c>
      <c r="V14" s="758">
        <f>IF(Table22[[#This Row],[Sales Details]]="Sold in current year",Table22[[#This Row],[Original Cost of Assets]],0)</f>
        <v>0</v>
      </c>
      <c r="W14" s="758">
        <f>IF(Table22[[#This Row],[Sales Details]]="Sold in current year",Table22[[#This Row],[Cumulative Depreciation as on the 1st day of year]]+Table22[[#This Row],[Depreciation  for the Year]],0)</f>
        <v>0</v>
      </c>
    </row>
    <row r="15" spans="1:23" hidden="1">
      <c r="A15" s="439"/>
      <c r="B15" s="752"/>
      <c r="C15" s="752" t="s">
        <v>275</v>
      </c>
      <c r="D15" s="752"/>
      <c r="E15" s="753"/>
      <c r="F15" s="752"/>
      <c r="G15" s="754">
        <f t="shared" si="0"/>
        <v>122.25277777777778</v>
      </c>
      <c r="H15" s="755">
        <f t="shared" si="1"/>
        <v>-122.25277777777778</v>
      </c>
      <c r="I15" s="756"/>
      <c r="J15" s="429"/>
      <c r="K15" s="429"/>
      <c r="L15" s="429"/>
      <c r="M15" s="757">
        <f t="shared" si="2"/>
        <v>0</v>
      </c>
      <c r="N15" s="429"/>
      <c r="O15" s="430"/>
      <c r="P15" s="429"/>
      <c r="Q15" s="757">
        <f t="shared" ref="Q15:Q43" si="4">IF(H15&gt;0,I15-M15,0)</f>
        <v>0</v>
      </c>
      <c r="R15" s="754">
        <f t="shared" ref="R15:R22" si="5">IF($E15&lt;=$N$12,MIN(ABS($N$12-$E$12),ABS(O15-$E$12),ABS($N$12-E15),ABS(E15-O15)),0)</f>
        <v>0</v>
      </c>
      <c r="S15" s="757">
        <f>IF(OR(Table22[[#This Row],[Sales Details]]="Sold in current year",Table22[[#This Row],[Sales Details]]="Unsold"),IF(H15&gt;1,ROUND((Q15/F15)*R15/ABS($N$12-$E$12),0),K15-M15),0)</f>
        <v>0</v>
      </c>
      <c r="T15" s="757">
        <f t="shared" ref="T15:T22" si="6">IF(S15&lt;0,0,S15)</f>
        <v>0</v>
      </c>
      <c r="U15" s="754">
        <f>IF(OR(Table22[[#This Row],[Sales Details]]="Sold during previous years",Table22[[#This Row],[Sales Details]]="Sold in current year"),0,Table22[[#This Row],[ Balance as on 1st day of the year]]+Table22[[#This Row],[Addition during the year]]-Table22[[#This Row],[Depreciation  for the Year]])</f>
        <v>0</v>
      </c>
      <c r="V15" s="758">
        <f>IF(Table22[[#This Row],[Sales Details]]="Sold in current year",Table22[[#This Row],[Original Cost of Assets]],0)</f>
        <v>0</v>
      </c>
      <c r="W15" s="758">
        <f>IF(Table22[[#This Row],[Sales Details]]="Sold in current year",Table22[[#This Row],[Cumulative Depreciation as on the 1st day of year]]+Table22[[#This Row],[Depreciation  for the Year]],0)</f>
        <v>0</v>
      </c>
    </row>
    <row r="16" spans="1:23" hidden="1">
      <c r="A16" s="439"/>
      <c r="B16" s="752"/>
      <c r="C16" s="752" t="s">
        <v>276</v>
      </c>
      <c r="D16" s="752"/>
      <c r="E16" s="753"/>
      <c r="F16" s="752"/>
      <c r="G16" s="754">
        <f t="shared" si="0"/>
        <v>122.25277777777778</v>
      </c>
      <c r="H16" s="755">
        <f t="shared" si="1"/>
        <v>-122.25277777777778</v>
      </c>
      <c r="I16" s="756"/>
      <c r="J16" s="429"/>
      <c r="K16" s="429"/>
      <c r="L16" s="429"/>
      <c r="M16" s="757">
        <f t="shared" si="2"/>
        <v>0</v>
      </c>
      <c r="N16" s="429"/>
      <c r="O16" s="430"/>
      <c r="P16" s="429"/>
      <c r="Q16" s="757">
        <f t="shared" si="4"/>
        <v>0</v>
      </c>
      <c r="R16" s="754">
        <f t="shared" si="5"/>
        <v>0</v>
      </c>
      <c r="S16" s="757">
        <f>IF(OR(Table22[[#This Row],[Sales Details]]="Sold in current year",Table22[[#This Row],[Sales Details]]="Unsold"),IF(H16&gt;1,ROUND((Q16/F16)*R16/ABS($N$12-$E$12),0),K16-M16),0)</f>
        <v>0</v>
      </c>
      <c r="T16" s="757">
        <f t="shared" si="6"/>
        <v>0</v>
      </c>
      <c r="U16" s="754">
        <f>IF(OR(Table22[[#This Row],[Sales Details]]="Sold during previous years",Table22[[#This Row],[Sales Details]]="Sold in current year"),0,Table22[[#This Row],[ Balance as on 1st day of the year]]+Table22[[#This Row],[Addition during the year]]-Table22[[#This Row],[Depreciation  for the Year]])</f>
        <v>0</v>
      </c>
      <c r="V16" s="758">
        <f>IF(Table22[[#This Row],[Sales Details]]="Sold in current year",Table22[[#This Row],[Original Cost of Assets]],0)</f>
        <v>0</v>
      </c>
      <c r="W16" s="758">
        <f>IF(Table22[[#This Row],[Sales Details]]="Sold in current year",Table22[[#This Row],[Cumulative Depreciation as on the 1st day of year]]+Table22[[#This Row],[Depreciation  for the Year]],0)</f>
        <v>0</v>
      </c>
    </row>
    <row r="17" spans="1:23" hidden="1">
      <c r="A17" s="439"/>
      <c r="B17" s="752"/>
      <c r="C17" s="752" t="s">
        <v>277</v>
      </c>
      <c r="D17" s="752"/>
      <c r="E17" s="753"/>
      <c r="F17" s="752"/>
      <c r="G17" s="754">
        <f t="shared" si="0"/>
        <v>122.25277777777778</v>
      </c>
      <c r="H17" s="755">
        <f t="shared" si="1"/>
        <v>-122.25277777777778</v>
      </c>
      <c r="I17" s="756"/>
      <c r="J17" s="429"/>
      <c r="K17" s="429"/>
      <c r="L17" s="429"/>
      <c r="M17" s="757">
        <f t="shared" si="2"/>
        <v>0</v>
      </c>
      <c r="N17" s="429"/>
      <c r="O17" s="430"/>
      <c r="P17" s="429"/>
      <c r="Q17" s="757">
        <f t="shared" si="4"/>
        <v>0</v>
      </c>
      <c r="R17" s="754">
        <f t="shared" si="5"/>
        <v>0</v>
      </c>
      <c r="S17" s="757">
        <f>IF(OR(Table22[[#This Row],[Sales Details]]="Sold in current year",Table22[[#This Row],[Sales Details]]="Unsold"),IF(H17&gt;1,ROUND((Q17/F17)*R17/ABS($N$12-$E$12),0),K17-M17),0)</f>
        <v>0</v>
      </c>
      <c r="T17" s="757">
        <f t="shared" si="6"/>
        <v>0</v>
      </c>
      <c r="U17" s="754">
        <f>IF(OR(Table22[[#This Row],[Sales Details]]="Sold during previous years",Table22[[#This Row],[Sales Details]]="Sold in current year"),0,Table22[[#This Row],[ Balance as on 1st day of the year]]+Table22[[#This Row],[Addition during the year]]-Table22[[#This Row],[Depreciation  for the Year]])</f>
        <v>0</v>
      </c>
      <c r="V17" s="758">
        <f>IF(Table22[[#This Row],[Sales Details]]="Sold in current year",Table22[[#This Row],[Original Cost of Assets]],0)</f>
        <v>0</v>
      </c>
      <c r="W17" s="758">
        <f>IF(Table22[[#This Row],[Sales Details]]="Sold in current year",Table22[[#This Row],[Cumulative Depreciation as on the 1st day of year]]+Table22[[#This Row],[Depreciation  for the Year]],0)</f>
        <v>0</v>
      </c>
    </row>
    <row r="18" spans="1:23" hidden="1">
      <c r="A18" s="439"/>
      <c r="B18" s="752"/>
      <c r="C18" s="752" t="s">
        <v>278</v>
      </c>
      <c r="D18" s="752"/>
      <c r="E18" s="753"/>
      <c r="F18" s="752"/>
      <c r="G18" s="754">
        <f t="shared" si="0"/>
        <v>122.25277777777778</v>
      </c>
      <c r="H18" s="755">
        <f t="shared" si="1"/>
        <v>-122.25277777777778</v>
      </c>
      <c r="I18" s="756"/>
      <c r="J18" s="429"/>
      <c r="K18" s="429"/>
      <c r="L18" s="429"/>
      <c r="M18" s="757">
        <f t="shared" si="2"/>
        <v>0</v>
      </c>
      <c r="N18" s="429"/>
      <c r="O18" s="430"/>
      <c r="P18" s="429"/>
      <c r="Q18" s="757">
        <f t="shared" si="4"/>
        <v>0</v>
      </c>
      <c r="R18" s="754">
        <f t="shared" si="5"/>
        <v>0</v>
      </c>
      <c r="S18" s="757">
        <f>IF(OR(Table22[[#This Row],[Sales Details]]="Sold in current year",Table22[[#This Row],[Sales Details]]="Unsold"),IF(H18&gt;1,ROUND((Q18/F18)*R18/ABS($N$12-$E$12),0),K18-M18),0)</f>
        <v>0</v>
      </c>
      <c r="T18" s="757">
        <f t="shared" si="6"/>
        <v>0</v>
      </c>
      <c r="U18" s="754">
        <f>IF(OR(Table22[[#This Row],[Sales Details]]="Sold during previous years",Table22[[#This Row],[Sales Details]]="Sold in current year"),0,Table22[[#This Row],[ Balance as on 1st day of the year]]+Table22[[#This Row],[Addition during the year]]-Table22[[#This Row],[Depreciation  for the Year]])</f>
        <v>0</v>
      </c>
      <c r="V18" s="758">
        <f>IF(Table22[[#This Row],[Sales Details]]="Sold in current year",Table22[[#This Row],[Original Cost of Assets]],0)</f>
        <v>0</v>
      </c>
      <c r="W18" s="758">
        <f>IF(Table22[[#This Row],[Sales Details]]="Sold in current year",Table22[[#This Row],[Cumulative Depreciation as on the 1st day of year]]+Table22[[#This Row],[Depreciation  for the Year]],0)</f>
        <v>0</v>
      </c>
    </row>
    <row r="19" spans="1:23" hidden="1">
      <c r="A19" s="439"/>
      <c r="B19" s="752"/>
      <c r="C19" s="752" t="s">
        <v>425</v>
      </c>
      <c r="D19" s="752"/>
      <c r="E19" s="753"/>
      <c r="F19" s="752"/>
      <c r="G19" s="754">
        <f t="shared" si="0"/>
        <v>122.25277777777778</v>
      </c>
      <c r="H19" s="755">
        <f t="shared" si="1"/>
        <v>-122.25277777777778</v>
      </c>
      <c r="I19" s="756"/>
      <c r="J19" s="429"/>
      <c r="K19" s="429"/>
      <c r="L19" s="429"/>
      <c r="M19" s="757">
        <f t="shared" si="2"/>
        <v>0</v>
      </c>
      <c r="N19" s="429"/>
      <c r="O19" s="430"/>
      <c r="P19" s="429"/>
      <c r="Q19" s="757">
        <f t="shared" si="4"/>
        <v>0</v>
      </c>
      <c r="R19" s="754">
        <f t="shared" si="5"/>
        <v>0</v>
      </c>
      <c r="S19" s="757">
        <f>IF(OR(Table22[[#This Row],[Sales Details]]="Sold in current year",Table22[[#This Row],[Sales Details]]="Unsold"),IF(H19&gt;1,ROUND((Q19/F19)*R19/ABS($N$12-$E$12),0),K19-M19),0)</f>
        <v>0</v>
      </c>
      <c r="T19" s="757">
        <f t="shared" si="6"/>
        <v>0</v>
      </c>
      <c r="U19" s="754">
        <f>IF(OR(Table22[[#This Row],[Sales Details]]="Sold during previous years",Table22[[#This Row],[Sales Details]]="Sold in current year"),0,Table22[[#This Row],[ Balance as on 1st day of the year]]+Table22[[#This Row],[Addition during the year]]-Table22[[#This Row],[Depreciation  for the Year]])</f>
        <v>0</v>
      </c>
      <c r="V19" s="758">
        <f>IF(Table22[[#This Row],[Sales Details]]="Sold in current year",Table22[[#This Row],[Original Cost of Assets]],0)</f>
        <v>0</v>
      </c>
      <c r="W19" s="758">
        <f>IF(Table22[[#This Row],[Sales Details]]="Sold in current year",Table22[[#This Row],[Cumulative Depreciation as on the 1st day of year]]+Table22[[#This Row],[Depreciation  for the Year]],0)</f>
        <v>0</v>
      </c>
    </row>
    <row r="20" spans="1:23" hidden="1">
      <c r="A20" s="439"/>
      <c r="B20" s="752"/>
      <c r="C20" s="752" t="s">
        <v>279</v>
      </c>
      <c r="D20" s="752"/>
      <c r="E20" s="753"/>
      <c r="F20" s="752"/>
      <c r="G20" s="754">
        <f t="shared" si="0"/>
        <v>122.25277777777778</v>
      </c>
      <c r="H20" s="755">
        <f t="shared" si="1"/>
        <v>-122.25277777777778</v>
      </c>
      <c r="I20" s="756"/>
      <c r="J20" s="429"/>
      <c r="K20" s="429"/>
      <c r="L20" s="429"/>
      <c r="M20" s="757">
        <f t="shared" si="2"/>
        <v>0</v>
      </c>
      <c r="N20" s="429"/>
      <c r="O20" s="430"/>
      <c r="P20" s="429"/>
      <c r="Q20" s="757">
        <f t="shared" si="4"/>
        <v>0</v>
      </c>
      <c r="R20" s="754">
        <f t="shared" si="5"/>
        <v>0</v>
      </c>
      <c r="S20" s="757">
        <f>IF(OR(Table22[[#This Row],[Sales Details]]="Sold in current year",Table22[[#This Row],[Sales Details]]="Unsold"),IF(H20&gt;1,ROUND((Q20/F20)*R20/ABS($N$12-$E$12),0),K20-M20),0)</f>
        <v>0</v>
      </c>
      <c r="T20" s="757">
        <f t="shared" si="6"/>
        <v>0</v>
      </c>
      <c r="U20" s="754">
        <f>IF(OR(Table22[[#This Row],[Sales Details]]="Sold during previous years",Table22[[#This Row],[Sales Details]]="Sold in current year"),0,Table22[[#This Row],[ Balance as on 1st day of the year]]+Table22[[#This Row],[Addition during the year]]-Table22[[#This Row],[Depreciation  for the Year]])</f>
        <v>0</v>
      </c>
      <c r="V20" s="758">
        <f>IF(Table22[[#This Row],[Sales Details]]="Sold in current year",Table22[[#This Row],[Original Cost of Assets]],0)</f>
        <v>0</v>
      </c>
      <c r="W20" s="758">
        <f>IF(Table22[[#This Row],[Sales Details]]="Sold in current year",Table22[[#This Row],[Cumulative Depreciation as on the 1st day of year]]+Table22[[#This Row],[Depreciation  for the Year]],0)</f>
        <v>0</v>
      </c>
    </row>
    <row r="21" spans="1:23" hidden="1">
      <c r="A21" s="439"/>
      <c r="B21" s="752"/>
      <c r="C21" s="752" t="s">
        <v>280</v>
      </c>
      <c r="D21" s="752"/>
      <c r="E21" s="753"/>
      <c r="F21" s="752"/>
      <c r="G21" s="754">
        <f t="shared" si="0"/>
        <v>122.25277777777778</v>
      </c>
      <c r="H21" s="755">
        <f t="shared" si="1"/>
        <v>-122.25277777777778</v>
      </c>
      <c r="I21" s="756"/>
      <c r="J21" s="429"/>
      <c r="K21" s="429"/>
      <c r="L21" s="429"/>
      <c r="M21" s="757">
        <f t="shared" si="2"/>
        <v>0</v>
      </c>
      <c r="N21" s="429"/>
      <c r="O21" s="430"/>
      <c r="P21" s="429"/>
      <c r="Q21" s="757">
        <f t="shared" si="4"/>
        <v>0</v>
      </c>
      <c r="R21" s="754">
        <f t="shared" si="5"/>
        <v>0</v>
      </c>
      <c r="S21" s="757">
        <f>IF(OR(Table22[[#This Row],[Sales Details]]="Sold in current year",Table22[[#This Row],[Sales Details]]="Unsold"),IF(H21&gt;1,ROUND((Q21/F21)*R21/ABS($N$12-$E$12),0),K21-M21),0)</f>
        <v>0</v>
      </c>
      <c r="T21" s="757">
        <f t="shared" si="6"/>
        <v>0</v>
      </c>
      <c r="U21" s="754">
        <f>IF(OR(Table22[[#This Row],[Sales Details]]="Sold during previous years",Table22[[#This Row],[Sales Details]]="Sold in current year"),0,Table22[[#This Row],[ Balance as on 1st day of the year]]+Table22[[#This Row],[Addition during the year]]-Table22[[#This Row],[Depreciation  for the Year]])</f>
        <v>0</v>
      </c>
      <c r="V21" s="758">
        <f>IF(Table22[[#This Row],[Sales Details]]="Sold in current year",Table22[[#This Row],[Original Cost of Assets]],0)</f>
        <v>0</v>
      </c>
      <c r="W21" s="758">
        <f>IF(Table22[[#This Row],[Sales Details]]="Sold in current year",Table22[[#This Row],[Cumulative Depreciation as on the 1st day of year]]+Table22[[#This Row],[Depreciation  for the Year]],0)</f>
        <v>0</v>
      </c>
    </row>
    <row r="22" spans="1:23" hidden="1">
      <c r="A22" s="439"/>
      <c r="B22" s="752"/>
      <c r="C22" s="752" t="s">
        <v>281</v>
      </c>
      <c r="D22" s="752"/>
      <c r="E22" s="753"/>
      <c r="F22" s="752"/>
      <c r="G22" s="754">
        <f t="shared" si="0"/>
        <v>122.25277777777778</v>
      </c>
      <c r="H22" s="755">
        <f t="shared" si="1"/>
        <v>-122.25277777777778</v>
      </c>
      <c r="I22" s="756"/>
      <c r="J22" s="429"/>
      <c r="K22" s="429"/>
      <c r="L22" s="429"/>
      <c r="M22" s="757">
        <f t="shared" si="2"/>
        <v>0</v>
      </c>
      <c r="N22" s="429"/>
      <c r="O22" s="430"/>
      <c r="P22" s="429"/>
      <c r="Q22" s="757">
        <f t="shared" si="4"/>
        <v>0</v>
      </c>
      <c r="R22" s="754">
        <f t="shared" si="5"/>
        <v>0</v>
      </c>
      <c r="S22" s="757">
        <f>IF(OR(Table22[[#This Row],[Sales Details]]="Sold in current year",Table22[[#This Row],[Sales Details]]="Unsold"),IF(H22&gt;1,ROUND((Q22/F22)*R22/ABS($N$12-$E$12),0),K22-M22),0)</f>
        <v>0</v>
      </c>
      <c r="T22" s="757">
        <f t="shared" si="6"/>
        <v>0</v>
      </c>
      <c r="U22" s="754">
        <f>IF(OR(Table22[[#This Row],[Sales Details]]="Sold during previous years",Table22[[#This Row],[Sales Details]]="Sold in current year"),0,Table22[[#This Row],[ Balance as on 1st day of the year]]+Table22[[#This Row],[Addition during the year]]-Table22[[#This Row],[Depreciation  for the Year]])</f>
        <v>0</v>
      </c>
      <c r="V22" s="758">
        <f>IF(Table22[[#This Row],[Sales Details]]="Sold in current year",Table22[[#This Row],[Original Cost of Assets]],0)</f>
        <v>0</v>
      </c>
      <c r="W22" s="758">
        <f>IF(Table22[[#This Row],[Sales Details]]="Sold in current year",Table22[[#This Row],[Cumulative Depreciation as on the 1st day of year]]+Table22[[#This Row],[Depreciation  for the Year]],0)</f>
        <v>0</v>
      </c>
    </row>
    <row r="23" spans="1:23">
      <c r="A23" s="439"/>
      <c r="B23" s="752"/>
      <c r="C23" s="752"/>
      <c r="D23" s="752"/>
      <c r="E23" s="753"/>
      <c r="F23" s="752"/>
      <c r="G23" s="754">
        <f t="shared" ref="G23" si="7">IF($E23&lt;=$E$12,YEARFRAC(E23,$E$12),0)</f>
        <v>122.25277777777778</v>
      </c>
      <c r="H23" s="755">
        <f t="shared" ref="H23" si="8">F23-G23</f>
        <v>-122.25277777777778</v>
      </c>
      <c r="I23" s="756"/>
      <c r="J23" s="429"/>
      <c r="K23" s="429"/>
      <c r="L23" s="429"/>
      <c r="M23" s="757">
        <f t="shared" si="2"/>
        <v>0</v>
      </c>
      <c r="N23" s="429"/>
      <c r="O23" s="430"/>
      <c r="P23" s="429"/>
      <c r="Q23" s="757">
        <f t="shared" si="4"/>
        <v>0</v>
      </c>
      <c r="R23" s="754">
        <f t="shared" ref="R23:R43" si="9">IF($E23&lt;=$N$12,MIN(ABS($N$12-$E$12),ABS(O23-$E$12),ABS($N$12-E23),ABS(E23-O23)),0)</f>
        <v>0</v>
      </c>
      <c r="S23" s="757">
        <f>IF(OR(Table22[[#This Row],[Sales Details]]="Sold in current year",Table22[[#This Row],[Sales Details]]="Unsold"),IF(H23&gt;1,ROUND((Q23/F23)*R23/ABS($N$12-$E$12),0),K23-M23),0)</f>
        <v>0</v>
      </c>
      <c r="T23" s="757">
        <f t="shared" ref="T23:T43" si="10">IF(S23&lt;0,0,S23)</f>
        <v>0</v>
      </c>
      <c r="U23" s="754">
        <f>IF(OR(Table22[[#This Row],[Sales Details]]="Sold during previous years",Table22[[#This Row],[Sales Details]]="Sold in current year"),0,Table22[[#This Row],[ Balance as on 1st day of the year]]+Table22[[#This Row],[Addition during the year]]-Table22[[#This Row],[Depreciation  for the Year]])</f>
        <v>0</v>
      </c>
      <c r="V23" s="758">
        <f>IF(Table22[[#This Row],[Sales Details]]="Sold in current year",Table22[[#This Row],[Original Cost of Assets]],0)</f>
        <v>0</v>
      </c>
      <c r="W23" s="758">
        <f>IF(Table22[[#This Row],[Sales Details]]="Sold in current year",Table22[[#This Row],[Cumulative Depreciation as on the 1st day of year]]+Table22[[#This Row],[Depreciation  for the Year]],0)</f>
        <v>0</v>
      </c>
    </row>
    <row r="24" spans="1:23">
      <c r="A24" s="439"/>
      <c r="B24" s="752"/>
      <c r="C24" s="752"/>
      <c r="D24" s="752"/>
      <c r="E24" s="753"/>
      <c r="F24" s="752"/>
      <c r="G24" s="754"/>
      <c r="H24" s="755"/>
      <c r="I24" s="756"/>
      <c r="J24" s="429"/>
      <c r="K24" s="429"/>
      <c r="L24" s="429"/>
      <c r="M24" s="757">
        <f t="shared" si="2"/>
        <v>0</v>
      </c>
      <c r="N24" s="429"/>
      <c r="O24" s="430"/>
      <c r="P24" s="429"/>
      <c r="Q24" s="757">
        <f t="shared" si="4"/>
        <v>0</v>
      </c>
      <c r="R24" s="754">
        <f t="shared" si="9"/>
        <v>0</v>
      </c>
      <c r="S24" s="757"/>
      <c r="T24" s="757">
        <f t="shared" si="10"/>
        <v>0</v>
      </c>
      <c r="U24" s="754">
        <f>IF(OR(Table22[[#This Row],[Sales Details]]="Sold during previous years",Table22[[#This Row],[Sales Details]]="Sold in current year"),0,Table22[[#This Row],[ Balance as on 1st day of the year]]+Table22[[#This Row],[Addition during the year]]-Table22[[#This Row],[Depreciation  for the Year]])</f>
        <v>0</v>
      </c>
      <c r="V24" s="758">
        <f>IF(Table22[[#This Row],[Sales Details]]="Sold in current year",Table22[[#This Row],[Original Cost of Assets]],0)</f>
        <v>0</v>
      </c>
      <c r="W24" s="758">
        <f>IF(Table22[[#This Row],[Sales Details]]="Sold in current year",Table22[[#This Row],[Cumulative Depreciation as on the 1st day of year]]+Table22[[#This Row],[Depreciation  for the Year]],0)</f>
        <v>0</v>
      </c>
    </row>
    <row r="25" spans="1:23">
      <c r="A25" s="439"/>
      <c r="B25" s="752"/>
      <c r="C25" s="752"/>
      <c r="D25" s="752"/>
      <c r="E25" s="753"/>
      <c r="F25" s="752"/>
      <c r="G25" s="754"/>
      <c r="H25" s="755"/>
      <c r="I25" s="756"/>
      <c r="J25" s="429"/>
      <c r="K25" s="429"/>
      <c r="L25" s="429"/>
      <c r="M25" s="757">
        <f t="shared" si="2"/>
        <v>0</v>
      </c>
      <c r="N25" s="429"/>
      <c r="O25" s="430"/>
      <c r="P25" s="429"/>
      <c r="Q25" s="757">
        <f t="shared" si="4"/>
        <v>0</v>
      </c>
      <c r="R25" s="754">
        <f t="shared" si="9"/>
        <v>0</v>
      </c>
      <c r="S25" s="757"/>
      <c r="T25" s="757">
        <f t="shared" si="10"/>
        <v>0</v>
      </c>
      <c r="U25" s="754">
        <f>IF(OR(Table22[[#This Row],[Sales Details]]="Sold during previous years",Table22[[#This Row],[Sales Details]]="Sold in current year"),0,Table22[[#This Row],[ Balance as on 1st day of the year]]+Table22[[#This Row],[Addition during the year]]-Table22[[#This Row],[Depreciation  for the Year]])</f>
        <v>0</v>
      </c>
      <c r="V25" s="758">
        <f>IF(Table22[[#This Row],[Sales Details]]="Sold in current year",Table22[[#This Row],[Original Cost of Assets]],0)</f>
        <v>0</v>
      </c>
      <c r="W25" s="758">
        <f>IF(Table22[[#This Row],[Sales Details]]="Sold in current year",Table22[[#This Row],[Cumulative Depreciation as on the 1st day of year]]+Table22[[#This Row],[Depreciation  for the Year]],0)</f>
        <v>0</v>
      </c>
    </row>
    <row r="26" spans="1:23">
      <c r="A26" s="439"/>
      <c r="B26" s="752"/>
      <c r="C26" s="752"/>
      <c r="D26" s="752"/>
      <c r="E26" s="753"/>
      <c r="F26" s="752"/>
      <c r="G26" s="754"/>
      <c r="H26" s="755"/>
      <c r="I26" s="756"/>
      <c r="J26" s="429"/>
      <c r="K26" s="429"/>
      <c r="L26" s="429"/>
      <c r="M26" s="757">
        <f t="shared" si="2"/>
        <v>0</v>
      </c>
      <c r="N26" s="429"/>
      <c r="O26" s="430"/>
      <c r="P26" s="429"/>
      <c r="Q26" s="757">
        <f t="shared" si="4"/>
        <v>0</v>
      </c>
      <c r="R26" s="754">
        <f t="shared" si="9"/>
        <v>0</v>
      </c>
      <c r="S26" s="757"/>
      <c r="T26" s="757">
        <f t="shared" si="10"/>
        <v>0</v>
      </c>
      <c r="U26" s="754">
        <f>IF(OR(Table22[[#This Row],[Sales Details]]="Sold during previous years",Table22[[#This Row],[Sales Details]]="Sold in current year"),0,Table22[[#This Row],[ Balance as on 1st day of the year]]+Table22[[#This Row],[Addition during the year]]-Table22[[#This Row],[Depreciation  for the Year]])</f>
        <v>0</v>
      </c>
      <c r="V26" s="758">
        <f>IF(Table22[[#This Row],[Sales Details]]="Sold in current year",Table22[[#This Row],[Original Cost of Assets]],0)</f>
        <v>0</v>
      </c>
      <c r="W26" s="758">
        <f>IF(Table22[[#This Row],[Sales Details]]="Sold in current year",Table22[[#This Row],[Cumulative Depreciation as on the 1st day of year]]+Table22[[#This Row],[Depreciation  for the Year]],0)</f>
        <v>0</v>
      </c>
    </row>
    <row r="27" spans="1:23">
      <c r="A27" s="439"/>
      <c r="B27" s="752"/>
      <c r="C27" s="752"/>
      <c r="D27" s="752"/>
      <c r="E27" s="753"/>
      <c r="F27" s="752"/>
      <c r="G27" s="754"/>
      <c r="H27" s="755"/>
      <c r="I27" s="756"/>
      <c r="J27" s="429"/>
      <c r="K27" s="429"/>
      <c r="L27" s="429"/>
      <c r="M27" s="757">
        <f t="shared" si="2"/>
        <v>0</v>
      </c>
      <c r="N27" s="429"/>
      <c r="O27" s="430"/>
      <c r="P27" s="429"/>
      <c r="Q27" s="757">
        <f t="shared" si="4"/>
        <v>0</v>
      </c>
      <c r="R27" s="754">
        <f t="shared" si="9"/>
        <v>0</v>
      </c>
      <c r="S27" s="757"/>
      <c r="T27" s="757">
        <f t="shared" si="10"/>
        <v>0</v>
      </c>
      <c r="U27" s="754">
        <f>IF(OR(Table22[[#This Row],[Sales Details]]="Sold during previous years",Table22[[#This Row],[Sales Details]]="Sold in current year"),0,Table22[[#This Row],[ Balance as on 1st day of the year]]+Table22[[#This Row],[Addition during the year]]-Table22[[#This Row],[Depreciation  for the Year]])</f>
        <v>0</v>
      </c>
      <c r="V27" s="758">
        <f>IF(Table22[[#This Row],[Sales Details]]="Sold in current year",Table22[[#This Row],[Original Cost of Assets]],0)</f>
        <v>0</v>
      </c>
      <c r="W27" s="758">
        <f>IF(Table22[[#This Row],[Sales Details]]="Sold in current year",Table22[[#This Row],[Cumulative Depreciation as on the 1st day of year]]+Table22[[#This Row],[Depreciation  for the Year]],0)</f>
        <v>0</v>
      </c>
    </row>
    <row r="28" spans="1:23">
      <c r="A28" s="439"/>
      <c r="B28" s="752"/>
      <c r="C28" s="752"/>
      <c r="D28" s="752"/>
      <c r="E28" s="753"/>
      <c r="F28" s="752"/>
      <c r="G28" s="754"/>
      <c r="H28" s="755"/>
      <c r="I28" s="756"/>
      <c r="J28" s="429"/>
      <c r="K28" s="429"/>
      <c r="L28" s="429"/>
      <c r="M28" s="757">
        <f t="shared" si="2"/>
        <v>0</v>
      </c>
      <c r="N28" s="429"/>
      <c r="O28" s="430"/>
      <c r="P28" s="429"/>
      <c r="Q28" s="757">
        <f t="shared" si="4"/>
        <v>0</v>
      </c>
      <c r="R28" s="754">
        <f t="shared" si="9"/>
        <v>0</v>
      </c>
      <c r="S28" s="757"/>
      <c r="T28" s="757">
        <f t="shared" si="10"/>
        <v>0</v>
      </c>
      <c r="U28" s="754">
        <f>IF(OR(Table22[[#This Row],[Sales Details]]="Sold during previous years",Table22[[#This Row],[Sales Details]]="Sold in current year"),0,Table22[[#This Row],[ Balance as on 1st day of the year]]+Table22[[#This Row],[Addition during the year]]-Table22[[#This Row],[Depreciation  for the Year]])</f>
        <v>0</v>
      </c>
      <c r="V28" s="758">
        <f>IF(Table22[[#This Row],[Sales Details]]="Sold in current year",Table22[[#This Row],[Original Cost of Assets]],0)</f>
        <v>0</v>
      </c>
      <c r="W28" s="758">
        <f>IF(Table22[[#This Row],[Sales Details]]="Sold in current year",Table22[[#This Row],[Cumulative Depreciation as on the 1st day of year]]+Table22[[#This Row],[Depreciation  for the Year]],0)</f>
        <v>0</v>
      </c>
    </row>
    <row r="29" spans="1:23">
      <c r="A29" s="439"/>
      <c r="B29" s="752"/>
      <c r="C29" s="752"/>
      <c r="D29" s="752"/>
      <c r="E29" s="753"/>
      <c r="F29" s="752"/>
      <c r="G29" s="754"/>
      <c r="H29" s="755"/>
      <c r="I29" s="756"/>
      <c r="J29" s="429"/>
      <c r="K29" s="429"/>
      <c r="L29" s="429"/>
      <c r="M29" s="757">
        <f t="shared" si="2"/>
        <v>0</v>
      </c>
      <c r="N29" s="429"/>
      <c r="O29" s="430"/>
      <c r="P29" s="429"/>
      <c r="Q29" s="757">
        <f t="shared" si="4"/>
        <v>0</v>
      </c>
      <c r="R29" s="754">
        <f t="shared" si="9"/>
        <v>0</v>
      </c>
      <c r="S29" s="757"/>
      <c r="T29" s="757">
        <f t="shared" si="10"/>
        <v>0</v>
      </c>
      <c r="U29" s="754">
        <f>IF(OR(Table22[[#This Row],[Sales Details]]="Sold during previous years",Table22[[#This Row],[Sales Details]]="Sold in current year"),0,Table22[[#This Row],[ Balance as on 1st day of the year]]+Table22[[#This Row],[Addition during the year]]-Table22[[#This Row],[Depreciation  for the Year]])</f>
        <v>0</v>
      </c>
      <c r="V29" s="758">
        <f>IF(Table22[[#This Row],[Sales Details]]="Sold in current year",Table22[[#This Row],[Original Cost of Assets]],0)</f>
        <v>0</v>
      </c>
      <c r="W29" s="758">
        <f>IF(Table22[[#This Row],[Sales Details]]="Sold in current year",Table22[[#This Row],[Cumulative Depreciation as on the 1st day of year]]+Table22[[#This Row],[Depreciation  for the Year]],0)</f>
        <v>0</v>
      </c>
    </row>
    <row r="30" spans="1:23">
      <c r="A30" s="439"/>
      <c r="B30" s="752"/>
      <c r="C30" s="752"/>
      <c r="D30" s="752"/>
      <c r="E30" s="753"/>
      <c r="F30" s="752"/>
      <c r="G30" s="754"/>
      <c r="H30" s="755"/>
      <c r="I30" s="756"/>
      <c r="J30" s="429"/>
      <c r="K30" s="429"/>
      <c r="L30" s="429"/>
      <c r="M30" s="757">
        <f t="shared" si="2"/>
        <v>0</v>
      </c>
      <c r="N30" s="429"/>
      <c r="O30" s="430"/>
      <c r="P30" s="429"/>
      <c r="Q30" s="757">
        <f t="shared" si="4"/>
        <v>0</v>
      </c>
      <c r="R30" s="754">
        <f t="shared" si="9"/>
        <v>0</v>
      </c>
      <c r="S30" s="757"/>
      <c r="T30" s="757">
        <f t="shared" si="10"/>
        <v>0</v>
      </c>
      <c r="U30" s="754">
        <f>IF(OR(Table22[[#This Row],[Sales Details]]="Sold during previous years",Table22[[#This Row],[Sales Details]]="Sold in current year"),0,Table22[[#This Row],[ Balance as on 1st day of the year]]+Table22[[#This Row],[Addition during the year]]-Table22[[#This Row],[Depreciation  for the Year]])</f>
        <v>0</v>
      </c>
      <c r="V30" s="758">
        <f>IF(Table22[[#This Row],[Sales Details]]="Sold in current year",Table22[[#This Row],[Original Cost of Assets]],0)</f>
        <v>0</v>
      </c>
      <c r="W30" s="758">
        <f>IF(Table22[[#This Row],[Sales Details]]="Sold in current year",Table22[[#This Row],[Cumulative Depreciation as on the 1st day of year]]+Table22[[#This Row],[Depreciation  for the Year]],0)</f>
        <v>0</v>
      </c>
    </row>
    <row r="31" spans="1:23">
      <c r="A31" s="439"/>
      <c r="B31" s="752"/>
      <c r="C31" s="752"/>
      <c r="D31" s="752"/>
      <c r="E31" s="753"/>
      <c r="F31" s="752"/>
      <c r="G31" s="754"/>
      <c r="H31" s="755"/>
      <c r="I31" s="756"/>
      <c r="J31" s="429"/>
      <c r="K31" s="429"/>
      <c r="L31" s="429"/>
      <c r="M31" s="757">
        <f t="shared" si="2"/>
        <v>0</v>
      </c>
      <c r="N31" s="429"/>
      <c r="O31" s="430"/>
      <c r="P31" s="429"/>
      <c r="Q31" s="757">
        <f t="shared" si="4"/>
        <v>0</v>
      </c>
      <c r="R31" s="754">
        <f t="shared" si="9"/>
        <v>0</v>
      </c>
      <c r="S31" s="757"/>
      <c r="T31" s="757">
        <f t="shared" si="10"/>
        <v>0</v>
      </c>
      <c r="U31" s="754">
        <f>IF(OR(Table22[[#This Row],[Sales Details]]="Sold during previous years",Table22[[#This Row],[Sales Details]]="Sold in current year"),0,Table22[[#This Row],[ Balance as on 1st day of the year]]+Table22[[#This Row],[Addition during the year]]-Table22[[#This Row],[Depreciation  for the Year]])</f>
        <v>0</v>
      </c>
      <c r="V31" s="758">
        <f>IF(Table22[[#This Row],[Sales Details]]="Sold in current year",Table22[[#This Row],[Original Cost of Assets]],0)</f>
        <v>0</v>
      </c>
      <c r="W31" s="758">
        <f>IF(Table22[[#This Row],[Sales Details]]="Sold in current year",Table22[[#This Row],[Cumulative Depreciation as on the 1st day of year]]+Table22[[#This Row],[Depreciation  for the Year]],0)</f>
        <v>0</v>
      </c>
    </row>
    <row r="32" spans="1:23">
      <c r="A32" s="439"/>
      <c r="B32" s="752"/>
      <c r="C32" s="752"/>
      <c r="D32" s="752"/>
      <c r="E32" s="753"/>
      <c r="F32" s="752"/>
      <c r="G32" s="754"/>
      <c r="H32" s="755"/>
      <c r="I32" s="756"/>
      <c r="J32" s="429"/>
      <c r="K32" s="429"/>
      <c r="L32" s="429"/>
      <c r="M32" s="757">
        <f t="shared" si="2"/>
        <v>0</v>
      </c>
      <c r="N32" s="429"/>
      <c r="O32" s="430"/>
      <c r="P32" s="429"/>
      <c r="Q32" s="757">
        <f t="shared" si="4"/>
        <v>0</v>
      </c>
      <c r="R32" s="754">
        <f t="shared" si="9"/>
        <v>0</v>
      </c>
      <c r="S32" s="757"/>
      <c r="T32" s="757">
        <f t="shared" si="10"/>
        <v>0</v>
      </c>
      <c r="U32" s="754">
        <f>IF(OR(Table22[[#This Row],[Sales Details]]="Sold during previous years",Table22[[#This Row],[Sales Details]]="Sold in current year"),0,Table22[[#This Row],[ Balance as on 1st day of the year]]+Table22[[#This Row],[Addition during the year]]-Table22[[#This Row],[Depreciation  for the Year]])</f>
        <v>0</v>
      </c>
      <c r="V32" s="758">
        <f>IF(Table22[[#This Row],[Sales Details]]="Sold in current year",Table22[[#This Row],[Original Cost of Assets]],0)</f>
        <v>0</v>
      </c>
      <c r="W32" s="758">
        <f>IF(Table22[[#This Row],[Sales Details]]="Sold in current year",Table22[[#This Row],[Cumulative Depreciation as on the 1st day of year]]+Table22[[#This Row],[Depreciation  for the Year]],0)</f>
        <v>0</v>
      </c>
    </row>
    <row r="33" spans="1:23">
      <c r="A33" s="439"/>
      <c r="B33" s="752"/>
      <c r="C33" s="752"/>
      <c r="D33" s="752"/>
      <c r="E33" s="753"/>
      <c r="F33" s="752"/>
      <c r="G33" s="754"/>
      <c r="H33" s="755"/>
      <c r="I33" s="756"/>
      <c r="J33" s="429"/>
      <c r="K33" s="429"/>
      <c r="L33" s="429"/>
      <c r="M33" s="757">
        <f t="shared" si="2"/>
        <v>0</v>
      </c>
      <c r="N33" s="429"/>
      <c r="O33" s="430"/>
      <c r="P33" s="429"/>
      <c r="Q33" s="757">
        <f t="shared" si="4"/>
        <v>0</v>
      </c>
      <c r="R33" s="754">
        <f t="shared" si="9"/>
        <v>0</v>
      </c>
      <c r="S33" s="757"/>
      <c r="T33" s="757">
        <f t="shared" si="10"/>
        <v>0</v>
      </c>
      <c r="U33" s="754">
        <f>IF(OR(Table22[[#This Row],[Sales Details]]="Sold during previous years",Table22[[#This Row],[Sales Details]]="Sold in current year"),0,Table22[[#This Row],[ Balance as on 1st day of the year]]+Table22[[#This Row],[Addition during the year]]-Table22[[#This Row],[Depreciation  for the Year]])</f>
        <v>0</v>
      </c>
      <c r="V33" s="758">
        <f>IF(Table22[[#This Row],[Sales Details]]="Sold in current year",Table22[[#This Row],[Original Cost of Assets]],0)</f>
        <v>0</v>
      </c>
      <c r="W33" s="758">
        <f>IF(Table22[[#This Row],[Sales Details]]="Sold in current year",Table22[[#This Row],[Cumulative Depreciation as on the 1st day of year]]+Table22[[#This Row],[Depreciation  for the Year]],0)</f>
        <v>0</v>
      </c>
    </row>
    <row r="34" spans="1:23">
      <c r="A34" s="439"/>
      <c r="B34" s="752"/>
      <c r="C34" s="752"/>
      <c r="D34" s="752"/>
      <c r="E34" s="753"/>
      <c r="F34" s="752"/>
      <c r="G34" s="754"/>
      <c r="H34" s="755"/>
      <c r="I34" s="756"/>
      <c r="J34" s="429"/>
      <c r="K34" s="429"/>
      <c r="L34" s="429"/>
      <c r="M34" s="757">
        <f t="shared" si="2"/>
        <v>0</v>
      </c>
      <c r="N34" s="429"/>
      <c r="O34" s="430"/>
      <c r="P34" s="429"/>
      <c r="Q34" s="757">
        <f t="shared" si="4"/>
        <v>0</v>
      </c>
      <c r="R34" s="754">
        <f t="shared" si="9"/>
        <v>0</v>
      </c>
      <c r="S34" s="757"/>
      <c r="T34" s="757">
        <f t="shared" si="10"/>
        <v>0</v>
      </c>
      <c r="U34" s="754">
        <f>IF(OR(Table22[[#This Row],[Sales Details]]="Sold during previous years",Table22[[#This Row],[Sales Details]]="Sold in current year"),0,Table22[[#This Row],[ Balance as on 1st day of the year]]+Table22[[#This Row],[Addition during the year]]-Table22[[#This Row],[Depreciation  for the Year]])</f>
        <v>0</v>
      </c>
      <c r="V34" s="758">
        <f>IF(Table22[[#This Row],[Sales Details]]="Sold in current year",Table22[[#This Row],[Original Cost of Assets]],0)</f>
        <v>0</v>
      </c>
      <c r="W34" s="758">
        <f>IF(Table22[[#This Row],[Sales Details]]="Sold in current year",Table22[[#This Row],[Cumulative Depreciation as on the 1st day of year]]+Table22[[#This Row],[Depreciation  for the Year]],0)</f>
        <v>0</v>
      </c>
    </row>
    <row r="35" spans="1:23">
      <c r="A35" s="439"/>
      <c r="B35" s="752"/>
      <c r="C35" s="752"/>
      <c r="D35" s="752"/>
      <c r="E35" s="753"/>
      <c r="F35" s="752"/>
      <c r="G35" s="754"/>
      <c r="H35" s="755"/>
      <c r="I35" s="756"/>
      <c r="J35" s="429"/>
      <c r="K35" s="429"/>
      <c r="L35" s="429"/>
      <c r="M35" s="757">
        <f t="shared" si="2"/>
        <v>0</v>
      </c>
      <c r="N35" s="429"/>
      <c r="O35" s="430"/>
      <c r="P35" s="429"/>
      <c r="Q35" s="757">
        <f t="shared" si="4"/>
        <v>0</v>
      </c>
      <c r="R35" s="754">
        <f t="shared" si="9"/>
        <v>0</v>
      </c>
      <c r="S35" s="757"/>
      <c r="T35" s="757">
        <f t="shared" si="10"/>
        <v>0</v>
      </c>
      <c r="U35" s="754">
        <f>IF(OR(Table22[[#This Row],[Sales Details]]="Sold during previous years",Table22[[#This Row],[Sales Details]]="Sold in current year"),0,Table22[[#This Row],[ Balance as on 1st day of the year]]+Table22[[#This Row],[Addition during the year]]-Table22[[#This Row],[Depreciation  for the Year]])</f>
        <v>0</v>
      </c>
      <c r="V35" s="758">
        <f>IF(Table22[[#This Row],[Sales Details]]="Sold in current year",Table22[[#This Row],[Original Cost of Assets]],0)</f>
        <v>0</v>
      </c>
      <c r="W35" s="758">
        <f>IF(Table22[[#This Row],[Sales Details]]="Sold in current year",Table22[[#This Row],[Cumulative Depreciation as on the 1st day of year]]+Table22[[#This Row],[Depreciation  for the Year]],0)</f>
        <v>0</v>
      </c>
    </row>
    <row r="36" spans="1:23">
      <c r="A36" s="439"/>
      <c r="B36" s="752"/>
      <c r="C36" s="752"/>
      <c r="D36" s="752"/>
      <c r="E36" s="753"/>
      <c r="F36" s="752"/>
      <c r="G36" s="754"/>
      <c r="H36" s="755"/>
      <c r="I36" s="756"/>
      <c r="J36" s="429"/>
      <c r="K36" s="429"/>
      <c r="L36" s="429"/>
      <c r="M36" s="757">
        <f t="shared" si="2"/>
        <v>0</v>
      </c>
      <c r="N36" s="429"/>
      <c r="O36" s="430"/>
      <c r="P36" s="429"/>
      <c r="Q36" s="757">
        <f t="shared" si="4"/>
        <v>0</v>
      </c>
      <c r="R36" s="754">
        <f t="shared" si="9"/>
        <v>0</v>
      </c>
      <c r="S36" s="757"/>
      <c r="T36" s="757">
        <f t="shared" si="10"/>
        <v>0</v>
      </c>
      <c r="U36" s="754">
        <f>IF(OR(Table22[[#This Row],[Sales Details]]="Sold during previous years",Table22[[#This Row],[Sales Details]]="Sold in current year"),0,Table22[[#This Row],[ Balance as on 1st day of the year]]+Table22[[#This Row],[Addition during the year]]-Table22[[#This Row],[Depreciation  for the Year]])</f>
        <v>0</v>
      </c>
      <c r="V36" s="758">
        <f>IF(Table22[[#This Row],[Sales Details]]="Sold in current year",Table22[[#This Row],[Original Cost of Assets]],0)</f>
        <v>0</v>
      </c>
      <c r="W36" s="758">
        <f>IF(Table22[[#This Row],[Sales Details]]="Sold in current year",Table22[[#This Row],[Cumulative Depreciation as on the 1st day of year]]+Table22[[#This Row],[Depreciation  for the Year]],0)</f>
        <v>0</v>
      </c>
    </row>
    <row r="37" spans="1:23">
      <c r="A37" s="439"/>
      <c r="B37" s="752"/>
      <c r="C37" s="752"/>
      <c r="D37" s="752"/>
      <c r="E37" s="753"/>
      <c r="F37" s="752"/>
      <c r="G37" s="754"/>
      <c r="H37" s="755"/>
      <c r="I37" s="756"/>
      <c r="J37" s="429"/>
      <c r="K37" s="429"/>
      <c r="L37" s="429"/>
      <c r="M37" s="757">
        <f t="shared" si="2"/>
        <v>0</v>
      </c>
      <c r="N37" s="429"/>
      <c r="O37" s="430"/>
      <c r="P37" s="429"/>
      <c r="Q37" s="757">
        <f t="shared" si="4"/>
        <v>0</v>
      </c>
      <c r="R37" s="754">
        <f t="shared" si="9"/>
        <v>0</v>
      </c>
      <c r="S37" s="757"/>
      <c r="T37" s="757">
        <f t="shared" si="10"/>
        <v>0</v>
      </c>
      <c r="U37" s="754">
        <f>IF(OR(Table22[[#This Row],[Sales Details]]="Sold during previous years",Table22[[#This Row],[Sales Details]]="Sold in current year"),0,Table22[[#This Row],[ Balance as on 1st day of the year]]+Table22[[#This Row],[Addition during the year]]-Table22[[#This Row],[Depreciation  for the Year]])</f>
        <v>0</v>
      </c>
      <c r="V37" s="758">
        <f>IF(Table22[[#This Row],[Sales Details]]="Sold in current year",Table22[[#This Row],[Original Cost of Assets]],0)</f>
        <v>0</v>
      </c>
      <c r="W37" s="758">
        <f>IF(Table22[[#This Row],[Sales Details]]="Sold in current year",Table22[[#This Row],[Cumulative Depreciation as on the 1st day of year]]+Table22[[#This Row],[Depreciation  for the Year]],0)</f>
        <v>0</v>
      </c>
    </row>
    <row r="38" spans="1:23">
      <c r="A38" s="439"/>
      <c r="B38" s="752"/>
      <c r="C38" s="752"/>
      <c r="D38" s="752"/>
      <c r="E38" s="753"/>
      <c r="F38" s="752"/>
      <c r="G38" s="754"/>
      <c r="H38" s="755"/>
      <c r="I38" s="756"/>
      <c r="J38" s="429"/>
      <c r="K38" s="429"/>
      <c r="L38" s="429"/>
      <c r="M38" s="757">
        <f t="shared" si="2"/>
        <v>0</v>
      </c>
      <c r="N38" s="429"/>
      <c r="O38" s="430"/>
      <c r="P38" s="429"/>
      <c r="Q38" s="757">
        <f t="shared" si="4"/>
        <v>0</v>
      </c>
      <c r="R38" s="754">
        <f t="shared" si="9"/>
        <v>0</v>
      </c>
      <c r="S38" s="757"/>
      <c r="T38" s="757">
        <f t="shared" si="10"/>
        <v>0</v>
      </c>
      <c r="U38" s="754">
        <f>IF(OR(Table22[[#This Row],[Sales Details]]="Sold during previous years",Table22[[#This Row],[Sales Details]]="Sold in current year"),0,Table22[[#This Row],[ Balance as on 1st day of the year]]+Table22[[#This Row],[Addition during the year]]-Table22[[#This Row],[Depreciation  for the Year]])</f>
        <v>0</v>
      </c>
      <c r="V38" s="758">
        <f>IF(Table22[[#This Row],[Sales Details]]="Sold in current year",Table22[[#This Row],[Original Cost of Assets]],0)</f>
        <v>0</v>
      </c>
      <c r="W38" s="758">
        <f>IF(Table22[[#This Row],[Sales Details]]="Sold in current year",Table22[[#This Row],[Cumulative Depreciation as on the 1st day of year]]+Table22[[#This Row],[Depreciation  for the Year]],0)</f>
        <v>0</v>
      </c>
    </row>
    <row r="39" spans="1:23">
      <c r="A39" s="439"/>
      <c r="B39" s="752"/>
      <c r="C39" s="752"/>
      <c r="D39" s="752"/>
      <c r="E39" s="753"/>
      <c r="F39" s="752"/>
      <c r="G39" s="754"/>
      <c r="H39" s="755"/>
      <c r="I39" s="756"/>
      <c r="J39" s="429"/>
      <c r="K39" s="429"/>
      <c r="L39" s="429"/>
      <c r="M39" s="757">
        <f t="shared" si="2"/>
        <v>0</v>
      </c>
      <c r="N39" s="429"/>
      <c r="O39" s="430"/>
      <c r="P39" s="429"/>
      <c r="Q39" s="757">
        <f t="shared" si="4"/>
        <v>0</v>
      </c>
      <c r="R39" s="754">
        <f t="shared" si="9"/>
        <v>0</v>
      </c>
      <c r="S39" s="757"/>
      <c r="T39" s="757">
        <f t="shared" si="10"/>
        <v>0</v>
      </c>
      <c r="U39" s="754">
        <f>IF(OR(Table22[[#This Row],[Sales Details]]="Sold during previous years",Table22[[#This Row],[Sales Details]]="Sold in current year"),0,Table22[[#This Row],[ Balance as on 1st day of the year]]+Table22[[#This Row],[Addition during the year]]-Table22[[#This Row],[Depreciation  for the Year]])</f>
        <v>0</v>
      </c>
      <c r="V39" s="758">
        <f>IF(Table22[[#This Row],[Sales Details]]="Sold in current year",Table22[[#This Row],[Original Cost of Assets]],0)</f>
        <v>0</v>
      </c>
      <c r="W39" s="758">
        <f>IF(Table22[[#This Row],[Sales Details]]="Sold in current year",Table22[[#This Row],[Cumulative Depreciation as on the 1st day of year]]+Table22[[#This Row],[Depreciation  for the Year]],0)</f>
        <v>0</v>
      </c>
    </row>
    <row r="40" spans="1:23">
      <c r="A40" s="439"/>
      <c r="B40" s="752"/>
      <c r="C40" s="752"/>
      <c r="D40" s="752"/>
      <c r="E40" s="753"/>
      <c r="F40" s="752"/>
      <c r="G40" s="754"/>
      <c r="H40" s="755"/>
      <c r="I40" s="756"/>
      <c r="J40" s="429"/>
      <c r="K40" s="429"/>
      <c r="L40" s="429"/>
      <c r="M40" s="757">
        <f t="shared" si="2"/>
        <v>0</v>
      </c>
      <c r="N40" s="429"/>
      <c r="O40" s="430"/>
      <c r="P40" s="429"/>
      <c r="Q40" s="757">
        <f t="shared" si="4"/>
        <v>0</v>
      </c>
      <c r="R40" s="754">
        <f t="shared" si="9"/>
        <v>0</v>
      </c>
      <c r="S40" s="757"/>
      <c r="T40" s="757">
        <f t="shared" si="10"/>
        <v>0</v>
      </c>
      <c r="U40" s="754">
        <f>IF(OR(Table22[[#This Row],[Sales Details]]="Sold during previous years",Table22[[#This Row],[Sales Details]]="Sold in current year"),0,Table22[[#This Row],[ Balance as on 1st day of the year]]+Table22[[#This Row],[Addition during the year]]-Table22[[#This Row],[Depreciation  for the Year]])</f>
        <v>0</v>
      </c>
      <c r="V40" s="758">
        <f>IF(Table22[[#This Row],[Sales Details]]="Sold in current year",Table22[[#This Row],[Original Cost of Assets]],0)</f>
        <v>0</v>
      </c>
      <c r="W40" s="758">
        <f>IF(Table22[[#This Row],[Sales Details]]="Sold in current year",Table22[[#This Row],[Cumulative Depreciation as on the 1st day of year]]+Table22[[#This Row],[Depreciation  for the Year]],0)</f>
        <v>0</v>
      </c>
    </row>
    <row r="41" spans="1:23">
      <c r="A41" s="439"/>
      <c r="B41" s="752"/>
      <c r="C41" s="752"/>
      <c r="D41" s="752"/>
      <c r="E41" s="753"/>
      <c r="F41" s="752"/>
      <c r="G41" s="754"/>
      <c r="H41" s="755"/>
      <c r="I41" s="756"/>
      <c r="J41" s="429"/>
      <c r="K41" s="429"/>
      <c r="L41" s="429"/>
      <c r="M41" s="757">
        <f t="shared" si="2"/>
        <v>0</v>
      </c>
      <c r="N41" s="429"/>
      <c r="O41" s="430"/>
      <c r="P41" s="429"/>
      <c r="Q41" s="757">
        <f t="shared" si="4"/>
        <v>0</v>
      </c>
      <c r="R41" s="754">
        <f t="shared" si="9"/>
        <v>0</v>
      </c>
      <c r="S41" s="757"/>
      <c r="T41" s="757">
        <f t="shared" si="10"/>
        <v>0</v>
      </c>
      <c r="U41" s="754">
        <f>IF(OR(Table22[[#This Row],[Sales Details]]="Sold during previous years",Table22[[#This Row],[Sales Details]]="Sold in current year"),0,Table22[[#This Row],[ Balance as on 1st day of the year]]+Table22[[#This Row],[Addition during the year]]-Table22[[#This Row],[Depreciation  for the Year]])</f>
        <v>0</v>
      </c>
      <c r="V41" s="758">
        <f>IF(Table22[[#This Row],[Sales Details]]="Sold in current year",Table22[[#This Row],[Original Cost of Assets]],0)</f>
        <v>0</v>
      </c>
      <c r="W41" s="758">
        <f>IF(Table22[[#This Row],[Sales Details]]="Sold in current year",Table22[[#This Row],[Cumulative Depreciation as on the 1st day of year]]+Table22[[#This Row],[Depreciation  for the Year]],0)</f>
        <v>0</v>
      </c>
    </row>
    <row r="42" spans="1:23">
      <c r="A42" s="439"/>
      <c r="B42" s="752"/>
      <c r="C42" s="752"/>
      <c r="D42" s="752"/>
      <c r="E42" s="753"/>
      <c r="F42" s="752"/>
      <c r="G42" s="754"/>
      <c r="H42" s="755"/>
      <c r="I42" s="756"/>
      <c r="J42" s="429"/>
      <c r="K42" s="429"/>
      <c r="L42" s="429"/>
      <c r="M42" s="757">
        <f t="shared" si="2"/>
        <v>0</v>
      </c>
      <c r="N42" s="429"/>
      <c r="O42" s="430"/>
      <c r="P42" s="429"/>
      <c r="Q42" s="757">
        <f t="shared" si="4"/>
        <v>0</v>
      </c>
      <c r="R42" s="754">
        <f t="shared" si="9"/>
        <v>0</v>
      </c>
      <c r="S42" s="757"/>
      <c r="T42" s="757">
        <f t="shared" si="10"/>
        <v>0</v>
      </c>
      <c r="U42" s="754">
        <f>IF(OR(Table22[[#This Row],[Sales Details]]="Sold during previous years",Table22[[#This Row],[Sales Details]]="Sold in current year"),0,Table22[[#This Row],[ Balance as on 1st day of the year]]+Table22[[#This Row],[Addition during the year]]-Table22[[#This Row],[Depreciation  for the Year]])</f>
        <v>0</v>
      </c>
      <c r="V42" s="758">
        <f>IF(Table22[[#This Row],[Sales Details]]="Sold in current year",Table22[[#This Row],[Original Cost of Assets]],0)</f>
        <v>0</v>
      </c>
      <c r="W42" s="758">
        <f>IF(Table22[[#This Row],[Sales Details]]="Sold in current year",Table22[[#This Row],[Cumulative Depreciation as on the 1st day of year]]+Table22[[#This Row],[Depreciation  for the Year]],0)</f>
        <v>0</v>
      </c>
    </row>
    <row r="43" spans="1:23">
      <c r="A43" s="439"/>
      <c r="B43" s="752"/>
      <c r="C43" s="752"/>
      <c r="D43" s="752"/>
      <c r="E43" s="753"/>
      <c r="F43" s="752"/>
      <c r="G43" s="754"/>
      <c r="H43" s="755"/>
      <c r="I43" s="756"/>
      <c r="J43" s="429"/>
      <c r="K43" s="429"/>
      <c r="L43" s="429"/>
      <c r="M43" s="757">
        <f t="shared" si="2"/>
        <v>0</v>
      </c>
      <c r="N43" s="429"/>
      <c r="O43" s="430"/>
      <c r="P43" s="429"/>
      <c r="Q43" s="757">
        <f t="shared" si="4"/>
        <v>0</v>
      </c>
      <c r="R43" s="754">
        <f t="shared" si="9"/>
        <v>0</v>
      </c>
      <c r="S43" s="428"/>
      <c r="T43" s="757">
        <f t="shared" si="10"/>
        <v>0</v>
      </c>
      <c r="U43" s="754">
        <f>IF(OR(Table22[[#This Row],[Sales Details]]="Sold during previous years",Table22[[#This Row],[Sales Details]]="Sold in current year"),0,Table22[[#This Row],[ Balance as on 1st day of the year]]+Table22[[#This Row],[Addition during the year]]-Table22[[#This Row],[Depreciation  for the Year]])</f>
        <v>0</v>
      </c>
      <c r="V43" s="758">
        <f>IF(Table22[[#This Row],[Sales Details]]="Sold in current year",Table22[[#This Row],[Original Cost of Assets]],0)</f>
        <v>0</v>
      </c>
      <c r="W43" s="758">
        <f>IF(Table22[[#This Row],[Sales Details]]="Sold in current year",Table22[[#This Row],[Cumulative Depreciation as on the 1st day of year]]+Table22[[#This Row],[Depreciation  for the Year]],0)</f>
        <v>0</v>
      </c>
    </row>
  </sheetData>
  <mergeCells count="7">
    <mergeCell ref="B9:E9"/>
    <mergeCell ref="B8:E8"/>
    <mergeCell ref="A1:C2"/>
    <mergeCell ref="A4:B4"/>
    <mergeCell ref="B5:E5"/>
    <mergeCell ref="B6:E6"/>
    <mergeCell ref="B7:E7"/>
  </mergeCells>
  <conditionalFormatting sqref="N14:N34">
    <cfRule type="cellIs" dxfId="27" priority="1" operator="equal">
      <formula>"Sold in current year"</formula>
    </cfRule>
    <cfRule type="cellIs" dxfId="26" priority="2" operator="equal">
      <formula>"Sold during previous years"</formula>
    </cfRule>
    <cfRule type="cellIs" dxfId="25" priority="3" operator="equal">
      <formula>"Unsold"</formula>
    </cfRule>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A0DBFAC4-BD10-4590-8255-02FBDC191E5D}">
          <x14:formula1>
            <xm:f>'PPE &amp; Intangibles '!$C$27:$C$35</xm:f>
          </x14:formula1>
          <xm:sqref>C14:C43</xm:sqref>
        </x14:dataValidation>
        <x14:dataValidation type="list" allowBlank="1" showInputMessage="1" showErrorMessage="1" xr:uid="{01739BBC-01A7-4B35-BC6A-E053A0AAAF1B}">
          <x14:formula1>
            <xm:f>'Support Sheet'!$E$9:$E$11</xm:f>
          </x14:formula1>
          <xm:sqref>N14:N34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DC4AE-1ED8-4889-B4C9-CA39381228A2}">
  <sheetPr>
    <tabColor theme="7"/>
    <pageSetUpPr fitToPage="1"/>
  </sheetPr>
  <dimension ref="A1:J58"/>
  <sheetViews>
    <sheetView topLeftCell="E33" zoomScaleNormal="100" workbookViewId="0">
      <selection activeCell="J36" sqref="J36"/>
    </sheetView>
  </sheetViews>
  <sheetFormatPr defaultRowHeight="14.4"/>
  <cols>
    <col min="1" max="1" width="6.88671875" bestFit="1" customWidth="1"/>
    <col min="2" max="2" width="24.33203125" bestFit="1" customWidth="1"/>
    <col min="3" max="3" width="55" customWidth="1"/>
    <col min="4" max="8" width="23.109375" bestFit="1" customWidth="1"/>
    <col min="9" max="9" width="33" bestFit="1" customWidth="1"/>
    <col min="10" max="10" width="32.44140625" bestFit="1" customWidth="1"/>
  </cols>
  <sheetData>
    <row r="1" spans="1:10" ht="18">
      <c r="A1" s="969" t="str">
        <f>IF('Control Sheet'!$C$3&gt;0,'Control Sheet'!$C$3,'Control Sheet'!$B$3)</f>
        <v>Saptaranga Research and Organic Private Limited</v>
      </c>
      <c r="B1" s="969"/>
      <c r="C1" s="969"/>
      <c r="D1" s="969"/>
      <c r="E1" s="969"/>
      <c r="F1" s="969"/>
      <c r="G1" s="969"/>
      <c r="H1" s="969"/>
      <c r="I1" s="969"/>
      <c r="J1" s="969"/>
    </row>
    <row r="2" spans="1:10">
      <c r="A2" s="970" t="str">
        <f>IF('Control Sheet'!$C$4&gt;0,'Control Sheet'!$C$4,'Control Sheet'!$B$4)</f>
        <v xml:space="preserve">Plot No 45, </v>
      </c>
      <c r="B2" s="970"/>
      <c r="C2" s="970"/>
      <c r="D2" s="970"/>
      <c r="E2" s="970"/>
      <c r="F2" s="970"/>
      <c r="G2" s="970"/>
      <c r="H2" s="970"/>
      <c r="I2" s="970"/>
      <c r="J2" s="970"/>
    </row>
    <row r="3" spans="1:10">
      <c r="A3" s="970" t="str">
        <f>IF('Control Sheet'!$C$5&gt;0,'Control Sheet'!$C$5,'Control Sheet'!$B$5)</f>
        <v>Ravindra Nagar P.M.G. Society</v>
      </c>
      <c r="B3" s="970"/>
      <c r="C3" s="970"/>
      <c r="D3" s="970"/>
      <c r="E3" s="970"/>
      <c r="F3" s="970"/>
      <c r="G3" s="970"/>
      <c r="H3" s="970"/>
      <c r="I3" s="970"/>
      <c r="J3" s="970"/>
    </row>
    <row r="4" spans="1:10">
      <c r="A4" s="970" t="str">
        <f>IF('Control Sheet'!$C$6&gt;0,'Control Sheet'!$C$6,'Control Sheet'!$B$6)</f>
        <v>Nagpur MH 440022 IN</v>
      </c>
      <c r="B4" s="970"/>
      <c r="C4" s="970"/>
      <c r="D4" s="970"/>
      <c r="E4" s="970"/>
      <c r="F4" s="970"/>
      <c r="G4" s="970"/>
      <c r="H4" s="970"/>
      <c r="I4" s="970"/>
      <c r="J4" s="970"/>
    </row>
    <row r="7" spans="1:10">
      <c r="A7" s="776" t="s">
        <v>938</v>
      </c>
      <c r="B7" s="49"/>
      <c r="C7" s="49"/>
      <c r="D7" s="49"/>
      <c r="E7" s="49"/>
      <c r="F7" s="49"/>
      <c r="G7" s="49"/>
      <c r="I7" s="49"/>
      <c r="J7" s="49"/>
    </row>
    <row r="8" spans="1:10">
      <c r="A8" s="776" t="s">
        <v>931</v>
      </c>
      <c r="B8" s="49"/>
      <c r="C8" s="49"/>
      <c r="D8" s="49"/>
      <c r="E8" s="49"/>
      <c r="F8" s="49"/>
      <c r="G8" s="49"/>
      <c r="H8" s="49"/>
      <c r="I8" s="49"/>
      <c r="J8" s="49"/>
    </row>
    <row r="9" spans="1:10">
      <c r="A9" s="49"/>
      <c r="B9" s="49"/>
      <c r="C9" s="49"/>
      <c r="D9" s="49"/>
      <c r="E9" s="49"/>
      <c r="F9" s="49"/>
      <c r="G9" s="49"/>
      <c r="H9" s="49"/>
      <c r="I9" s="49"/>
      <c r="J9" s="49"/>
    </row>
    <row r="10" spans="1:10">
      <c r="A10" s="776" t="s">
        <v>932</v>
      </c>
      <c r="B10" s="49"/>
      <c r="C10" s="49"/>
      <c r="D10" s="49"/>
      <c r="E10" s="49"/>
      <c r="H10" s="49"/>
      <c r="I10" s="49"/>
      <c r="J10" s="49"/>
    </row>
    <row r="11" spans="1:10" ht="15" thickBot="1">
      <c r="A11" s="49"/>
      <c r="B11" s="49"/>
      <c r="C11" s="49"/>
      <c r="D11" s="49"/>
      <c r="E11" s="49"/>
      <c r="F11" s="49"/>
      <c r="G11" s="49"/>
      <c r="H11" s="49"/>
      <c r="I11" s="49"/>
      <c r="J11" s="49"/>
    </row>
    <row r="12" spans="1:10" ht="15" thickBot="1">
      <c r="A12" s="801" t="s">
        <v>134</v>
      </c>
      <c r="B12" s="802" t="s">
        <v>933</v>
      </c>
      <c r="C12" s="803" t="s">
        <v>934</v>
      </c>
      <c r="D12" s="397"/>
      <c r="E12" s="397"/>
      <c r="F12" s="49"/>
      <c r="G12" s="49"/>
      <c r="H12" s="49"/>
      <c r="I12" s="49"/>
      <c r="J12" s="49"/>
    </row>
    <row r="13" spans="1:10">
      <c r="A13" s="804">
        <v>1</v>
      </c>
      <c r="B13" s="795"/>
      <c r="C13" s="796"/>
      <c r="D13" s="397"/>
      <c r="E13" s="397"/>
      <c r="F13" s="49"/>
      <c r="G13" s="49"/>
      <c r="H13" s="49"/>
      <c r="I13" s="49"/>
      <c r="J13" s="49"/>
    </row>
    <row r="14" spans="1:10">
      <c r="A14" s="805">
        <f>A13+1</f>
        <v>2</v>
      </c>
      <c r="B14" s="797"/>
      <c r="C14" s="798"/>
      <c r="D14" s="49"/>
      <c r="E14" s="49"/>
      <c r="F14" s="49"/>
      <c r="G14" s="49"/>
      <c r="H14" s="49"/>
      <c r="I14" s="49"/>
      <c r="J14" s="49"/>
    </row>
    <row r="15" spans="1:10">
      <c r="A15" s="805">
        <f t="shared" ref="A15:A32" si="0">A14+1</f>
        <v>3</v>
      </c>
      <c r="B15" s="797"/>
      <c r="C15" s="798"/>
      <c r="D15" s="49"/>
      <c r="E15" s="49"/>
      <c r="F15" s="49"/>
      <c r="G15" s="49"/>
      <c r="H15" s="49"/>
      <c r="I15" s="49"/>
      <c r="J15" s="49"/>
    </row>
    <row r="16" spans="1:10">
      <c r="A16" s="805">
        <f t="shared" si="0"/>
        <v>4</v>
      </c>
      <c r="B16" s="797"/>
      <c r="C16" s="798"/>
      <c r="D16" s="49"/>
      <c r="E16" s="49"/>
      <c r="F16" s="49"/>
      <c r="G16" s="49"/>
      <c r="H16" s="49"/>
      <c r="I16" s="49"/>
      <c r="J16" s="49"/>
    </row>
    <row r="17" spans="1:10">
      <c r="A17" s="805">
        <f t="shared" si="0"/>
        <v>5</v>
      </c>
      <c r="B17" s="797"/>
      <c r="C17" s="798"/>
      <c r="D17" s="49"/>
      <c r="E17" s="49"/>
      <c r="F17" s="49"/>
      <c r="G17" s="49"/>
      <c r="H17" s="49"/>
      <c r="I17" s="49"/>
      <c r="J17" s="49"/>
    </row>
    <row r="18" spans="1:10">
      <c r="A18" s="805">
        <f t="shared" si="0"/>
        <v>6</v>
      </c>
      <c r="B18" s="797"/>
      <c r="C18" s="798"/>
      <c r="D18" s="49"/>
      <c r="E18" s="49"/>
      <c r="F18" s="49"/>
      <c r="G18" s="49"/>
      <c r="H18" s="49"/>
      <c r="I18" s="49"/>
      <c r="J18" s="49"/>
    </row>
    <row r="19" spans="1:10">
      <c r="A19" s="805">
        <f t="shared" si="0"/>
        <v>7</v>
      </c>
      <c r="B19" s="797"/>
      <c r="C19" s="798"/>
      <c r="D19" s="49"/>
      <c r="E19" s="49"/>
      <c r="F19" s="49"/>
      <c r="G19" s="49"/>
      <c r="H19" s="49"/>
      <c r="I19" s="49"/>
      <c r="J19" s="49"/>
    </row>
    <row r="20" spans="1:10">
      <c r="A20" s="805">
        <f t="shared" si="0"/>
        <v>8</v>
      </c>
      <c r="B20" s="797"/>
      <c r="C20" s="798"/>
      <c r="D20" s="49"/>
      <c r="E20" s="49"/>
      <c r="F20" s="49"/>
      <c r="G20" s="49"/>
      <c r="H20" s="49"/>
      <c r="I20" s="49"/>
      <c r="J20" s="49"/>
    </row>
    <row r="21" spans="1:10">
      <c r="A21" s="805">
        <f t="shared" si="0"/>
        <v>9</v>
      </c>
      <c r="B21" s="797"/>
      <c r="C21" s="798"/>
      <c r="D21" s="49"/>
      <c r="E21" s="49"/>
      <c r="F21" s="49"/>
      <c r="G21" s="49"/>
      <c r="H21" s="49"/>
      <c r="I21" s="49"/>
      <c r="J21" s="49"/>
    </row>
    <row r="22" spans="1:10">
      <c r="A22" s="805">
        <f t="shared" si="0"/>
        <v>10</v>
      </c>
      <c r="B22" s="797"/>
      <c r="C22" s="798"/>
      <c r="D22" s="49"/>
      <c r="E22" s="49"/>
      <c r="F22" s="49"/>
      <c r="G22" s="49"/>
      <c r="H22" s="49"/>
      <c r="I22" s="49"/>
      <c r="J22" s="49"/>
    </row>
    <row r="23" spans="1:10">
      <c r="A23" s="805">
        <f t="shared" si="0"/>
        <v>11</v>
      </c>
      <c r="B23" s="797"/>
      <c r="C23" s="798"/>
      <c r="D23" s="49"/>
      <c r="E23" s="49"/>
      <c r="F23" s="49"/>
      <c r="G23" s="49"/>
      <c r="H23" s="49"/>
      <c r="I23" s="49"/>
      <c r="J23" s="49"/>
    </row>
    <row r="24" spans="1:10">
      <c r="A24" s="805">
        <f t="shared" si="0"/>
        <v>12</v>
      </c>
      <c r="B24" s="797"/>
      <c r="C24" s="798"/>
      <c r="D24" s="49"/>
      <c r="E24" s="49"/>
      <c r="F24" s="49"/>
      <c r="G24" s="49"/>
      <c r="H24" s="49"/>
      <c r="I24" s="49"/>
      <c r="J24" s="49"/>
    </row>
    <row r="25" spans="1:10">
      <c r="A25" s="805">
        <f t="shared" si="0"/>
        <v>13</v>
      </c>
      <c r="B25" s="797"/>
      <c r="C25" s="798"/>
      <c r="D25" s="49"/>
      <c r="E25" s="49"/>
      <c r="F25" s="49"/>
      <c r="G25" s="49"/>
      <c r="H25" s="49"/>
      <c r="I25" s="49"/>
      <c r="J25" s="49"/>
    </row>
    <row r="26" spans="1:10">
      <c r="A26" s="805">
        <f t="shared" si="0"/>
        <v>14</v>
      </c>
      <c r="B26" s="797"/>
      <c r="C26" s="798"/>
      <c r="D26" s="49"/>
      <c r="E26" s="49"/>
      <c r="F26" s="49"/>
      <c r="G26" s="49"/>
      <c r="H26" s="49"/>
      <c r="I26" s="49"/>
      <c r="J26" s="49"/>
    </row>
    <row r="27" spans="1:10">
      <c r="A27" s="805">
        <f t="shared" si="0"/>
        <v>15</v>
      </c>
      <c r="B27" s="797"/>
      <c r="C27" s="798"/>
      <c r="D27" s="49"/>
      <c r="E27" s="49"/>
      <c r="F27" s="49"/>
      <c r="G27" s="49"/>
      <c r="H27" s="49"/>
      <c r="I27" s="49"/>
      <c r="J27" s="49"/>
    </row>
    <row r="28" spans="1:10">
      <c r="A28" s="805">
        <f t="shared" si="0"/>
        <v>16</v>
      </c>
      <c r="B28" s="797"/>
      <c r="C28" s="798"/>
      <c r="D28" s="49"/>
      <c r="E28" s="49"/>
      <c r="F28" s="49"/>
      <c r="G28" s="49"/>
      <c r="H28" s="49"/>
      <c r="I28" s="49"/>
      <c r="J28" s="49"/>
    </row>
    <row r="29" spans="1:10">
      <c r="A29" s="805">
        <f t="shared" si="0"/>
        <v>17</v>
      </c>
      <c r="B29" s="797"/>
      <c r="C29" s="798"/>
      <c r="D29" s="49"/>
      <c r="E29" s="49"/>
      <c r="F29" s="49"/>
      <c r="G29" s="49"/>
      <c r="H29" s="49"/>
      <c r="I29" s="49"/>
      <c r="J29" s="49"/>
    </row>
    <row r="30" spans="1:10">
      <c r="A30" s="805">
        <f t="shared" si="0"/>
        <v>18</v>
      </c>
      <c r="B30" s="797"/>
      <c r="C30" s="798"/>
      <c r="D30" s="49"/>
      <c r="E30" s="49"/>
      <c r="F30" s="49"/>
      <c r="G30" s="49"/>
      <c r="H30" s="49"/>
      <c r="I30" s="49"/>
      <c r="J30" s="49"/>
    </row>
    <row r="31" spans="1:10">
      <c r="A31" s="805">
        <f t="shared" si="0"/>
        <v>19</v>
      </c>
      <c r="B31" s="797"/>
      <c r="C31" s="798"/>
      <c r="D31" s="49"/>
      <c r="E31" s="49"/>
      <c r="F31" s="49"/>
      <c r="G31" s="49"/>
      <c r="H31" s="49"/>
      <c r="I31" s="49"/>
      <c r="J31" s="49"/>
    </row>
    <row r="32" spans="1:10" ht="15" thickBot="1">
      <c r="A32" s="806">
        <f t="shared" si="0"/>
        <v>20</v>
      </c>
      <c r="B32" s="799"/>
      <c r="C32" s="800"/>
      <c r="D32" s="49"/>
      <c r="E32" s="49"/>
      <c r="F32" s="49"/>
      <c r="G32" s="49"/>
      <c r="H32" s="49"/>
      <c r="I32" s="49"/>
      <c r="J32" s="49"/>
    </row>
    <row r="33" spans="1:10">
      <c r="A33" s="49"/>
      <c r="B33" s="49"/>
      <c r="C33" s="49"/>
      <c r="D33" s="49" t="s">
        <v>21</v>
      </c>
      <c r="E33" s="49"/>
      <c r="F33" s="49"/>
      <c r="G33" s="49"/>
      <c r="H33" s="49"/>
      <c r="I33" s="49"/>
      <c r="J33" s="49"/>
    </row>
    <row r="34" spans="1:10">
      <c r="A34" s="776" t="str">
        <f>_xlfn.CONCAT("Transactions with related parties for the year ended",TEXT('Control Sheet'!$C$7,"DD-MMM-YYYY"))</f>
        <v>Transactions with related parties for the year ended31-Mar-2023</v>
      </c>
      <c r="B34" s="49"/>
      <c r="C34" s="49"/>
      <c r="D34" s="49"/>
      <c r="E34" s="49"/>
      <c r="F34" s="49"/>
      <c r="G34" s="49"/>
      <c r="H34" s="781"/>
      <c r="I34" s="49"/>
      <c r="J34" s="49"/>
    </row>
    <row r="35" spans="1:10" ht="15" thickBot="1">
      <c r="A35" s="49"/>
      <c r="B35" s="49"/>
      <c r="C35" s="49"/>
      <c r="D35" s="49"/>
      <c r="E35" s="49"/>
      <c r="F35" s="49"/>
      <c r="G35" s="49"/>
      <c r="H35" s="49"/>
      <c r="I35" s="49"/>
      <c r="J35" s="49"/>
    </row>
    <row r="36" spans="1:10">
      <c r="A36" s="807" t="s">
        <v>134</v>
      </c>
      <c r="B36" s="808" t="s">
        <v>0</v>
      </c>
      <c r="C36" s="965" t="s">
        <v>969</v>
      </c>
      <c r="D36" s="966"/>
      <c r="E36" s="965" t="s">
        <v>970</v>
      </c>
      <c r="F36" s="966"/>
      <c r="G36" s="965" t="s">
        <v>971</v>
      </c>
      <c r="H36" s="966"/>
      <c r="I36" s="809" t="s">
        <v>972</v>
      </c>
      <c r="J36" s="810" t="s">
        <v>973</v>
      </c>
    </row>
    <row r="37" spans="1:10" ht="15" thickBot="1">
      <c r="A37" s="811"/>
      <c r="B37" s="812"/>
      <c r="C37" s="813" t="str">
        <f>IF('Control Sheet'!$C$7&gt;0,TEXT('Control Sheet'!$C$7,"DD-MMM-YYYY"),'Control Sheet'!$B$7)</f>
        <v>31-Mar-2023</v>
      </c>
      <c r="D37" s="813" t="str">
        <f>IF('Control Sheet'!$C$8&gt;0,TEXT('Control Sheet'!$C$8,"DD-MMM-YYYY"),'Control Sheet'!$B$8)</f>
        <v>31-Mar-2022</v>
      </c>
      <c r="E37" s="813" t="str">
        <f>IF('Control Sheet'!$C$7&gt;0,TEXT('Control Sheet'!$C$7,"DD-MMM-YYYY"),'Control Sheet'!$B$7)</f>
        <v>31-Mar-2023</v>
      </c>
      <c r="F37" s="813" t="str">
        <f>IF('Control Sheet'!$C$8&gt;0,TEXT('Control Sheet'!$C$8,"DD-MMM-YYYY"),'Control Sheet'!$B$8)</f>
        <v>31-Mar-2022</v>
      </c>
      <c r="G37" s="813" t="str">
        <f>IF('Control Sheet'!$C$7&gt;0,TEXT('Control Sheet'!$C$7,"DD-MMM-YYYY"),'Control Sheet'!$B$7)</f>
        <v>31-Mar-2023</v>
      </c>
      <c r="H37" s="813" t="str">
        <f>IF('Control Sheet'!$C$8&gt;0,TEXT('Control Sheet'!$C$8,"DD-MMM-YYYY"),'Control Sheet'!$B$8)</f>
        <v>31-Mar-2022</v>
      </c>
      <c r="I37" s="813" t="str">
        <f>IF('Control Sheet'!$C$7&gt;0,TEXT('Control Sheet'!$C$7,"DD-MMM-YYYY"),'Control Sheet'!$B$7)</f>
        <v>31-Mar-2023</v>
      </c>
      <c r="J37" s="814" t="str">
        <f>IF('Control Sheet'!$C$7&gt;0,TEXT('Control Sheet'!$C$7,"DD-MMM-YYYY"),'Control Sheet'!$B$7)</f>
        <v>31-Mar-2023</v>
      </c>
    </row>
    <row r="38" spans="1:10">
      <c r="A38" s="825">
        <v>1</v>
      </c>
      <c r="B38" s="900">
        <f>B13</f>
        <v>0</v>
      </c>
      <c r="C38" s="817"/>
      <c r="D38" s="816"/>
      <c r="E38" s="817"/>
      <c r="F38" s="817"/>
      <c r="G38" s="816"/>
      <c r="H38" s="816"/>
      <c r="I38" s="816"/>
      <c r="J38" s="818"/>
    </row>
    <row r="39" spans="1:10">
      <c r="A39" s="825">
        <f>A38+1</f>
        <v>2</v>
      </c>
      <c r="B39" s="900">
        <f t="shared" ref="B39:B57" si="1">B14</f>
        <v>0</v>
      </c>
      <c r="C39" s="820"/>
      <c r="D39" s="819"/>
      <c r="E39" s="820"/>
      <c r="F39" s="820"/>
      <c r="G39" s="819"/>
      <c r="H39" s="819"/>
      <c r="I39" s="816"/>
      <c r="J39" s="818"/>
    </row>
    <row r="40" spans="1:10">
      <c r="A40" s="825">
        <f t="shared" ref="A40:A57" si="2">A39+1</f>
        <v>3</v>
      </c>
      <c r="B40" s="900">
        <f t="shared" si="1"/>
        <v>0</v>
      </c>
      <c r="C40" s="820"/>
      <c r="D40" s="819"/>
      <c r="E40" s="820"/>
      <c r="F40" s="820"/>
      <c r="G40" s="819"/>
      <c r="H40" s="819"/>
      <c r="I40" s="816"/>
      <c r="J40" s="818"/>
    </row>
    <row r="41" spans="1:10">
      <c r="A41" s="825">
        <f t="shared" si="2"/>
        <v>4</v>
      </c>
      <c r="B41" s="900">
        <f t="shared" si="1"/>
        <v>0</v>
      </c>
      <c r="C41" s="820"/>
      <c r="D41" s="819"/>
      <c r="E41" s="820"/>
      <c r="F41" s="820"/>
      <c r="G41" s="819"/>
      <c r="H41" s="819"/>
      <c r="I41" s="816"/>
      <c r="J41" s="818"/>
    </row>
    <row r="42" spans="1:10">
      <c r="A42" s="825">
        <f t="shared" si="2"/>
        <v>5</v>
      </c>
      <c r="B42" s="900">
        <f t="shared" si="1"/>
        <v>0</v>
      </c>
      <c r="C42" s="820"/>
      <c r="D42" s="819"/>
      <c r="E42" s="820"/>
      <c r="F42" s="820"/>
      <c r="G42" s="819"/>
      <c r="H42" s="819"/>
      <c r="I42" s="816"/>
      <c r="J42" s="818"/>
    </row>
    <row r="43" spans="1:10">
      <c r="A43" s="825">
        <f t="shared" si="2"/>
        <v>6</v>
      </c>
      <c r="B43" s="900">
        <f t="shared" si="1"/>
        <v>0</v>
      </c>
      <c r="C43" s="820"/>
      <c r="D43" s="819"/>
      <c r="E43" s="820"/>
      <c r="F43" s="820"/>
      <c r="G43" s="819"/>
      <c r="H43" s="819"/>
      <c r="I43" s="816"/>
      <c r="J43" s="818"/>
    </row>
    <row r="44" spans="1:10">
      <c r="A44" s="825">
        <f t="shared" si="2"/>
        <v>7</v>
      </c>
      <c r="B44" s="900">
        <f t="shared" si="1"/>
        <v>0</v>
      </c>
      <c r="C44" s="820"/>
      <c r="D44" s="819"/>
      <c r="E44" s="820"/>
      <c r="F44" s="820"/>
      <c r="G44" s="821"/>
      <c r="H44" s="821"/>
      <c r="I44" s="816"/>
      <c r="J44" s="818"/>
    </row>
    <row r="45" spans="1:10">
      <c r="A45" s="825">
        <f t="shared" si="2"/>
        <v>8</v>
      </c>
      <c r="B45" s="900">
        <f t="shared" si="1"/>
        <v>0</v>
      </c>
      <c r="C45" s="820"/>
      <c r="D45" s="819"/>
      <c r="E45" s="820"/>
      <c r="F45" s="820"/>
      <c r="G45" s="819"/>
      <c r="H45" s="819"/>
      <c r="I45" s="816"/>
      <c r="J45" s="818"/>
    </row>
    <row r="46" spans="1:10">
      <c r="A46" s="825">
        <f t="shared" si="2"/>
        <v>9</v>
      </c>
      <c r="B46" s="900">
        <f t="shared" si="1"/>
        <v>0</v>
      </c>
      <c r="C46" s="820"/>
      <c r="D46" s="819"/>
      <c r="E46" s="820"/>
      <c r="F46" s="820"/>
      <c r="G46" s="819"/>
      <c r="H46" s="819"/>
      <c r="I46" s="816"/>
      <c r="J46" s="818"/>
    </row>
    <row r="47" spans="1:10">
      <c r="A47" s="825">
        <f t="shared" si="2"/>
        <v>10</v>
      </c>
      <c r="B47" s="900">
        <f t="shared" si="1"/>
        <v>0</v>
      </c>
      <c r="C47" s="820"/>
      <c r="D47" s="819"/>
      <c r="E47" s="820"/>
      <c r="F47" s="820"/>
      <c r="G47" s="819"/>
      <c r="H47" s="819"/>
      <c r="I47" s="816"/>
      <c r="J47" s="818"/>
    </row>
    <row r="48" spans="1:10">
      <c r="A48" s="825">
        <f t="shared" si="2"/>
        <v>11</v>
      </c>
      <c r="B48" s="900">
        <f t="shared" si="1"/>
        <v>0</v>
      </c>
      <c r="C48" s="820"/>
      <c r="D48" s="819"/>
      <c r="E48" s="820"/>
      <c r="F48" s="820"/>
      <c r="G48" s="819"/>
      <c r="H48" s="819"/>
      <c r="I48" s="816"/>
      <c r="J48" s="818"/>
    </row>
    <row r="49" spans="1:10">
      <c r="A49" s="825">
        <f t="shared" si="2"/>
        <v>12</v>
      </c>
      <c r="B49" s="900">
        <f t="shared" si="1"/>
        <v>0</v>
      </c>
      <c r="C49" s="820"/>
      <c r="D49" s="819"/>
      <c r="E49" s="820"/>
      <c r="F49" s="820"/>
      <c r="G49" s="819"/>
      <c r="H49" s="819"/>
      <c r="I49" s="816"/>
      <c r="J49" s="818"/>
    </row>
    <row r="50" spans="1:10">
      <c r="A50" s="825">
        <f t="shared" si="2"/>
        <v>13</v>
      </c>
      <c r="B50" s="900">
        <f t="shared" si="1"/>
        <v>0</v>
      </c>
      <c r="C50" s="820"/>
      <c r="D50" s="819"/>
      <c r="E50" s="820"/>
      <c r="F50" s="820"/>
      <c r="G50" s="819"/>
      <c r="H50" s="819"/>
      <c r="I50" s="816"/>
      <c r="J50" s="818"/>
    </row>
    <row r="51" spans="1:10">
      <c r="A51" s="825">
        <f t="shared" si="2"/>
        <v>14</v>
      </c>
      <c r="B51" s="900">
        <f t="shared" si="1"/>
        <v>0</v>
      </c>
      <c r="C51" s="820"/>
      <c r="D51" s="819"/>
      <c r="E51" s="820"/>
      <c r="F51" s="820"/>
      <c r="G51" s="819"/>
      <c r="H51" s="819"/>
      <c r="I51" s="816"/>
      <c r="J51" s="818"/>
    </row>
    <row r="52" spans="1:10">
      <c r="A52" s="825">
        <f t="shared" si="2"/>
        <v>15</v>
      </c>
      <c r="B52" s="900">
        <f t="shared" si="1"/>
        <v>0</v>
      </c>
      <c r="C52" s="820"/>
      <c r="D52" s="819"/>
      <c r="E52" s="820"/>
      <c r="F52" s="820"/>
      <c r="G52" s="819"/>
      <c r="H52" s="819"/>
      <c r="I52" s="816"/>
      <c r="J52" s="818"/>
    </row>
    <row r="53" spans="1:10">
      <c r="A53" s="825">
        <f t="shared" si="2"/>
        <v>16</v>
      </c>
      <c r="B53" s="900">
        <f t="shared" si="1"/>
        <v>0</v>
      </c>
      <c r="C53" s="826"/>
      <c r="D53" s="821"/>
      <c r="E53" s="820"/>
      <c r="F53" s="820"/>
      <c r="G53" s="821"/>
      <c r="H53" s="821"/>
      <c r="I53" s="816"/>
      <c r="J53" s="818"/>
    </row>
    <row r="54" spans="1:10">
      <c r="A54" s="825">
        <f t="shared" si="2"/>
        <v>17</v>
      </c>
      <c r="B54" s="900">
        <f t="shared" si="1"/>
        <v>0</v>
      </c>
      <c r="C54" s="820"/>
      <c r="D54" s="819"/>
      <c r="E54" s="820"/>
      <c r="F54" s="820"/>
      <c r="G54" s="819"/>
      <c r="H54" s="819"/>
      <c r="I54" s="816"/>
      <c r="J54" s="818"/>
    </row>
    <row r="55" spans="1:10">
      <c r="A55" s="825">
        <f t="shared" si="2"/>
        <v>18</v>
      </c>
      <c r="B55" s="900">
        <f t="shared" si="1"/>
        <v>0</v>
      </c>
      <c r="C55" s="820"/>
      <c r="D55" s="819"/>
      <c r="E55" s="820"/>
      <c r="F55" s="820"/>
      <c r="G55" s="819"/>
      <c r="H55" s="819"/>
      <c r="I55" s="816"/>
      <c r="J55" s="818"/>
    </row>
    <row r="56" spans="1:10">
      <c r="A56" s="825">
        <f t="shared" si="2"/>
        <v>19</v>
      </c>
      <c r="B56" s="901">
        <f t="shared" si="1"/>
        <v>0</v>
      </c>
      <c r="C56" s="819"/>
      <c r="D56" s="820"/>
      <c r="E56" s="820"/>
      <c r="F56" s="820"/>
      <c r="G56" s="822"/>
      <c r="H56" s="822"/>
      <c r="I56" s="823"/>
      <c r="J56" s="824"/>
    </row>
    <row r="57" spans="1:10" ht="15" thickBot="1">
      <c r="A57" s="815">
        <f t="shared" si="2"/>
        <v>20</v>
      </c>
      <c r="B57" s="902">
        <f t="shared" si="1"/>
        <v>0</v>
      </c>
      <c r="C57" s="819"/>
      <c r="D57" s="819"/>
      <c r="E57" s="820"/>
      <c r="F57" s="820"/>
      <c r="G57" s="819"/>
      <c r="H57" s="819"/>
      <c r="I57" s="816"/>
      <c r="J57" s="818"/>
    </row>
    <row r="58" spans="1:10" ht="15" thickBot="1">
      <c r="A58" s="967" t="s">
        <v>14</v>
      </c>
      <c r="B58" s="968"/>
      <c r="C58" s="792">
        <f>SUM(C38:C56)</f>
        <v>0</v>
      </c>
      <c r="D58" s="793">
        <f>SUM(D38:D55)</f>
        <v>0</v>
      </c>
      <c r="E58" s="793">
        <f t="shared" ref="E58:J58" si="3">SUM(E38:E56)</f>
        <v>0</v>
      </c>
      <c r="F58" s="793">
        <f t="shared" si="3"/>
        <v>0</v>
      </c>
      <c r="G58" s="793">
        <f t="shared" si="3"/>
        <v>0</v>
      </c>
      <c r="H58" s="793">
        <f t="shared" si="3"/>
        <v>0</v>
      </c>
      <c r="I58" s="793">
        <f t="shared" si="3"/>
        <v>0</v>
      </c>
      <c r="J58" s="794">
        <f t="shared" si="3"/>
        <v>0</v>
      </c>
    </row>
  </sheetData>
  <mergeCells count="8">
    <mergeCell ref="C36:D36"/>
    <mergeCell ref="E36:F36"/>
    <mergeCell ref="G36:H36"/>
    <mergeCell ref="A58:B58"/>
    <mergeCell ref="A1:J1"/>
    <mergeCell ref="A2:J2"/>
    <mergeCell ref="A3:J3"/>
    <mergeCell ref="A4:J4"/>
  </mergeCells>
  <pageMargins left="0.7" right="0.7" top="0.75" bottom="0.75" header="0.3" footer="0.3"/>
  <pageSetup scale="55" orientation="landscape" r:id="rId1"/>
  <ignoredErrors>
    <ignoredError sqref="D37"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D2A40E5D-4526-4910-A235-D8F3E9E3E7C1}">
          <x14:formula1>
            <xm:f>'Support Sheet'!$V$14:$V$44</xm:f>
          </x14:formula1>
          <xm:sqref>C13:C32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15</vt:i4>
      </vt:variant>
    </vt:vector>
  </HeadingPairs>
  <TitlesOfParts>
    <vt:vector size="42" baseType="lpstr">
      <vt:lpstr>Glossary</vt:lpstr>
      <vt:lpstr>Validation</vt:lpstr>
      <vt:lpstr>Control Sheet</vt:lpstr>
      <vt:lpstr>Trial Balance</vt:lpstr>
      <vt:lpstr>Share Capital and WIP info</vt:lpstr>
      <vt:lpstr>Debtor&amp;Creditor Ageing Schedule</vt:lpstr>
      <vt:lpstr>PPE Data</vt:lpstr>
      <vt:lpstr>Intangible Asset Data</vt:lpstr>
      <vt:lpstr>Related Party Transaction</vt:lpstr>
      <vt:lpstr>Pivot Sheet</vt:lpstr>
      <vt:lpstr>Output&gt;&gt;&gt;&gt;</vt:lpstr>
      <vt:lpstr>BS</vt:lpstr>
      <vt:lpstr>PL</vt:lpstr>
      <vt:lpstr>CashFlow Statement</vt:lpstr>
      <vt:lpstr>Share Capital</vt:lpstr>
      <vt:lpstr>Promotors Listing</vt:lpstr>
      <vt:lpstr>BS Notes</vt:lpstr>
      <vt:lpstr>PPE &amp; Intangibles </vt:lpstr>
      <vt:lpstr>Support Sheet</vt:lpstr>
      <vt:lpstr>BS Notes </vt:lpstr>
      <vt:lpstr>PL Notes</vt:lpstr>
      <vt:lpstr>Additional Notes</vt:lpstr>
      <vt:lpstr>Ratio Analysis</vt:lpstr>
      <vt:lpstr>Related Party Transaction </vt:lpstr>
      <vt:lpstr>Rough.</vt:lpstr>
      <vt:lpstr>Rough</vt:lpstr>
      <vt:lpstr>Depreciation Schedule</vt:lpstr>
      <vt:lpstr>'Additional Notes'!Print_Area</vt:lpstr>
      <vt:lpstr>BS!Print_Area</vt:lpstr>
      <vt:lpstr>'BS Notes'!Print_Area</vt:lpstr>
      <vt:lpstr>'BS Notes '!Print_Area</vt:lpstr>
      <vt:lpstr>'CashFlow Statement'!Print_Area</vt:lpstr>
      <vt:lpstr>'Depreciation Schedule'!Print_Area</vt:lpstr>
      <vt:lpstr>PL!Print_Area</vt:lpstr>
      <vt:lpstr>'PL Notes'!Print_Area</vt:lpstr>
      <vt:lpstr>'PPE &amp; Intangibles '!Print_Area</vt:lpstr>
      <vt:lpstr>'Promotors Listing'!Print_Area</vt:lpstr>
      <vt:lpstr>'Ratio Analysis'!Print_Area</vt:lpstr>
      <vt:lpstr>'Share Capital'!Print_Area</vt:lpstr>
      <vt:lpstr>'Trial Balance'!Print_Area</vt:lpstr>
      <vt:lpstr>'BS Notes'!Print_Titles</vt:lpstr>
      <vt:lpstr>'PL Notes'!Print_Titles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Aditya Joshi</cp:lastModifiedBy>
  <cp:lastPrinted>2023-10-19T11:24:19Z</cp:lastPrinted>
  <dcterms:created xsi:type="dcterms:W3CDTF">2015-06-05T18:17:20Z</dcterms:created>
  <dcterms:modified xsi:type="dcterms:W3CDTF">2024-06-13T08:21:56Z</dcterms:modified>
</cp:coreProperties>
</file>