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2.xml" ContentType="application/vnd.ms-excel.slicer+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omjad\Desktop\IT Vedant\Excel\Project\"/>
    </mc:Choice>
  </mc:AlternateContent>
  <xr:revisionPtr revIDLastSave="0" documentId="13_ncr:1_{266FB2FC-CED0-4CC8-B1F6-8A76B6E70C13}" xr6:coauthVersionLast="47" xr6:coauthVersionMax="47" xr10:uidLastSave="{00000000-0000-0000-0000-000000000000}"/>
  <bookViews>
    <workbookView xWindow="-108" yWindow="-108" windowWidth="23256" windowHeight="13896" firstSheet="4" activeTab="6" xr2:uid="{0E15CBFB-2462-4144-9C87-A7B11C5FBBF6}"/>
  </bookViews>
  <sheets>
    <sheet name="CWC2023" sheetId="1" r:id="rId1"/>
    <sheet name="Calculations" sheetId="2" r:id="rId2"/>
    <sheet name="Player_Analysis" sheetId="29" r:id="rId3"/>
    <sheet name="Team_Analysis" sheetId="27" r:id="rId4"/>
    <sheet name="Venue_Analysis" sheetId="30" r:id="rId5"/>
    <sheet name="Analysis" sheetId="33" r:id="rId6"/>
    <sheet name="Dashboard" sheetId="34" r:id="rId7"/>
    <sheet name="🏆 TOURNAMENT HIGHLIGHTS" sheetId="35" r:id="rId8"/>
  </sheets>
  <definedNames>
    <definedName name="_xlcn.WorksheetConnection_CWC2023.xlsxCalculations_1" hidden="1">Calculations_1[]</definedName>
    <definedName name="fTeam">Dashboard!$H$25</definedName>
    <definedName name="Slicer_City2">#N/A</definedName>
    <definedName name="Slicer_Stadium2">#N/A</definedName>
    <definedName name="Slicer_Team">#N/A</definedName>
    <definedName name="Slicer_Toss_Decision2">#N/A</definedName>
    <definedName name="Slicer_Winning_Team2">#N/A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lculations_1" name="Calculations_1" connection="WorksheetConnection_CWC2023.xlsx!Calculations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3" l="1" a="1"/>
  <c r="F7" i="33" s="1"/>
  <c r="E7" i="33" a="1"/>
  <c r="E7" i="33" s="1"/>
  <c r="AF14" i="34"/>
  <c r="F22" i="33"/>
  <c r="W6" i="2"/>
  <c r="X2" i="2" a="1"/>
  <c r="X2" i="2" s="1"/>
  <c r="X3" i="2" a="1"/>
  <c r="X3" i="2"/>
  <c r="X4" i="2" a="1"/>
  <c r="X4" i="2"/>
  <c r="X5" i="2" a="1"/>
  <c r="X5" i="2"/>
  <c r="X6" i="2" a="1"/>
  <c r="X6" i="2"/>
  <c r="X7" i="2" a="1"/>
  <c r="X7" i="2"/>
  <c r="X8" i="2" a="1"/>
  <c r="X8" i="2" s="1"/>
  <c r="X9" i="2" a="1"/>
  <c r="X9" i="2"/>
  <c r="X10" i="2" a="1"/>
  <c r="X10" i="2"/>
  <c r="X11" i="2" a="1"/>
  <c r="X11" i="2"/>
  <c r="X12" i="2" a="1"/>
  <c r="X12" i="2"/>
  <c r="X13" i="2" a="1"/>
  <c r="X13" i="2"/>
  <c r="X14" i="2" a="1"/>
  <c r="X14" i="2" s="1"/>
  <c r="X15" i="2" a="1"/>
  <c r="X15" i="2"/>
  <c r="X16" i="2" a="1"/>
  <c r="X16" i="2"/>
  <c r="X17" i="2" a="1"/>
  <c r="X17" i="2"/>
  <c r="X18" i="2" a="1"/>
  <c r="X18" i="2"/>
  <c r="X19" i="2" a="1"/>
  <c r="X19" i="2"/>
  <c r="X20" i="2" a="1"/>
  <c r="X20" i="2" s="1"/>
  <c r="X21" i="2" a="1"/>
  <c r="X21" i="2"/>
  <c r="X22" i="2" a="1"/>
  <c r="X22" i="2"/>
  <c r="X23" i="2" a="1"/>
  <c r="X23" i="2"/>
  <c r="X24" i="2" a="1"/>
  <c r="X24" i="2"/>
  <c r="X25" i="2" a="1"/>
  <c r="X25" i="2"/>
  <c r="X26" i="2" a="1"/>
  <c r="X26" i="2" s="1"/>
  <c r="X27" i="2" a="1"/>
  <c r="X27" i="2"/>
  <c r="X28" i="2" a="1"/>
  <c r="X28" i="2"/>
  <c r="X29" i="2" a="1"/>
  <c r="X29" i="2"/>
  <c r="X30" i="2" a="1"/>
  <c r="X30" i="2"/>
  <c r="X31" i="2" a="1"/>
  <c r="X31" i="2"/>
  <c r="X32" i="2" a="1"/>
  <c r="X32" i="2" s="1"/>
  <c r="X33" i="2" a="1"/>
  <c r="X33" i="2"/>
  <c r="X34" i="2" a="1"/>
  <c r="X34" i="2"/>
  <c r="X35" i="2" a="1"/>
  <c r="X35" i="2"/>
  <c r="X36" i="2" a="1"/>
  <c r="X36" i="2"/>
  <c r="X37" i="2" a="1"/>
  <c r="X37" i="2"/>
  <c r="X38" i="2" a="1"/>
  <c r="X38" i="2" s="1"/>
  <c r="X39" i="2" a="1"/>
  <c r="X39" i="2"/>
  <c r="X40" i="2" a="1"/>
  <c r="X40" i="2"/>
  <c r="X41" i="2" a="1"/>
  <c r="X41" i="2"/>
  <c r="X42" i="2" a="1"/>
  <c r="X42" i="2"/>
  <c r="X43" i="2" a="1"/>
  <c r="X43" i="2"/>
  <c r="X44" i="2" a="1"/>
  <c r="X44" i="2" s="1"/>
  <c r="X45" i="2" a="1"/>
  <c r="X45" i="2" s="1"/>
  <c r="X46" i="2" a="1"/>
  <c r="X46" i="2" s="1"/>
  <c r="X47" i="2" a="1"/>
  <c r="X47" i="2"/>
  <c r="X48" i="2" a="1"/>
  <c r="X48" i="2"/>
  <c r="X49" i="2" a="1"/>
  <c r="X49" i="2"/>
  <c r="B14" i="34"/>
  <c r="G199" i="33" l="1"/>
  <c r="G200" i="33"/>
  <c r="F192" i="33"/>
  <c r="F193" i="33"/>
  <c r="F194" i="33"/>
  <c r="F195" i="33"/>
  <c r="F196" i="33"/>
  <c r="F197" i="33"/>
  <c r="F198" i="33"/>
  <c r="F199" i="33"/>
  <c r="F200" i="33"/>
  <c r="F191" i="33"/>
  <c r="E191" i="33" a="1"/>
  <c r="E191" i="33" s="1"/>
  <c r="D192" i="33"/>
  <c r="G192" i="33" s="1"/>
  <c r="D193" i="33"/>
  <c r="G193" i="33" s="1"/>
  <c r="D194" i="33"/>
  <c r="G194" i="33" s="1"/>
  <c r="D195" i="33"/>
  <c r="G195" i="33" s="1"/>
  <c r="D196" i="33"/>
  <c r="G196" i="33" s="1"/>
  <c r="D197" i="33"/>
  <c r="G197" i="33" s="1"/>
  <c r="D198" i="33"/>
  <c r="G198" i="33" s="1"/>
  <c r="D199" i="33"/>
  <c r="D200" i="33"/>
  <c r="D191" i="33"/>
  <c r="G191" i="33" s="1"/>
  <c r="AR2" i="2"/>
  <c r="AR3"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D30" i="33"/>
  <c r="D31" i="33"/>
  <c r="F23" i="33"/>
  <c r="F24" i="33"/>
  <c r="F25" i="33"/>
  <c r="F26" i="33"/>
  <c r="F27" i="33"/>
  <c r="F28" i="33"/>
  <c r="G28" i="33" s="1"/>
  <c r="F29" i="33"/>
  <c r="F30" i="33"/>
  <c r="F31" i="33"/>
  <c r="D23" i="33"/>
  <c r="D24" i="33"/>
  <c r="D25" i="33"/>
  <c r="D26" i="33"/>
  <c r="D27" i="33"/>
  <c r="D28" i="33"/>
  <c r="D29" i="33"/>
  <c r="D22" i="33"/>
  <c r="G24" i="33" l="1"/>
  <c r="G29" i="33"/>
  <c r="G31" i="33"/>
  <c r="G27" i="33"/>
  <c r="G30" i="33"/>
  <c r="G22" i="33"/>
  <c r="G23" i="33"/>
  <c r="G25" i="33"/>
  <c r="G26" i="33"/>
  <c r="F100" i="33" a="1"/>
  <c r="F100" i="33" s="1"/>
  <c r="F38" i="33" a="1"/>
  <c r="F38" i="33" s="1"/>
  <c r="AA14" i="34"/>
  <c r="V14" i="34"/>
  <c r="F148" i="33" a="1"/>
  <c r="F148" i="33" s="1"/>
  <c r="E148" i="33" a="1"/>
  <c r="E148" i="33" s="1"/>
  <c r="F131" i="33" a="1"/>
  <c r="F131" i="33" s="1"/>
  <c r="E131" i="33" a="1"/>
  <c r="E131" i="33" s="1"/>
  <c r="F116" i="33" a="1"/>
  <c r="F116" i="33" s="1"/>
  <c r="E116" i="33" a="1"/>
  <c r="E116" i="33" s="1"/>
  <c r="E100" i="33" a="1"/>
  <c r="E100" i="33" s="1"/>
  <c r="F83" i="33" a="1"/>
  <c r="F83" i="33" s="1"/>
  <c r="E83" i="33" a="1"/>
  <c r="E83" i="33" s="1"/>
  <c r="F68" i="33" a="1"/>
  <c r="F68" i="33" s="1"/>
  <c r="E68" i="33" a="1"/>
  <c r="E68" i="33" s="1"/>
  <c r="F54" i="33" a="1"/>
  <c r="F54" i="33" s="1"/>
  <c r="E54" i="33" a="1"/>
  <c r="E54" i="33" s="1"/>
  <c r="E38" i="33" a="1"/>
  <c r="E38" i="33" s="1"/>
  <c r="E22" i="33" a="1"/>
  <c r="E22" i="33" s="1"/>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F5" i="29"/>
  <c r="F5" i="29" a="1"/>
  <c r="B5" i="29"/>
  <c r="A5" i="29"/>
  <c r="A5" i="29" a="1"/>
  <c r="P15" i="27"/>
  <c r="O15" i="27"/>
  <c r="P14" i="27"/>
  <c r="O14" i="27"/>
  <c r="P13" i="27"/>
  <c r="O13" i="27"/>
  <c r="P12" i="27"/>
  <c r="O12" i="27"/>
  <c r="P11" i="27"/>
  <c r="O11" i="27"/>
  <c r="P10" i="27"/>
  <c r="O10" i="27"/>
  <c r="P9" i="27"/>
  <c r="O9" i="27"/>
  <c r="P8" i="27"/>
  <c r="O8" i="27"/>
  <c r="P7" i="27"/>
  <c r="O7" i="27"/>
  <c r="P6" i="27"/>
  <c r="O6" i="27"/>
  <c r="P5" i="27"/>
  <c r="O5" i="27"/>
  <c r="AW97" i="2"/>
  <c r="AJ97" i="2" a="1"/>
  <c r="AJ97" i="2" s="1"/>
  <c r="AW96" i="2"/>
  <c r="AJ96" i="2" a="1"/>
  <c r="AJ96" i="2" s="1"/>
  <c r="AW95" i="2"/>
  <c r="AJ95" i="2" a="1"/>
  <c r="AJ95" i="2" s="1"/>
  <c r="AW94" i="2"/>
  <c r="AJ94" i="2" a="1"/>
  <c r="AJ94" i="2" s="1"/>
  <c r="AW93" i="2"/>
  <c r="AJ93" i="2" a="1"/>
  <c r="AJ93" i="2" s="1"/>
  <c r="AW92" i="2"/>
  <c r="AJ92" i="2" a="1"/>
  <c r="AJ92" i="2" s="1"/>
  <c r="AW91" i="2"/>
  <c r="AJ91" i="2" a="1"/>
  <c r="AJ91" i="2" s="1"/>
  <c r="AW90" i="2"/>
  <c r="AJ90" i="2" a="1"/>
  <c r="AJ90" i="2" s="1"/>
  <c r="AW89" i="2"/>
  <c r="AJ89" i="2" a="1"/>
  <c r="AJ89" i="2" s="1"/>
  <c r="AW88" i="2"/>
  <c r="AJ88" i="2" a="1"/>
  <c r="AJ88" i="2" s="1"/>
  <c r="AW87" i="2"/>
  <c r="AJ87" i="2" a="1"/>
  <c r="AJ87" i="2" s="1"/>
  <c r="AW86" i="2"/>
  <c r="AJ86" i="2" a="1"/>
  <c r="AJ86" i="2" s="1"/>
  <c r="AW85" i="2"/>
  <c r="AJ85" i="2" a="1"/>
  <c r="AJ85" i="2" s="1"/>
  <c r="AW84" i="2"/>
  <c r="AJ84" i="2" a="1"/>
  <c r="AJ84" i="2" s="1"/>
  <c r="AW83" i="2"/>
  <c r="AJ83" i="2" a="1"/>
  <c r="AJ83" i="2" s="1"/>
  <c r="AW82" i="2"/>
  <c r="AJ82" i="2" a="1"/>
  <c r="AJ82" i="2" s="1"/>
  <c r="AW81" i="2"/>
  <c r="AJ81" i="2" a="1"/>
  <c r="AJ81" i="2" s="1"/>
  <c r="AW80" i="2"/>
  <c r="AJ80" i="2" a="1"/>
  <c r="AJ80" i="2" s="1"/>
  <c r="AW79" i="2"/>
  <c r="AJ79" i="2" a="1"/>
  <c r="AJ79" i="2" s="1"/>
  <c r="AW78" i="2"/>
  <c r="AJ78" i="2" a="1"/>
  <c r="AJ78" i="2" s="1"/>
  <c r="AW77" i="2"/>
  <c r="AJ77" i="2" a="1"/>
  <c r="AJ77" i="2" s="1"/>
  <c r="AW76" i="2"/>
  <c r="AJ76" i="2" a="1"/>
  <c r="AJ76" i="2" s="1"/>
  <c r="AW75" i="2"/>
  <c r="AJ75" i="2" a="1"/>
  <c r="AJ75" i="2" s="1"/>
  <c r="AW74" i="2"/>
  <c r="AJ74" i="2" a="1"/>
  <c r="AJ74" i="2" s="1"/>
  <c r="AW73" i="2"/>
  <c r="AJ73" i="2" a="1"/>
  <c r="AJ73" i="2" s="1"/>
  <c r="AW72" i="2"/>
  <c r="AJ72" i="2" a="1"/>
  <c r="AJ72" i="2" s="1"/>
  <c r="AW71" i="2"/>
  <c r="AJ71" i="2" a="1"/>
  <c r="AJ71" i="2" s="1"/>
  <c r="AW70" i="2"/>
  <c r="AJ70" i="2" a="1"/>
  <c r="AJ70" i="2" s="1"/>
  <c r="AW69" i="2"/>
  <c r="AJ69" i="2" a="1"/>
  <c r="AJ69" i="2" s="1"/>
  <c r="AW68" i="2"/>
  <c r="AJ68" i="2" a="1"/>
  <c r="AJ68" i="2" s="1"/>
  <c r="AW67" i="2"/>
  <c r="AJ67" i="2" a="1"/>
  <c r="AJ67" i="2" s="1"/>
  <c r="AW66" i="2"/>
  <c r="AJ66" i="2" a="1"/>
  <c r="AJ66" i="2" s="1"/>
  <c r="AW65" i="2"/>
  <c r="AJ65" i="2" a="1"/>
  <c r="AJ65" i="2" s="1"/>
  <c r="AW64" i="2"/>
  <c r="AJ64" i="2" a="1"/>
  <c r="AJ64" i="2" s="1"/>
  <c r="AW63" i="2"/>
  <c r="AJ63" i="2" a="1"/>
  <c r="AJ63" i="2" s="1"/>
  <c r="AW62" i="2"/>
  <c r="AJ62" i="2" a="1"/>
  <c r="AJ62" i="2" s="1"/>
  <c r="AW61" i="2"/>
  <c r="AJ61" i="2" a="1"/>
  <c r="AJ61" i="2" s="1"/>
  <c r="AW60" i="2"/>
  <c r="AJ60" i="2" a="1"/>
  <c r="AJ60" i="2" s="1"/>
  <c r="AW59" i="2"/>
  <c r="AJ59" i="2" a="1"/>
  <c r="AJ59" i="2" s="1"/>
  <c r="AW58" i="2"/>
  <c r="AJ58" i="2" a="1"/>
  <c r="AJ58" i="2" s="1"/>
  <c r="AW57" i="2"/>
  <c r="AJ57" i="2" a="1"/>
  <c r="AJ57" i="2" s="1"/>
  <c r="AW56" i="2"/>
  <c r="AJ56" i="2" a="1"/>
  <c r="AJ56" i="2" s="1"/>
  <c r="AW55" i="2"/>
  <c r="AJ55" i="2" a="1"/>
  <c r="AJ55" i="2" s="1"/>
  <c r="AW54" i="2"/>
  <c r="AJ54" i="2" a="1"/>
  <c r="AJ54" i="2" s="1"/>
  <c r="AW53" i="2"/>
  <c r="AJ53" i="2" a="1"/>
  <c r="AJ53" i="2" s="1"/>
  <c r="AW52" i="2"/>
  <c r="AJ52" i="2" a="1"/>
  <c r="AJ52" i="2" s="1"/>
  <c r="AW51" i="2"/>
  <c r="AJ51" i="2" a="1"/>
  <c r="AJ51" i="2" s="1"/>
  <c r="AW50" i="2"/>
  <c r="AJ50" i="2" a="1"/>
  <c r="AJ50" i="2" s="1"/>
  <c r="AW49" i="2"/>
  <c r="AJ49" i="2" a="1"/>
  <c r="AJ49" i="2" s="1"/>
  <c r="W49" i="2"/>
  <c r="Q49" i="2"/>
  <c r="R49" i="2" s="1"/>
  <c r="O49" i="2"/>
  <c r="N49" i="2"/>
  <c r="M49" i="2"/>
  <c r="K49" i="2"/>
  <c r="J49" i="2"/>
  <c r="I49" i="2"/>
  <c r="H49" i="2"/>
  <c r="G49" i="2"/>
  <c r="BA97" i="2" s="1"/>
  <c r="F49" i="2"/>
  <c r="E49" i="2"/>
  <c r="D49" i="2"/>
  <c r="C49" i="2"/>
  <c r="B49" i="2"/>
  <c r="AW48" i="2"/>
  <c r="AJ48" i="2" a="1"/>
  <c r="AJ48" i="2" s="1"/>
  <c r="W48" i="2"/>
  <c r="Q48" i="2"/>
  <c r="S48" i="2" s="1"/>
  <c r="O48" i="2"/>
  <c r="N48" i="2"/>
  <c r="M48" i="2"/>
  <c r="K48" i="2"/>
  <c r="J48" i="2"/>
  <c r="L48" i="2" s="1"/>
  <c r="I48" i="2"/>
  <c r="H48" i="2"/>
  <c r="G48" i="2"/>
  <c r="BA95" i="2" s="1"/>
  <c r="F48" i="2"/>
  <c r="E48" i="2"/>
  <c r="D48" i="2"/>
  <c r="C48" i="2"/>
  <c r="B48" i="2"/>
  <c r="AW47" i="2"/>
  <c r="AJ47" i="2" a="1"/>
  <c r="AJ47" i="2" s="1"/>
  <c r="W47" i="2"/>
  <c r="Q47" i="2"/>
  <c r="S47" i="2" s="1"/>
  <c r="T47" i="2" s="1"/>
  <c r="O47" i="2"/>
  <c r="N47" i="2"/>
  <c r="P47" i="2" s="1"/>
  <c r="M47" i="2"/>
  <c r="K47" i="2"/>
  <c r="J47" i="2"/>
  <c r="I47" i="2"/>
  <c r="H47" i="2"/>
  <c r="AX92" i="2" s="1"/>
  <c r="G47" i="2"/>
  <c r="F47" i="2"/>
  <c r="E47" i="2"/>
  <c r="D47" i="2"/>
  <c r="C47" i="2"/>
  <c r="B47" i="2"/>
  <c r="AW46" i="2"/>
  <c r="AJ46" i="2" a="1"/>
  <c r="AJ46" i="2" s="1"/>
  <c r="W46" i="2"/>
  <c r="Q46" i="2"/>
  <c r="O46" i="2"/>
  <c r="N46" i="2"/>
  <c r="M46" i="2"/>
  <c r="K46" i="2"/>
  <c r="J46" i="2"/>
  <c r="I46" i="2"/>
  <c r="H46" i="2"/>
  <c r="AX91" i="2" s="1"/>
  <c r="AZ91" i="2" s="1"/>
  <c r="G46" i="2"/>
  <c r="U46" i="2" s="1"/>
  <c r="V46" i="2" s="1"/>
  <c r="F46" i="2"/>
  <c r="E46" i="2"/>
  <c r="D46" i="2"/>
  <c r="C46" i="2"/>
  <c r="B46" i="2"/>
  <c r="AW45" i="2"/>
  <c r="AJ45" i="2" a="1"/>
  <c r="AJ45" i="2" s="1"/>
  <c r="W45" i="2"/>
  <c r="Q45" i="2"/>
  <c r="R45" i="2" s="1"/>
  <c r="O45" i="2"/>
  <c r="N45" i="2"/>
  <c r="M45" i="2"/>
  <c r="K45" i="2"/>
  <c r="J45" i="2"/>
  <c r="I45" i="2"/>
  <c r="H45" i="2"/>
  <c r="G45" i="2"/>
  <c r="F45" i="2"/>
  <c r="E45" i="2"/>
  <c r="D45" i="2"/>
  <c r="C45" i="2"/>
  <c r="B45" i="2"/>
  <c r="AW44" i="2"/>
  <c r="AJ44" i="2" a="1"/>
  <c r="AJ44" i="2" s="1"/>
  <c r="W44" i="2"/>
  <c r="Q44" i="2"/>
  <c r="R44" i="2" s="1"/>
  <c r="O44" i="2"/>
  <c r="N44" i="2"/>
  <c r="M44" i="2"/>
  <c r="K44" i="2"/>
  <c r="J44" i="2"/>
  <c r="I44" i="2"/>
  <c r="H44" i="2"/>
  <c r="AX86" i="2" s="1"/>
  <c r="G44" i="2"/>
  <c r="BA86" i="2" s="1"/>
  <c r="F44" i="2"/>
  <c r="E44" i="2"/>
  <c r="D44" i="2"/>
  <c r="C44" i="2"/>
  <c r="B44" i="2"/>
  <c r="AW43" i="2"/>
  <c r="AJ43" i="2" a="1"/>
  <c r="AJ43" i="2" s="1"/>
  <c r="W43" i="2"/>
  <c r="Q43" i="2"/>
  <c r="S43" i="2" s="1"/>
  <c r="O43" i="2"/>
  <c r="N43" i="2"/>
  <c r="M43" i="2"/>
  <c r="K43" i="2"/>
  <c r="J43" i="2"/>
  <c r="L43" i="2" s="1"/>
  <c r="I43" i="2"/>
  <c r="H43" i="2"/>
  <c r="AX85" i="2" s="1"/>
  <c r="AZ85" i="2" s="1"/>
  <c r="G43" i="2"/>
  <c r="BA85" i="2" s="1"/>
  <c r="F43" i="2"/>
  <c r="E43" i="2"/>
  <c r="D43" i="2"/>
  <c r="C43" i="2"/>
  <c r="B43" i="2"/>
  <c r="AW42" i="2"/>
  <c r="AJ42" i="2" a="1"/>
  <c r="AJ42" i="2" s="1"/>
  <c r="W42" i="2"/>
  <c r="Q42" i="2"/>
  <c r="R42" i="2" s="1"/>
  <c r="O42" i="2"/>
  <c r="N42" i="2"/>
  <c r="M42" i="2"/>
  <c r="K42" i="2"/>
  <c r="J42" i="2"/>
  <c r="I42" i="2"/>
  <c r="H42" i="2"/>
  <c r="G42" i="2"/>
  <c r="BA82" i="2" s="1"/>
  <c r="F42" i="2"/>
  <c r="E42" i="2"/>
  <c r="D42" i="2"/>
  <c r="C42" i="2"/>
  <c r="B42" i="2"/>
  <c r="AW41" i="2"/>
  <c r="AJ41" i="2" a="1"/>
  <c r="AJ41" i="2" s="1"/>
  <c r="W41" i="2"/>
  <c r="Q41" i="2"/>
  <c r="R41" i="2" s="1"/>
  <c r="O41" i="2"/>
  <c r="N41" i="2"/>
  <c r="P41" i="2" s="1"/>
  <c r="M41" i="2"/>
  <c r="K41" i="2"/>
  <c r="J41" i="2"/>
  <c r="I41" i="2"/>
  <c r="H41" i="2"/>
  <c r="AX81" i="2" s="1"/>
  <c r="G41" i="2"/>
  <c r="BA81" i="2" s="1"/>
  <c r="F41" i="2"/>
  <c r="E41" i="2"/>
  <c r="D41" i="2"/>
  <c r="C41" i="2"/>
  <c r="B41" i="2"/>
  <c r="AW40" i="2"/>
  <c r="AJ40" i="2" a="1"/>
  <c r="AJ40" i="2" s="1"/>
  <c r="W40" i="2"/>
  <c r="Q40" i="2"/>
  <c r="S40" i="2" s="1"/>
  <c r="O40" i="2"/>
  <c r="N40" i="2"/>
  <c r="P40" i="2" s="1"/>
  <c r="M40" i="2"/>
  <c r="K40" i="2"/>
  <c r="J40" i="2"/>
  <c r="I40" i="2"/>
  <c r="H40" i="2"/>
  <c r="AX79" i="2" s="1"/>
  <c r="AZ79" i="2" s="1"/>
  <c r="G40" i="2"/>
  <c r="BA79" i="2" s="1"/>
  <c r="F40" i="2"/>
  <c r="E40" i="2"/>
  <c r="D40" i="2"/>
  <c r="C40" i="2"/>
  <c r="B40" i="2"/>
  <c r="AW39" i="2"/>
  <c r="AJ39" i="2" a="1"/>
  <c r="AJ39" i="2" s="1"/>
  <c r="W39" i="2"/>
  <c r="Q39" i="2"/>
  <c r="S39" i="2" s="1"/>
  <c r="O39" i="2"/>
  <c r="N39" i="2"/>
  <c r="M39" i="2"/>
  <c r="K39" i="2"/>
  <c r="J39" i="2"/>
  <c r="I39" i="2"/>
  <c r="H39" i="2"/>
  <c r="AX76" i="2" s="1"/>
  <c r="AZ76" i="2" s="1"/>
  <c r="G39" i="2"/>
  <c r="F39" i="2"/>
  <c r="E39" i="2"/>
  <c r="D39" i="2"/>
  <c r="C39" i="2"/>
  <c r="B39" i="2"/>
  <c r="AW38" i="2"/>
  <c r="AJ38" i="2" a="1"/>
  <c r="AJ38" i="2" s="1"/>
  <c r="W38" i="2"/>
  <c r="Q38" i="2"/>
  <c r="R38" i="2" s="1"/>
  <c r="O38" i="2"/>
  <c r="N38" i="2"/>
  <c r="P38" i="2" s="1"/>
  <c r="M38" i="2"/>
  <c r="K38" i="2"/>
  <c r="J38" i="2"/>
  <c r="L38" i="2" s="1"/>
  <c r="I38" i="2"/>
  <c r="H38" i="2"/>
  <c r="AX75" i="2" s="1"/>
  <c r="G38" i="2"/>
  <c r="BA75" i="2" s="1"/>
  <c r="F38" i="2"/>
  <c r="E38" i="2"/>
  <c r="D38" i="2"/>
  <c r="C38" i="2"/>
  <c r="B38" i="2"/>
  <c r="AW37" i="2"/>
  <c r="AJ37" i="2" a="1"/>
  <c r="AJ37" i="2" s="1"/>
  <c r="W37" i="2"/>
  <c r="U37" i="2"/>
  <c r="V37" i="2" s="1"/>
  <c r="Q37" i="2"/>
  <c r="S37" i="2" s="1"/>
  <c r="O37" i="2"/>
  <c r="N37" i="2"/>
  <c r="M37" i="2"/>
  <c r="K37" i="2"/>
  <c r="J37" i="2"/>
  <c r="I37" i="2"/>
  <c r="H37" i="2"/>
  <c r="G37" i="2"/>
  <c r="F37" i="2"/>
  <c r="E37" i="2"/>
  <c r="D37" i="2"/>
  <c r="C37" i="2"/>
  <c r="B37" i="2"/>
  <c r="AW36" i="2"/>
  <c r="AJ36" i="2" a="1"/>
  <c r="AJ36" i="2" s="1"/>
  <c r="W36" i="2"/>
  <c r="Q36" i="2"/>
  <c r="S36" i="2" s="1"/>
  <c r="T36" i="2" s="1"/>
  <c r="O36" i="2"/>
  <c r="N36" i="2"/>
  <c r="M36" i="2"/>
  <c r="K36" i="2"/>
  <c r="J36" i="2"/>
  <c r="L36" i="2" s="1"/>
  <c r="I36" i="2"/>
  <c r="H36" i="2"/>
  <c r="AX70" i="2" s="1"/>
  <c r="AZ70" i="2" s="1"/>
  <c r="G36" i="2"/>
  <c r="BA70" i="2" s="1"/>
  <c r="F36" i="2"/>
  <c r="E36" i="2"/>
  <c r="D36" i="2"/>
  <c r="C36" i="2"/>
  <c r="B36" i="2"/>
  <c r="AW35" i="2"/>
  <c r="AJ35" i="2" a="1"/>
  <c r="AJ35" i="2" s="1"/>
  <c r="W35" i="2"/>
  <c r="Q35" i="2"/>
  <c r="R35" i="2" s="1"/>
  <c r="O35" i="2"/>
  <c r="N35" i="2"/>
  <c r="M35" i="2"/>
  <c r="K35" i="2"/>
  <c r="J35" i="2"/>
  <c r="I35" i="2"/>
  <c r="H35" i="2"/>
  <c r="AX69" i="2" s="1"/>
  <c r="AZ69" i="2" s="1"/>
  <c r="G35" i="2"/>
  <c r="BA69" i="2" s="1"/>
  <c r="F35" i="2"/>
  <c r="E35" i="2"/>
  <c r="D35" i="2"/>
  <c r="C35" i="2"/>
  <c r="B35" i="2"/>
  <c r="AW34" i="2"/>
  <c r="AJ34" i="2" a="1"/>
  <c r="AJ34" i="2" s="1"/>
  <c r="W34" i="2"/>
  <c r="Q34" i="2"/>
  <c r="S34" i="2" s="1"/>
  <c r="O34" i="2"/>
  <c r="N34" i="2"/>
  <c r="M34" i="2"/>
  <c r="K34" i="2"/>
  <c r="J34" i="2"/>
  <c r="L34" i="2" s="1"/>
  <c r="I34" i="2"/>
  <c r="H34" i="2"/>
  <c r="AX67" i="2" s="1"/>
  <c r="AZ67" i="2" s="1"/>
  <c r="G34" i="2"/>
  <c r="U34" i="2" s="1"/>
  <c r="V34" i="2" s="1"/>
  <c r="F34" i="2"/>
  <c r="E34" i="2"/>
  <c r="D34" i="2"/>
  <c r="C34" i="2"/>
  <c r="B34" i="2"/>
  <c r="AW33" i="2"/>
  <c r="AJ33" i="2" a="1"/>
  <c r="AJ33" i="2" s="1"/>
  <c r="W33" i="2"/>
  <c r="Q33" i="2"/>
  <c r="R33" i="2" s="1"/>
  <c r="O33" i="2"/>
  <c r="N33" i="2"/>
  <c r="P33" i="2" s="1"/>
  <c r="M33" i="2"/>
  <c r="K33" i="2"/>
  <c r="J33" i="2"/>
  <c r="I33" i="2"/>
  <c r="H33" i="2"/>
  <c r="AX64" i="2" s="1"/>
  <c r="AZ64" i="2" s="1"/>
  <c r="G33" i="2"/>
  <c r="F33" i="2"/>
  <c r="E33" i="2"/>
  <c r="D33" i="2"/>
  <c r="C33" i="2"/>
  <c r="B33" i="2"/>
  <c r="AW32" i="2"/>
  <c r="AJ32" i="2" a="1"/>
  <c r="AJ32" i="2" s="1"/>
  <c r="W32" i="2"/>
  <c r="Q32" i="2"/>
  <c r="R32" i="2" s="1"/>
  <c r="O32" i="2"/>
  <c r="N32" i="2"/>
  <c r="M32" i="2"/>
  <c r="K32" i="2"/>
  <c r="J32" i="2"/>
  <c r="I32" i="2"/>
  <c r="H32" i="2"/>
  <c r="AX63" i="2" s="1"/>
  <c r="G32" i="2"/>
  <c r="F32" i="2"/>
  <c r="E32" i="2"/>
  <c r="D32" i="2"/>
  <c r="C32" i="2"/>
  <c r="B32" i="2"/>
  <c r="AW31" i="2"/>
  <c r="AJ31" i="2" a="1"/>
  <c r="AJ31" i="2" s="1"/>
  <c r="W31" i="2"/>
  <c r="Q31" i="2"/>
  <c r="S31" i="2" s="1"/>
  <c r="O31" i="2"/>
  <c r="N31" i="2"/>
  <c r="P31" i="2" s="1"/>
  <c r="M31" i="2"/>
  <c r="K31" i="2"/>
  <c r="J31" i="2"/>
  <c r="L31" i="2" s="1"/>
  <c r="I31" i="2"/>
  <c r="H31" i="2"/>
  <c r="G31" i="2"/>
  <c r="BA61" i="2" s="1"/>
  <c r="F31" i="2"/>
  <c r="E31" i="2"/>
  <c r="D31" i="2"/>
  <c r="C31" i="2"/>
  <c r="B31" i="2"/>
  <c r="AW30" i="2"/>
  <c r="AJ30" i="2" a="1"/>
  <c r="AJ30" i="2" s="1"/>
  <c r="W30" i="2"/>
  <c r="Q30" i="2"/>
  <c r="S30" i="2" s="1"/>
  <c r="T30" i="2" s="1"/>
  <c r="O30" i="2"/>
  <c r="N30" i="2"/>
  <c r="M30" i="2"/>
  <c r="K30" i="2"/>
  <c r="J30" i="2"/>
  <c r="I30" i="2"/>
  <c r="H30" i="2"/>
  <c r="G30" i="2"/>
  <c r="BA59" i="2" s="1"/>
  <c r="F30" i="2"/>
  <c r="E30" i="2"/>
  <c r="D30" i="2"/>
  <c r="C30" i="2"/>
  <c r="B30" i="2"/>
  <c r="AW29" i="2"/>
  <c r="AJ29" i="2" a="1"/>
  <c r="AJ29" i="2" s="1"/>
  <c r="W29" i="2"/>
  <c r="Q29" i="2"/>
  <c r="S29" i="2" s="1"/>
  <c r="Y29" i="2" s="1" a="1"/>
  <c r="Y29" i="2" s="1"/>
  <c r="O29" i="2"/>
  <c r="N29" i="2"/>
  <c r="P29" i="2" s="1"/>
  <c r="M29" i="2"/>
  <c r="K29" i="2"/>
  <c r="J29" i="2"/>
  <c r="I29" i="2"/>
  <c r="H29" i="2"/>
  <c r="AX56" i="2" s="1"/>
  <c r="AZ56" i="2" s="1"/>
  <c r="G29" i="2"/>
  <c r="BA56" i="2" s="1"/>
  <c r="F29" i="2"/>
  <c r="E29" i="2"/>
  <c r="D29" i="2"/>
  <c r="C29" i="2"/>
  <c r="B29" i="2"/>
  <c r="AW28" i="2"/>
  <c r="AJ28" i="2" a="1"/>
  <c r="AJ28" i="2" s="1"/>
  <c r="W28" i="2"/>
  <c r="Q28" i="2"/>
  <c r="S28" i="2" s="1"/>
  <c r="O28" i="2"/>
  <c r="N28" i="2"/>
  <c r="P28" i="2" s="1"/>
  <c r="M28" i="2"/>
  <c r="K28" i="2"/>
  <c r="J28" i="2"/>
  <c r="I28" i="2"/>
  <c r="H28" i="2"/>
  <c r="AX55" i="2" s="1"/>
  <c r="AZ55" i="2" s="1"/>
  <c r="G28" i="2"/>
  <c r="BA55" i="2" s="1"/>
  <c r="F28" i="2"/>
  <c r="E28" i="2"/>
  <c r="D28" i="2"/>
  <c r="C28" i="2"/>
  <c r="B28" i="2"/>
  <c r="AW27" i="2"/>
  <c r="AJ27" i="2" a="1"/>
  <c r="AJ27" i="2" s="1"/>
  <c r="W27" i="2"/>
  <c r="Q27" i="2"/>
  <c r="S27" i="2" s="1"/>
  <c r="O27" i="2"/>
  <c r="N27" i="2"/>
  <c r="M27" i="2"/>
  <c r="K27" i="2"/>
  <c r="J27" i="2"/>
  <c r="I27" i="2"/>
  <c r="H27" i="2"/>
  <c r="G27" i="2"/>
  <c r="U27" i="2" s="1"/>
  <c r="V27" i="2" s="1"/>
  <c r="F27" i="2"/>
  <c r="E27" i="2"/>
  <c r="D27" i="2"/>
  <c r="C27" i="2"/>
  <c r="B27" i="2"/>
  <c r="AW26" i="2"/>
  <c r="AJ26" i="2" a="1"/>
  <c r="AJ26" i="2" s="1"/>
  <c r="W26" i="2"/>
  <c r="Q26" i="2"/>
  <c r="R26" i="2" s="1"/>
  <c r="O26" i="2"/>
  <c r="N26" i="2"/>
  <c r="P26" i="2" s="1"/>
  <c r="M26" i="2"/>
  <c r="K26" i="2"/>
  <c r="J26" i="2"/>
  <c r="I26" i="2"/>
  <c r="H26" i="2"/>
  <c r="AX50" i="2" s="1"/>
  <c r="G26" i="2"/>
  <c r="BA50" i="2" s="1"/>
  <c r="F26" i="2"/>
  <c r="E26" i="2"/>
  <c r="D26" i="2"/>
  <c r="C26" i="2"/>
  <c r="B26" i="2"/>
  <c r="AW25" i="2"/>
  <c r="AJ25" i="2" a="1"/>
  <c r="AJ25" i="2" s="1"/>
  <c r="W25" i="2"/>
  <c r="Q25" i="2"/>
  <c r="S25" i="2" s="1"/>
  <c r="Y25" i="2" s="1" a="1"/>
  <c r="Y25" i="2" s="1"/>
  <c r="O25" i="2"/>
  <c r="N25" i="2"/>
  <c r="M25" i="2"/>
  <c r="K25" i="2"/>
  <c r="J25" i="2"/>
  <c r="I25" i="2"/>
  <c r="H25" i="2"/>
  <c r="G25" i="2"/>
  <c r="F25" i="2"/>
  <c r="E25" i="2"/>
  <c r="D25" i="2"/>
  <c r="C25" i="2"/>
  <c r="B25" i="2"/>
  <c r="AW24" i="2"/>
  <c r="AJ24" i="2" a="1"/>
  <c r="AJ24" i="2" s="1"/>
  <c r="W24" i="2"/>
  <c r="Q24" i="2"/>
  <c r="R24" i="2" s="1"/>
  <c r="O24" i="2"/>
  <c r="N24" i="2"/>
  <c r="M24" i="2"/>
  <c r="K24" i="2"/>
  <c r="J24" i="2"/>
  <c r="I24" i="2"/>
  <c r="H24" i="2"/>
  <c r="G24" i="2"/>
  <c r="BA47" i="2" s="1"/>
  <c r="F24" i="2"/>
  <c r="E24" i="2"/>
  <c r="D24" i="2"/>
  <c r="C24" i="2"/>
  <c r="B24" i="2"/>
  <c r="AW23" i="2"/>
  <c r="AJ23" i="2" a="1"/>
  <c r="AJ23" i="2" s="1"/>
  <c r="W23" i="2"/>
  <c r="Q23" i="2"/>
  <c r="R23" i="2" s="1"/>
  <c r="O23" i="2"/>
  <c r="N23" i="2"/>
  <c r="M23" i="2"/>
  <c r="K23" i="2"/>
  <c r="J23" i="2"/>
  <c r="I23" i="2"/>
  <c r="H23" i="2"/>
  <c r="G23" i="2"/>
  <c r="BA44" i="2" s="1"/>
  <c r="F23" i="2"/>
  <c r="E23" i="2"/>
  <c r="D23" i="2"/>
  <c r="C23" i="2"/>
  <c r="B23" i="2"/>
  <c r="AW22" i="2"/>
  <c r="AJ22" i="2" a="1"/>
  <c r="AJ22" i="2" s="1"/>
  <c r="W22" i="2"/>
  <c r="Q22" i="2"/>
  <c r="S22" i="2" s="1"/>
  <c r="O22" i="2"/>
  <c r="N22" i="2"/>
  <c r="M22" i="2"/>
  <c r="K22" i="2"/>
  <c r="J22" i="2"/>
  <c r="I22" i="2"/>
  <c r="H22" i="2"/>
  <c r="G22" i="2"/>
  <c r="BA42" i="2" s="1"/>
  <c r="F22" i="2"/>
  <c r="E22" i="2"/>
  <c r="D22" i="2"/>
  <c r="C22" i="2"/>
  <c r="B22" i="2"/>
  <c r="AW21" i="2"/>
  <c r="AJ21" i="2" a="1"/>
  <c r="AJ21" i="2" s="1"/>
  <c r="W21" i="2"/>
  <c r="Q21" i="2"/>
  <c r="R21" i="2" s="1"/>
  <c r="O21" i="2"/>
  <c r="N21" i="2"/>
  <c r="P21" i="2" s="1"/>
  <c r="M21" i="2"/>
  <c r="K21" i="2"/>
  <c r="J21" i="2"/>
  <c r="I21" i="2"/>
  <c r="H21" i="2"/>
  <c r="G21" i="2"/>
  <c r="BA41" i="2" s="1"/>
  <c r="F21" i="2"/>
  <c r="E21" i="2"/>
  <c r="D21" i="2"/>
  <c r="C21" i="2"/>
  <c r="B21" i="2"/>
  <c r="AW20" i="2"/>
  <c r="AJ20" i="2" a="1"/>
  <c r="AJ20" i="2" s="1"/>
  <c r="W20" i="2"/>
  <c r="Q20" i="2"/>
  <c r="R20" i="2" s="1"/>
  <c r="O20" i="2"/>
  <c r="N20" i="2"/>
  <c r="M20" i="2"/>
  <c r="K20" i="2"/>
  <c r="J20" i="2"/>
  <c r="I20" i="2"/>
  <c r="H20" i="2"/>
  <c r="G20" i="2"/>
  <c r="BA39" i="2" s="1"/>
  <c r="F20" i="2"/>
  <c r="E20" i="2"/>
  <c r="D20" i="2"/>
  <c r="C20" i="2"/>
  <c r="B20" i="2"/>
  <c r="AW19" i="2"/>
  <c r="AJ19" i="2" a="1"/>
  <c r="AJ19" i="2" s="1"/>
  <c r="W19" i="2"/>
  <c r="Q19" i="2"/>
  <c r="S19" i="2" s="1"/>
  <c r="T19" i="2" s="1"/>
  <c r="O19" i="2"/>
  <c r="N19" i="2"/>
  <c r="M19" i="2"/>
  <c r="K19" i="2"/>
  <c r="J19" i="2"/>
  <c r="I19" i="2"/>
  <c r="H19" i="2"/>
  <c r="G19" i="2"/>
  <c r="BA36" i="2" s="1"/>
  <c r="F19" i="2"/>
  <c r="E19" i="2"/>
  <c r="D19" i="2"/>
  <c r="C19" i="2"/>
  <c r="B19" i="2"/>
  <c r="AW18" i="2"/>
  <c r="AJ18" i="2" a="1"/>
  <c r="AJ18" i="2" s="1"/>
  <c r="W18" i="2"/>
  <c r="Q18" i="2"/>
  <c r="R18" i="2" s="1"/>
  <c r="O18" i="2"/>
  <c r="N18" i="2"/>
  <c r="M18" i="2"/>
  <c r="K18" i="2"/>
  <c r="J18" i="2"/>
  <c r="I18" i="2"/>
  <c r="H18" i="2"/>
  <c r="G18" i="2"/>
  <c r="BA35" i="2" s="1"/>
  <c r="F18" i="2"/>
  <c r="E18" i="2"/>
  <c r="D18" i="2"/>
  <c r="C18" i="2"/>
  <c r="B18" i="2"/>
  <c r="AW17" i="2"/>
  <c r="AJ17" i="2" a="1"/>
  <c r="AJ17" i="2" s="1"/>
  <c r="W17" i="2"/>
  <c r="Q17" i="2"/>
  <c r="R17" i="2" s="1"/>
  <c r="O17" i="2"/>
  <c r="N17" i="2"/>
  <c r="P17" i="2" s="1"/>
  <c r="M17" i="2"/>
  <c r="K17" i="2"/>
  <c r="J17" i="2"/>
  <c r="I17" i="2"/>
  <c r="H17" i="2"/>
  <c r="G17" i="2"/>
  <c r="BA32" i="2" s="1"/>
  <c r="F17" i="2"/>
  <c r="E17" i="2"/>
  <c r="D17" i="2"/>
  <c r="C17" i="2"/>
  <c r="B17" i="2"/>
  <c r="AW16" i="2"/>
  <c r="AJ16" i="2" a="1"/>
  <c r="AJ16" i="2" s="1"/>
  <c r="W16" i="2"/>
  <c r="Q16" i="2"/>
  <c r="S16" i="2" s="1"/>
  <c r="T16" i="2" s="1"/>
  <c r="O16" i="2"/>
  <c r="N16" i="2"/>
  <c r="M16" i="2"/>
  <c r="K16" i="2"/>
  <c r="J16" i="2"/>
  <c r="I16" i="2"/>
  <c r="H16" i="2"/>
  <c r="G16" i="2"/>
  <c r="BA30" i="2" s="1"/>
  <c r="F16" i="2"/>
  <c r="E16" i="2"/>
  <c r="D16" i="2"/>
  <c r="C16" i="2"/>
  <c r="B16" i="2"/>
  <c r="AW15" i="2"/>
  <c r="AJ15" i="2" a="1"/>
  <c r="AJ15" i="2" s="1"/>
  <c r="W15" i="2"/>
  <c r="Q15" i="2"/>
  <c r="O15" i="2"/>
  <c r="N15" i="2"/>
  <c r="M15" i="2"/>
  <c r="K15" i="2"/>
  <c r="J15" i="2"/>
  <c r="I15" i="2"/>
  <c r="H15" i="2"/>
  <c r="G15" i="2"/>
  <c r="BA29" i="2" s="1"/>
  <c r="F15" i="2"/>
  <c r="E15" i="2"/>
  <c r="D15" i="2"/>
  <c r="C15" i="2"/>
  <c r="B15" i="2"/>
  <c r="AW14" i="2"/>
  <c r="AJ14" i="2" a="1"/>
  <c r="AJ14" i="2" s="1"/>
  <c r="W14" i="2"/>
  <c r="Q14" i="2"/>
  <c r="O14" i="2"/>
  <c r="N14" i="2"/>
  <c r="P14" i="2" s="1"/>
  <c r="M14" i="2"/>
  <c r="K14" i="2"/>
  <c r="J14" i="2"/>
  <c r="I14" i="2"/>
  <c r="H14" i="2"/>
  <c r="G14" i="2"/>
  <c r="U14" i="2" s="1"/>
  <c r="V14" i="2" s="1"/>
  <c r="F14" i="2"/>
  <c r="E14" i="2"/>
  <c r="D14" i="2"/>
  <c r="C14" i="2"/>
  <c r="B14" i="2"/>
  <c r="AW13" i="2"/>
  <c r="AJ13" i="2" a="1"/>
  <c r="AJ13" i="2" s="1"/>
  <c r="W13" i="2"/>
  <c r="Q13" i="2"/>
  <c r="O13" i="2"/>
  <c r="N13" i="2"/>
  <c r="M13" i="2"/>
  <c r="K13" i="2"/>
  <c r="J13" i="2"/>
  <c r="I13" i="2"/>
  <c r="H13" i="2"/>
  <c r="G13" i="2"/>
  <c r="U13" i="2" s="1"/>
  <c r="V13" i="2" s="1"/>
  <c r="F13" i="2"/>
  <c r="E13" i="2"/>
  <c r="D13" i="2"/>
  <c r="C13" i="2"/>
  <c r="B13" i="2"/>
  <c r="AW12" i="2"/>
  <c r="AJ12" i="2" a="1"/>
  <c r="AJ12" i="2" s="1"/>
  <c r="W12" i="2"/>
  <c r="Q12" i="2"/>
  <c r="O12" i="2"/>
  <c r="N12" i="2"/>
  <c r="M12" i="2"/>
  <c r="K12" i="2"/>
  <c r="J12" i="2"/>
  <c r="I12" i="2"/>
  <c r="H12" i="2"/>
  <c r="G12" i="2"/>
  <c r="BA23" i="2" s="1"/>
  <c r="F12" i="2"/>
  <c r="E12" i="2"/>
  <c r="D12" i="2"/>
  <c r="C12" i="2"/>
  <c r="B12" i="2"/>
  <c r="AW11" i="2"/>
  <c r="AJ11" i="2" a="1"/>
  <c r="AJ11" i="2" s="1"/>
  <c r="W11" i="2"/>
  <c r="Q11" i="2"/>
  <c r="O11" i="2"/>
  <c r="N11" i="2"/>
  <c r="M11" i="2"/>
  <c r="K11" i="2"/>
  <c r="J11" i="2"/>
  <c r="I11" i="2"/>
  <c r="H11" i="2"/>
  <c r="G11" i="2"/>
  <c r="F11" i="2"/>
  <c r="E11" i="2"/>
  <c r="D11" i="2"/>
  <c r="C11" i="2"/>
  <c r="B11" i="2"/>
  <c r="AW10" i="2"/>
  <c r="AJ10" i="2" a="1"/>
  <c r="AJ10" i="2" s="1"/>
  <c r="W10" i="2"/>
  <c r="Q10" i="2"/>
  <c r="O10" i="2"/>
  <c r="N10" i="2"/>
  <c r="M10" i="2"/>
  <c r="K10" i="2"/>
  <c r="J10" i="2"/>
  <c r="I10" i="2"/>
  <c r="H10" i="2"/>
  <c r="G10" i="2"/>
  <c r="F10" i="2"/>
  <c r="E10" i="2"/>
  <c r="D10" i="2"/>
  <c r="C10" i="2"/>
  <c r="B10" i="2"/>
  <c r="AW9" i="2"/>
  <c r="AJ9" i="2" a="1"/>
  <c r="AJ9" i="2" s="1"/>
  <c r="W9" i="2"/>
  <c r="Q9" i="2"/>
  <c r="O9" i="2"/>
  <c r="N9" i="2"/>
  <c r="M9" i="2"/>
  <c r="K9" i="2"/>
  <c r="J9" i="2"/>
  <c r="I9" i="2"/>
  <c r="H9" i="2"/>
  <c r="G9" i="2"/>
  <c r="BA17" i="2" s="1"/>
  <c r="F9" i="2"/>
  <c r="E9" i="2"/>
  <c r="D9" i="2"/>
  <c r="C9" i="2"/>
  <c r="B9" i="2"/>
  <c r="AW8" i="2"/>
  <c r="AJ8" i="2" a="1"/>
  <c r="AJ8" i="2" s="1"/>
  <c r="W8" i="2"/>
  <c r="Q8" i="2"/>
  <c r="O8" i="2"/>
  <c r="N8" i="2"/>
  <c r="P8" i="2" s="1"/>
  <c r="M8" i="2"/>
  <c r="K8" i="2"/>
  <c r="J8" i="2"/>
  <c r="L8" i="2" s="1"/>
  <c r="I8" i="2"/>
  <c r="H8" i="2"/>
  <c r="AX15" i="2" s="1"/>
  <c r="G8" i="2"/>
  <c r="F8" i="2"/>
  <c r="E8" i="2"/>
  <c r="D8" i="2"/>
  <c r="C8" i="2"/>
  <c r="B8" i="2"/>
  <c r="AW7" i="2"/>
  <c r="AJ7" i="2" a="1"/>
  <c r="AJ7" i="2" s="1"/>
  <c r="W7" i="2"/>
  <c r="Q7" i="2"/>
  <c r="O7" i="2"/>
  <c r="N7" i="2"/>
  <c r="M7" i="2"/>
  <c r="K7" i="2"/>
  <c r="J7" i="2"/>
  <c r="I7" i="2"/>
  <c r="H7" i="2"/>
  <c r="AX12" i="2" s="1"/>
  <c r="AZ12" i="2" s="1"/>
  <c r="G7" i="2"/>
  <c r="BA13" i="2" s="1"/>
  <c r="F7" i="2"/>
  <c r="E7" i="2"/>
  <c r="D7" i="2"/>
  <c r="C7" i="2"/>
  <c r="B7" i="2"/>
  <c r="AW6" i="2"/>
  <c r="AJ6" i="2" a="1"/>
  <c r="AJ6" i="2" s="1"/>
  <c r="Q6" i="2"/>
  <c r="O6" i="2"/>
  <c r="N6" i="2"/>
  <c r="M6" i="2"/>
  <c r="K6" i="2"/>
  <c r="J6" i="2"/>
  <c r="I6" i="2"/>
  <c r="H6" i="2"/>
  <c r="AX10" i="2" s="1"/>
  <c r="AY10" i="2" s="1"/>
  <c r="G6" i="2"/>
  <c r="F6" i="2"/>
  <c r="E6" i="2"/>
  <c r="D6" i="2"/>
  <c r="C6" i="2"/>
  <c r="B6" i="2"/>
  <c r="AW5" i="2"/>
  <c r="AJ5" i="2" a="1"/>
  <c r="AJ5" i="2" s="1"/>
  <c r="W5" i="2"/>
  <c r="Q5" i="2"/>
  <c r="O5" i="2"/>
  <c r="N5" i="2"/>
  <c r="P5" i="2" s="1"/>
  <c r="M5" i="2"/>
  <c r="K5" i="2"/>
  <c r="J5" i="2"/>
  <c r="I5" i="2"/>
  <c r="H5" i="2"/>
  <c r="AX9" i="2" s="1"/>
  <c r="G5" i="2"/>
  <c r="BA8" i="2" s="1"/>
  <c r="F5" i="2"/>
  <c r="E5" i="2"/>
  <c r="D5" i="2"/>
  <c r="C5" i="2"/>
  <c r="B5" i="2"/>
  <c r="AW4" i="2"/>
  <c r="AJ4" i="2" a="1"/>
  <c r="AJ4" i="2" s="1"/>
  <c r="W4" i="2"/>
  <c r="Q4" i="2"/>
  <c r="O4" i="2"/>
  <c r="N4" i="2"/>
  <c r="M4" i="2"/>
  <c r="K4" i="2"/>
  <c r="J4" i="2"/>
  <c r="I4" i="2"/>
  <c r="H4" i="2"/>
  <c r="AX6" i="2" s="1"/>
  <c r="AY6" i="2" s="1"/>
  <c r="G4" i="2"/>
  <c r="BA6" i="2" s="1"/>
  <c r="F4" i="2"/>
  <c r="E4" i="2"/>
  <c r="D4" i="2"/>
  <c r="C4" i="2"/>
  <c r="B4" i="2"/>
  <c r="AW3" i="2"/>
  <c r="AJ3" i="2" a="1"/>
  <c r="AJ3" i="2" s="1"/>
  <c r="W3" i="2"/>
  <c r="Q3" i="2"/>
  <c r="O3" i="2"/>
  <c r="N3" i="2"/>
  <c r="M3" i="2"/>
  <c r="K3" i="2"/>
  <c r="J3" i="2"/>
  <c r="I3" i="2"/>
  <c r="H3" i="2"/>
  <c r="AX5" i="2" s="1"/>
  <c r="AZ5" i="2" s="1"/>
  <c r="G3" i="2"/>
  <c r="U3" i="2" s="1"/>
  <c r="V3" i="2" s="1"/>
  <c r="F3" i="2"/>
  <c r="E3" i="2"/>
  <c r="D3" i="2"/>
  <c r="C3" i="2"/>
  <c r="B3" i="2"/>
  <c r="AW2" i="2"/>
  <c r="AJ2" i="2" a="1"/>
  <c r="AJ2" i="2" s="1"/>
  <c r="W2" i="2"/>
  <c r="Q2" i="2"/>
  <c r="O2" i="2"/>
  <c r="N2" i="2"/>
  <c r="M2" i="2"/>
  <c r="K2" i="2"/>
  <c r="J2" i="2"/>
  <c r="I2" i="2"/>
  <c r="H2" i="2"/>
  <c r="AX2" i="2" s="1"/>
  <c r="G2" i="2"/>
  <c r="BA2" i="2" s="1"/>
  <c r="F2" i="2"/>
  <c r="E2" i="2"/>
  <c r="D2" i="2"/>
  <c r="C2" i="2"/>
  <c r="B2" i="2"/>
  <c r="BC26" i="2" l="1" a="1"/>
  <c r="BC26" i="2" s="1"/>
  <c r="BC27" i="2" a="1"/>
  <c r="BC27" i="2" s="1"/>
  <c r="BC88" i="2" a="1"/>
  <c r="BC88" i="2" s="1"/>
  <c r="BC89" i="2" a="1"/>
  <c r="BC89" i="2" s="1"/>
  <c r="BC13" i="2" a="1"/>
  <c r="BC13" i="2" s="1"/>
  <c r="BC12" i="2" a="1"/>
  <c r="BC12" i="2" s="1"/>
  <c r="BC61" i="2" a="1"/>
  <c r="BC61" i="2" s="1"/>
  <c r="BC60" i="2" a="1"/>
  <c r="BC60" i="2" s="1"/>
  <c r="BC74" i="2" a="1"/>
  <c r="BC74" i="2" s="1"/>
  <c r="BC75" i="2" a="1"/>
  <c r="BC75" i="2" s="1"/>
  <c r="BC22" i="2" a="1"/>
  <c r="BC22" i="2" s="1"/>
  <c r="BC23" i="2" a="1"/>
  <c r="BC23" i="2" s="1"/>
  <c r="BC84" i="2" a="1"/>
  <c r="BC84" i="2" s="1"/>
  <c r="BC85" i="2" a="1"/>
  <c r="BC85" i="2" s="1"/>
  <c r="BC95" i="2" a="1"/>
  <c r="BC95" i="2" s="1"/>
  <c r="BC94" i="2" a="1"/>
  <c r="BC94" i="2" s="1"/>
  <c r="BC18" i="2" a="1"/>
  <c r="BC18" i="2" s="1"/>
  <c r="BC19" i="2" a="1"/>
  <c r="BC19" i="2" s="1"/>
  <c r="BC4" i="2" a="1"/>
  <c r="BC4" i="2" s="1"/>
  <c r="BC5" i="2" a="1"/>
  <c r="BC5" i="2" s="1"/>
  <c r="BC38" i="2" a="1"/>
  <c r="BC38" i="2" s="1"/>
  <c r="BC39" i="2" a="1"/>
  <c r="BC39" i="2" s="1"/>
  <c r="BC62" i="2" a="1"/>
  <c r="BC62" i="2" s="1"/>
  <c r="BC63" i="2" a="1"/>
  <c r="BC63" i="2" s="1"/>
  <c r="BC72" i="2" a="1"/>
  <c r="BC72" i="2" s="1"/>
  <c r="BC73" i="2" a="1"/>
  <c r="BC73" i="2" s="1"/>
  <c r="BC35" i="2" a="1"/>
  <c r="BC35" i="2" s="1"/>
  <c r="BC34" i="2" a="1"/>
  <c r="BC34" i="2" s="1"/>
  <c r="BC20" i="2" a="1"/>
  <c r="BC20" i="2" s="1"/>
  <c r="BC21" i="2" a="1"/>
  <c r="BC21" i="2" s="1"/>
  <c r="P15" i="2"/>
  <c r="L18" i="2"/>
  <c r="BC44" i="2" a="1"/>
  <c r="BC44" i="2" s="1"/>
  <c r="BC45" i="2" a="1"/>
  <c r="BC45" i="2" s="1"/>
  <c r="L30" i="2"/>
  <c r="U33" i="2"/>
  <c r="V33" i="2" s="1"/>
  <c r="BC68" i="2" a="1"/>
  <c r="BC68" i="2" s="1"/>
  <c r="BC69" i="2" a="1"/>
  <c r="BC69" i="2" s="1"/>
  <c r="BC83" i="2" a="1"/>
  <c r="BC83" i="2" s="1"/>
  <c r="BC82" i="2" a="1"/>
  <c r="BC82" i="2" s="1"/>
  <c r="BC50" i="2" a="1"/>
  <c r="BC50" i="2" s="1"/>
  <c r="BC51" i="2" a="1"/>
  <c r="BC51" i="2" s="1"/>
  <c r="BC36" i="2" a="1"/>
  <c r="BC36" i="2" s="1"/>
  <c r="BC37" i="2" a="1"/>
  <c r="BC37" i="2" s="1"/>
  <c r="BC8" i="2" a="1"/>
  <c r="BC8" i="2" s="1"/>
  <c r="BC9" i="2" a="1"/>
  <c r="BC9" i="2" s="1"/>
  <c r="BC56" i="2" a="1"/>
  <c r="BC56" i="2" s="1"/>
  <c r="BC57" i="2" a="1"/>
  <c r="BC57" i="2" s="1"/>
  <c r="BC43" i="2" a="1"/>
  <c r="BC43" i="2" s="1"/>
  <c r="BC42" i="2" a="1"/>
  <c r="BC42" i="2" s="1"/>
  <c r="BC66" i="2" a="1"/>
  <c r="BC66" i="2" s="1"/>
  <c r="BC67" i="2" a="1"/>
  <c r="BC67" i="2" s="1"/>
  <c r="BC80" i="2" a="1"/>
  <c r="BC80" i="2" s="1"/>
  <c r="BC81" i="2" a="1"/>
  <c r="BC81" i="2" s="1"/>
  <c r="BC28" i="2" a="1"/>
  <c r="BC28" i="2" s="1"/>
  <c r="BC29" i="2" a="1"/>
  <c r="BC29" i="2" s="1"/>
  <c r="BC90" i="2" a="1"/>
  <c r="BC90" i="2" s="1"/>
  <c r="BC91" i="2" a="1"/>
  <c r="BC91" i="2" s="1"/>
  <c r="BC14" i="2" a="1"/>
  <c r="BC14" i="2" s="1"/>
  <c r="BC15" i="2" a="1"/>
  <c r="BC15" i="2" s="1"/>
  <c r="BC25" i="2" a="1"/>
  <c r="BC25" i="2" s="1"/>
  <c r="BC24" i="2" a="1"/>
  <c r="BC24" i="2" s="1"/>
  <c r="BC48" i="2" a="1"/>
  <c r="BC48" i="2" s="1"/>
  <c r="BC49" i="2" a="1"/>
  <c r="BC49" i="2" s="1"/>
  <c r="BC97" i="2" a="1"/>
  <c r="BC97" i="2" s="1"/>
  <c r="BC96" i="2" a="1"/>
  <c r="BC96" i="2" s="1"/>
  <c r="BC30" i="2" a="1"/>
  <c r="BC30" i="2" s="1"/>
  <c r="BC31" i="2" a="1"/>
  <c r="BC31" i="2" s="1"/>
  <c r="BC54" i="2" a="1"/>
  <c r="BC54" i="2" s="1"/>
  <c r="BC55" i="2" a="1"/>
  <c r="BC55" i="2" s="1"/>
  <c r="BC92" i="2" a="1"/>
  <c r="BC92" i="2" s="1"/>
  <c r="BC93" i="2" a="1"/>
  <c r="BC93" i="2" s="1"/>
  <c r="BC2" i="2" a="1"/>
  <c r="BC2" i="2" s="1"/>
  <c r="BC3" i="2" a="1"/>
  <c r="BC3" i="2" s="1"/>
  <c r="BC46" i="2" a="1"/>
  <c r="BC46" i="2" s="1"/>
  <c r="BC47" i="2" a="1"/>
  <c r="BC47" i="2" s="1"/>
  <c r="BC71" i="2" a="1"/>
  <c r="BC71" i="2" s="1"/>
  <c r="BC70" i="2" a="1"/>
  <c r="BC70" i="2" s="1"/>
  <c r="BC32" i="2" a="1"/>
  <c r="BC32" i="2" s="1"/>
  <c r="BC33" i="2" a="1"/>
  <c r="BC33" i="2" s="1"/>
  <c r="BC52" i="2" a="1"/>
  <c r="BC52" i="2" s="1"/>
  <c r="BC53" i="2" a="1"/>
  <c r="BC53" i="2" s="1"/>
  <c r="BC76" i="2" a="1"/>
  <c r="BC76" i="2" s="1"/>
  <c r="BC77" i="2" a="1"/>
  <c r="BC77" i="2" s="1"/>
  <c r="BC86" i="2" a="1"/>
  <c r="BC86" i="2" s="1"/>
  <c r="BC87" i="2" a="1"/>
  <c r="BC87" i="2" s="1"/>
  <c r="BC10" i="2" a="1"/>
  <c r="BC10" i="2" s="1"/>
  <c r="BC11" i="2" a="1"/>
  <c r="BC11" i="2" s="1"/>
  <c r="BC58" i="2" a="1"/>
  <c r="BC58" i="2" s="1"/>
  <c r="BC59" i="2" a="1"/>
  <c r="BC59" i="2" s="1"/>
  <c r="BC6" i="2" a="1"/>
  <c r="BC6" i="2" s="1"/>
  <c r="BC7" i="2" a="1"/>
  <c r="BC7" i="2" s="1"/>
  <c r="L4" i="2"/>
  <c r="BC17" i="2" a="1"/>
  <c r="BC17" i="2" s="1"/>
  <c r="BC16" i="2" a="1"/>
  <c r="BC16" i="2" s="1"/>
  <c r="BC41" i="2" a="1"/>
  <c r="BC41" i="2" s="1"/>
  <c r="BC40" i="2" a="1"/>
  <c r="BC40" i="2" s="1"/>
  <c r="BC65" i="2" a="1"/>
  <c r="BC65" i="2" s="1"/>
  <c r="BC64" i="2" a="1"/>
  <c r="BC64" i="2" s="1"/>
  <c r="P37" i="2"/>
  <c r="BC79" i="2" a="1"/>
  <c r="BC79" i="2" s="1"/>
  <c r="BC78" i="2" a="1"/>
  <c r="BC78" i="2" s="1"/>
  <c r="P44" i="2"/>
  <c r="AX4" i="2"/>
  <c r="AY4" i="2" s="1"/>
  <c r="U6" i="2"/>
  <c r="V6" i="2" s="1"/>
  <c r="P12" i="2"/>
  <c r="L15" i="2"/>
  <c r="L22" i="2"/>
  <c r="U32" i="2"/>
  <c r="V32" i="2" s="1"/>
  <c r="BA4" i="2"/>
  <c r="U11" i="2"/>
  <c r="V11" i="2" s="1"/>
  <c r="BA46" i="2"/>
  <c r="P10" i="2"/>
  <c r="L13" i="2"/>
  <c r="U19" i="2"/>
  <c r="V19" i="2" s="1"/>
  <c r="L20" i="2"/>
  <c r="U26" i="2"/>
  <c r="V26" i="2" s="1"/>
  <c r="L27" i="2"/>
  <c r="P43" i="2"/>
  <c r="P4" i="2"/>
  <c r="P6" i="2"/>
  <c r="L7" i="2"/>
  <c r="P25" i="2"/>
  <c r="L42" i="2"/>
  <c r="U45" i="2"/>
  <c r="V45" i="2" s="1"/>
  <c r="L49" i="2"/>
  <c r="L5" i="2"/>
  <c r="U8" i="2"/>
  <c r="V8" i="2" s="1"/>
  <c r="AX8" i="2"/>
  <c r="BB8" i="2" s="1"/>
  <c r="U10" i="2"/>
  <c r="V10" i="2" s="1"/>
  <c r="P16" i="2"/>
  <c r="L19" i="2"/>
  <c r="L40" i="2"/>
  <c r="L47" i="2"/>
  <c r="BA90" i="2"/>
  <c r="P7" i="2"/>
  <c r="P9" i="2"/>
  <c r="L12" i="2"/>
  <c r="P35" i="2"/>
  <c r="P49" i="2"/>
  <c r="U20" i="2"/>
  <c r="V20" i="2" s="1"/>
  <c r="AX80" i="2"/>
  <c r="AZ80" i="2" s="1"/>
  <c r="P36" i="2"/>
  <c r="L41" i="2"/>
  <c r="P45" i="2"/>
  <c r="BA3" i="2"/>
  <c r="U5" i="2"/>
  <c r="V5" i="2" s="1"/>
  <c r="L16" i="2"/>
  <c r="P20" i="2"/>
  <c r="P34" i="2"/>
  <c r="BA60" i="2"/>
  <c r="AX65" i="2"/>
  <c r="AZ65" i="2" s="1"/>
  <c r="BA40" i="2"/>
  <c r="BA65" i="2"/>
  <c r="BA25" i="2"/>
  <c r="AX74" i="2"/>
  <c r="AZ74" i="2" s="1"/>
  <c r="L3" i="2"/>
  <c r="P11" i="2"/>
  <c r="L21" i="2"/>
  <c r="P32" i="2"/>
  <c r="U43" i="2"/>
  <c r="V43" i="2" s="1"/>
  <c r="L44" i="2"/>
  <c r="P39" i="2"/>
  <c r="AX14" i="2"/>
  <c r="AY14" i="2" s="1"/>
  <c r="BA34" i="2"/>
  <c r="U25" i="2"/>
  <c r="V25" i="2" s="1"/>
  <c r="AX3" i="2"/>
  <c r="AY3" i="2" s="1"/>
  <c r="BB81" i="2"/>
  <c r="BA7" i="2"/>
  <c r="AX13" i="2"/>
  <c r="AZ13" i="2" s="1"/>
  <c r="AX62" i="2"/>
  <c r="AZ62" i="2" s="1"/>
  <c r="BA9" i="2"/>
  <c r="BB9" i="2" s="1"/>
  <c r="AX78" i="2"/>
  <c r="AY78" i="2" s="1"/>
  <c r="BA14" i="2"/>
  <c r="BA96" i="2"/>
  <c r="P22" i="2"/>
  <c r="AX11" i="2"/>
  <c r="AZ11" i="2" s="1"/>
  <c r="S20" i="2"/>
  <c r="T20" i="2" s="1"/>
  <c r="BA33" i="2"/>
  <c r="U49" i="2"/>
  <c r="V49" i="2" s="1"/>
  <c r="BA88" i="2"/>
  <c r="AX93" i="2"/>
  <c r="AZ93" i="2" s="1"/>
  <c r="S38" i="2"/>
  <c r="T38" i="2" s="1"/>
  <c r="AX68" i="2"/>
  <c r="P3" i="2"/>
  <c r="L9" i="2"/>
  <c r="L11" i="2"/>
  <c r="P19" i="2"/>
  <c r="BA22" i="2"/>
  <c r="P23" i="2"/>
  <c r="U31" i="2"/>
  <c r="V31" i="2" s="1"/>
  <c r="L46" i="2"/>
  <c r="AX54" i="2"/>
  <c r="AY54" i="2" s="1"/>
  <c r="BA68" i="2"/>
  <c r="S44" i="2"/>
  <c r="T44" i="2" s="1"/>
  <c r="BA11" i="2"/>
  <c r="BA27" i="2"/>
  <c r="BA74" i="2"/>
  <c r="AJ14" i="34"/>
  <c r="S26" i="2"/>
  <c r="T26" i="2" s="1"/>
  <c r="BA20" i="2"/>
  <c r="AX57" i="2"/>
  <c r="AZ57" i="2" s="1"/>
  <c r="L6" i="2"/>
  <c r="R30" i="2"/>
  <c r="AX66" i="2"/>
  <c r="AY66" i="2" s="1"/>
  <c r="BA5" i="2"/>
  <c r="BB5" i="2" s="1"/>
  <c r="BA10" i="2"/>
  <c r="BB10" i="2" s="1"/>
  <c r="AX84" i="2"/>
  <c r="AZ84" i="2" s="1"/>
  <c r="U2" i="2"/>
  <c r="V2" i="2" s="1"/>
  <c r="U7" i="2"/>
  <c r="V7" i="2" s="1"/>
  <c r="AX7" i="2"/>
  <c r="AY7" i="2" s="1"/>
  <c r="P18" i="2"/>
  <c r="S23" i="2"/>
  <c r="T23" i="2" s="1"/>
  <c r="L24" i="2"/>
  <c r="L26" i="2"/>
  <c r="BA26" i="2"/>
  <c r="P27" i="2"/>
  <c r="U28" i="2"/>
  <c r="V28" i="2" s="1"/>
  <c r="BA28" i="2"/>
  <c r="L33" i="2"/>
  <c r="L37" i="2"/>
  <c r="U39" i="2"/>
  <c r="V39" i="2" s="1"/>
  <c r="U41" i="2"/>
  <c r="V41" i="2" s="1"/>
  <c r="P42" i="2"/>
  <c r="P46" i="2"/>
  <c r="U47" i="2"/>
  <c r="V47" i="2" s="1"/>
  <c r="P48" i="2"/>
  <c r="BA54" i="2"/>
  <c r="BA67" i="2"/>
  <c r="BB67" i="2" s="1"/>
  <c r="BA80" i="2"/>
  <c r="BA84" i="2"/>
  <c r="BA93" i="2"/>
  <c r="L2" i="2"/>
  <c r="P24" i="2"/>
  <c r="Q14" i="34"/>
  <c r="BA16" i="2"/>
  <c r="R37" i="2"/>
  <c r="L14" i="2"/>
  <c r="P30" i="2"/>
  <c r="BA31" i="2"/>
  <c r="R43" i="2"/>
  <c r="Y43" i="2" s="1" a="1"/>
  <c r="Y43" i="2" s="1"/>
  <c r="S49" i="2"/>
  <c r="Y49" i="2" s="1" a="1"/>
  <c r="Y49" i="2" s="1"/>
  <c r="S32" i="2"/>
  <c r="T32" i="2" s="1"/>
  <c r="BA43" i="2"/>
  <c r="AX77" i="2"/>
  <c r="AY77" i="2" s="1"/>
  <c r="BB75" i="2"/>
  <c r="BA52" i="2"/>
  <c r="BA78" i="2"/>
  <c r="BA91" i="2"/>
  <c r="BB91" i="2" s="1"/>
  <c r="BA15" i="2"/>
  <c r="BB15" i="2" s="1"/>
  <c r="BA19" i="2"/>
  <c r="U4" i="2"/>
  <c r="V4" i="2" s="1"/>
  <c r="L10" i="2"/>
  <c r="BA12" i="2"/>
  <c r="BB12" i="2" s="1"/>
  <c r="P13" i="2"/>
  <c r="R16" i="2"/>
  <c r="BA21" i="2"/>
  <c r="R40" i="2"/>
  <c r="Y40" i="2" s="1" a="1"/>
  <c r="Y40" i="2" s="1"/>
  <c r="BA64" i="2"/>
  <c r="BB64" i="2" s="1"/>
  <c r="BA77" i="2"/>
  <c r="AX90" i="2"/>
  <c r="S4" i="2"/>
  <c r="R4" i="2"/>
  <c r="AX39" i="2"/>
  <c r="AZ39" i="2" s="1"/>
  <c r="AX38" i="2"/>
  <c r="AZ38" i="2" s="1"/>
  <c r="AX73" i="2"/>
  <c r="AZ73" i="2" s="1"/>
  <c r="AX72" i="2"/>
  <c r="AY72" i="2" s="1"/>
  <c r="R7" i="2"/>
  <c r="S7" i="2"/>
  <c r="T7" i="2" s="1"/>
  <c r="R11" i="2"/>
  <c r="S11" i="2"/>
  <c r="Y11" i="2" s="1" a="1"/>
  <c r="Y11" i="2" s="1"/>
  <c r="BA57" i="2"/>
  <c r="P2" i="2"/>
  <c r="S42" i="2"/>
  <c r="U48" i="2"/>
  <c r="V48" i="2" s="1"/>
  <c r="AX94" i="2"/>
  <c r="AZ94" i="2" s="1"/>
  <c r="AX95" i="2"/>
  <c r="BB95" i="2" s="1"/>
  <c r="BA94" i="2"/>
  <c r="R19" i="2"/>
  <c r="U23" i="2"/>
  <c r="V23" i="2" s="1"/>
  <c r="BA73" i="2"/>
  <c r="BA72" i="2"/>
  <c r="BA38" i="2"/>
  <c r="BB86" i="2"/>
  <c r="AX52" i="2"/>
  <c r="AZ52" i="2" s="1"/>
  <c r="AX53" i="2"/>
  <c r="AZ53" i="2" s="1"/>
  <c r="R29" i="2"/>
  <c r="R36" i="2"/>
  <c r="R48" i="2"/>
  <c r="Y48" i="2" s="1" a="1"/>
  <c r="Y48" i="2" s="1"/>
  <c r="AX97" i="2"/>
  <c r="AZ97" i="2" s="1"/>
  <c r="AX96" i="2"/>
  <c r="R25" i="2"/>
  <c r="U36" i="2"/>
  <c r="V36" i="2" s="1"/>
  <c r="G14" i="34"/>
  <c r="R6" i="2"/>
  <c r="S6" i="2"/>
  <c r="S10" i="2"/>
  <c r="R10" i="2"/>
  <c r="S18" i="2"/>
  <c r="R28" i="2"/>
  <c r="S35" i="2"/>
  <c r="BA48" i="2"/>
  <c r="BA49" i="2"/>
  <c r="R31" i="2"/>
  <c r="Y31" i="2" s="1" a="1"/>
  <c r="Y31" i="2" s="1"/>
  <c r="U35" i="2"/>
  <c r="V35" i="2" s="1"/>
  <c r="AX82" i="2"/>
  <c r="AZ82" i="2" s="1"/>
  <c r="AX83" i="2"/>
  <c r="AZ83" i="2" s="1"/>
  <c r="R47" i="2"/>
  <c r="R5" i="2"/>
  <c r="S5" i="2"/>
  <c r="Y5" i="2" s="1" a="1"/>
  <c r="Y5" i="2" s="1"/>
  <c r="S9" i="2"/>
  <c r="T9" i="2" s="1"/>
  <c r="R9" i="2"/>
  <c r="S13" i="2"/>
  <c r="T13" i="2" s="1"/>
  <c r="R13" i="2"/>
  <c r="S17" i="2"/>
  <c r="Y17" i="2" s="1" a="1"/>
  <c r="Y17" i="2" s="1"/>
  <c r="S24" i="2"/>
  <c r="T24" i="2" s="1"/>
  <c r="R34" i="2"/>
  <c r="U38" i="2"/>
  <c r="V38" i="2" s="1"/>
  <c r="S41" i="2"/>
  <c r="Y41" i="2" s="1" a="1"/>
  <c r="Y41" i="2" s="1"/>
  <c r="AX88" i="2"/>
  <c r="AZ88" i="2" s="1"/>
  <c r="AX89" i="2"/>
  <c r="AZ89" i="2" s="1"/>
  <c r="AX51" i="2"/>
  <c r="AY51" i="2" s="1"/>
  <c r="AX71" i="2"/>
  <c r="AZ71" i="2" s="1"/>
  <c r="AX87" i="2"/>
  <c r="AZ87" i="2" s="1"/>
  <c r="R8" i="2"/>
  <c r="S8" i="2"/>
  <c r="T8" i="2" s="1"/>
  <c r="S12" i="2"/>
  <c r="R12" i="2"/>
  <c r="Y12" i="2" s="1" a="1"/>
  <c r="Y12" i="2" s="1"/>
  <c r="U30" i="2"/>
  <c r="V30" i="2" s="1"/>
  <c r="AX58" i="2"/>
  <c r="AZ58" i="2" s="1"/>
  <c r="AX59" i="2"/>
  <c r="BB59" i="2" s="1"/>
  <c r="S3" i="2"/>
  <c r="Y3" i="2" s="1" a="1"/>
  <c r="Y3" i="2" s="1"/>
  <c r="R3" i="2"/>
  <c r="U29" i="2"/>
  <c r="V29" i="2" s="1"/>
  <c r="BA37" i="2"/>
  <c r="BB50" i="2"/>
  <c r="BA58" i="2"/>
  <c r="AX35" i="2"/>
  <c r="AY35" i="2" s="1"/>
  <c r="AX34" i="2"/>
  <c r="AY34" i="2" s="1"/>
  <c r="AX49" i="2"/>
  <c r="AZ49" i="2" s="1"/>
  <c r="AX48" i="2"/>
  <c r="AY48" i="2" s="1"/>
  <c r="BA45" i="2"/>
  <c r="U17" i="2"/>
  <c r="V17" i="2" s="1"/>
  <c r="U24" i="2"/>
  <c r="V24" i="2" s="1"/>
  <c r="L25" i="2"/>
  <c r="L32" i="2"/>
  <c r="L39" i="2"/>
  <c r="U44" i="2"/>
  <c r="V44" i="2" s="1"/>
  <c r="BA51" i="2"/>
  <c r="BA71" i="2"/>
  <c r="BA83" i="2"/>
  <c r="BA87" i="2"/>
  <c r="S15" i="2"/>
  <c r="T15" i="2" s="1"/>
  <c r="R15" i="2"/>
  <c r="R22" i="2"/>
  <c r="Y22" i="2" s="1" a="1"/>
  <c r="Y22" i="2" s="1"/>
  <c r="AX37" i="2"/>
  <c r="AZ37" i="2" s="1"/>
  <c r="AX36" i="2"/>
  <c r="AY36" i="2" s="1"/>
  <c r="S2" i="2"/>
  <c r="T2" i="2" s="1"/>
  <c r="R2" i="2"/>
  <c r="S14" i="2"/>
  <c r="T14" i="2" s="1"/>
  <c r="R14" i="2"/>
  <c r="U42" i="2"/>
  <c r="V42" i="2" s="1"/>
  <c r="U18" i="2"/>
  <c r="V18" i="2" s="1"/>
  <c r="BA63" i="2"/>
  <c r="BB63" i="2" s="1"/>
  <c r="BA62" i="2"/>
  <c r="BB62" i="2" s="1"/>
  <c r="AX41" i="2"/>
  <c r="BB41" i="2" s="1"/>
  <c r="AX40" i="2"/>
  <c r="AY40" i="2" s="1"/>
  <c r="AX47" i="2"/>
  <c r="AZ47" i="2" s="1"/>
  <c r="AX46" i="2"/>
  <c r="AY46" i="2" s="1"/>
  <c r="L28" i="2"/>
  <c r="AX61" i="2"/>
  <c r="AZ61" i="2" s="1"/>
  <c r="AX60" i="2"/>
  <c r="AZ60" i="2" s="1"/>
  <c r="L45" i="2"/>
  <c r="S46" i="2"/>
  <c r="T46" i="2" s="1"/>
  <c r="R46" i="2"/>
  <c r="AX33" i="2"/>
  <c r="AX32" i="2"/>
  <c r="BB32" i="2" s="1"/>
  <c r="U16" i="2"/>
  <c r="V16" i="2" s="1"/>
  <c r="BA18" i="2"/>
  <c r="BA24" i="2"/>
  <c r="R27" i="2"/>
  <c r="Y27" i="2" s="1" a="1"/>
  <c r="Y27" i="2" s="1"/>
  <c r="R39" i="2"/>
  <c r="Y39" i="2" s="1" a="1"/>
  <c r="Y39" i="2" s="1"/>
  <c r="U40" i="2"/>
  <c r="V40" i="2" s="1"/>
  <c r="BA92" i="2"/>
  <c r="BB92" i="2" s="1"/>
  <c r="AX17" i="2"/>
  <c r="AY17" i="2" s="1"/>
  <c r="AX16" i="2"/>
  <c r="AY16" i="2" s="1"/>
  <c r="U9" i="2"/>
  <c r="V9" i="2" s="1"/>
  <c r="AX19" i="2"/>
  <c r="AZ19" i="2" s="1"/>
  <c r="AX18" i="2"/>
  <c r="AZ18" i="2" s="1"/>
  <c r="AX21" i="2"/>
  <c r="AY21" i="2" s="1"/>
  <c r="AX20" i="2"/>
  <c r="AZ20" i="2" s="1"/>
  <c r="AX23" i="2"/>
  <c r="AZ23" i="2" s="1"/>
  <c r="AX22" i="2"/>
  <c r="AY22" i="2" s="1"/>
  <c r="U12" i="2"/>
  <c r="V12" i="2" s="1"/>
  <c r="AX25" i="2"/>
  <c r="AZ25" i="2" s="1"/>
  <c r="AX24" i="2"/>
  <c r="AZ24" i="2" s="1"/>
  <c r="AX27" i="2"/>
  <c r="AY27" i="2" s="1"/>
  <c r="AX26" i="2"/>
  <c r="AY26" i="2" s="1"/>
  <c r="AX29" i="2"/>
  <c r="AY29" i="2" s="1"/>
  <c r="AX28" i="2"/>
  <c r="AZ28" i="2" s="1"/>
  <c r="U15" i="2"/>
  <c r="V15" i="2" s="1"/>
  <c r="AX31" i="2"/>
  <c r="AZ31" i="2" s="1"/>
  <c r="AX30" i="2"/>
  <c r="AZ30" i="2" s="1"/>
  <c r="L17" i="2"/>
  <c r="S21" i="2"/>
  <c r="T21" i="2" s="1"/>
  <c r="AX43" i="2"/>
  <c r="AZ43" i="2" s="1"/>
  <c r="AX42" i="2"/>
  <c r="AZ42" i="2" s="1"/>
  <c r="L23" i="2"/>
  <c r="L29" i="2"/>
  <c r="S33" i="2"/>
  <c r="T33" i="2" s="1"/>
  <c r="L35" i="2"/>
  <c r="S45" i="2"/>
  <c r="T45" i="2" s="1"/>
  <c r="BA53" i="2"/>
  <c r="BA66" i="2"/>
  <c r="BA76" i="2"/>
  <c r="BB76" i="2" s="1"/>
  <c r="BA89" i="2"/>
  <c r="AX45" i="2"/>
  <c r="AY45" i="2" s="1"/>
  <c r="AX44" i="2"/>
  <c r="BB44" i="2" s="1"/>
  <c r="U22" i="2"/>
  <c r="V22" i="2" s="1"/>
  <c r="U21" i="2"/>
  <c r="V21" i="2" s="1"/>
  <c r="AY12" i="2"/>
  <c r="Y30" i="2" a="1"/>
  <c r="Y30" i="2" s="1"/>
  <c r="T25" i="2"/>
  <c r="T27" i="2"/>
  <c r="AZ6" i="2"/>
  <c r="Y37" i="2" a="1"/>
  <c r="Y37" i="2" s="1"/>
  <c r="T37" i="2"/>
  <c r="T48" i="2"/>
  <c r="BB6" i="2"/>
  <c r="Y19" i="2" a="1"/>
  <c r="Y19" i="2" s="1"/>
  <c r="AY69" i="2"/>
  <c r="Y16" i="2" a="1"/>
  <c r="Y16" i="2" s="1"/>
  <c r="T31" i="2"/>
  <c r="AY67" i="2"/>
  <c r="AY76" i="2"/>
  <c r="AY85" i="2"/>
  <c r="AZ92" i="2"/>
  <c r="AY5" i="2"/>
  <c r="BB56" i="2"/>
  <c r="BB85" i="2"/>
  <c r="AY15" i="2"/>
  <c r="AY79" i="2"/>
  <c r="AZ50" i="2"/>
  <c r="BB70" i="2"/>
  <c r="T29" i="2"/>
  <c r="BB79" i="2"/>
  <c r="AY55" i="2"/>
  <c r="AY64" i="2"/>
  <c r="T39" i="2"/>
  <c r="T43" i="2"/>
  <c r="AY91" i="2"/>
  <c r="Y36" i="2" a="1"/>
  <c r="Y36" i="2" s="1"/>
  <c r="BB55" i="2"/>
  <c r="AY70" i="2"/>
  <c r="AZ86" i="2"/>
  <c r="AY63" i="2"/>
  <c r="AZ63" i="2"/>
  <c r="BB69" i="2"/>
  <c r="AY75" i="2"/>
  <c r="AZ4" i="2"/>
  <c r="T28" i="2"/>
  <c r="AY81" i="2"/>
  <c r="T22" i="2"/>
  <c r="AZ81" i="2"/>
  <c r="AZ10" i="2"/>
  <c r="BB2" i="2"/>
  <c r="AZ2" i="2"/>
  <c r="AY2" i="2"/>
  <c r="AZ75" i="2"/>
  <c r="T34" i="2"/>
  <c r="T40" i="2"/>
  <c r="AZ9" i="2"/>
  <c r="AY9" i="2"/>
  <c r="Y28" i="2" a="1"/>
  <c r="Y28" i="2" s="1"/>
  <c r="Y34" i="2" a="1"/>
  <c r="Y34" i="2" s="1"/>
  <c r="Y47" i="2" a="1"/>
  <c r="Y47" i="2" s="1"/>
  <c r="AY50" i="2"/>
  <c r="AY56" i="2"/>
  <c r="AY86" i="2"/>
  <c r="AY92" i="2"/>
  <c r="AZ15" i="2"/>
  <c r="BB90" i="2" l="1"/>
  <c r="BB4" i="2"/>
  <c r="AY90" i="2"/>
  <c r="AZ46" i="2"/>
  <c r="Y21" i="2" a="1"/>
  <c r="Y21" i="2" s="1"/>
  <c r="Y20" i="2" a="1"/>
  <c r="Y20" i="2" s="1"/>
  <c r="BB68" i="2"/>
  <c r="Y13" i="2" a="1"/>
  <c r="Y13" i="2" s="1"/>
  <c r="BB60" i="2"/>
  <c r="AZ8" i="2"/>
  <c r="BB11" i="2"/>
  <c r="BB74" i="2"/>
  <c r="AY8" i="2"/>
  <c r="AY11" i="2"/>
  <c r="AY60" i="2"/>
  <c r="BB33" i="2"/>
  <c r="BB87" i="2"/>
  <c r="AY80" i="2"/>
  <c r="T10" i="2"/>
  <c r="BB80" i="2"/>
  <c r="BB3" i="2"/>
  <c r="AY38" i="2"/>
  <c r="AY87" i="2"/>
  <c r="AZ3" i="2"/>
  <c r="AY95" i="2"/>
  <c r="BB77" i="2"/>
  <c r="AZ14" i="2"/>
  <c r="AZ35" i="2"/>
  <c r="BB93" i="2"/>
  <c r="BB84" i="2"/>
  <c r="AY93" i="2"/>
  <c r="Y6" i="2" a="1"/>
  <c r="Y6" i="2" s="1"/>
  <c r="BB14" i="2"/>
  <c r="BB7" i="2"/>
  <c r="AY23" i="2"/>
  <c r="Y38" i="2" a="1"/>
  <c r="Y38" i="2" s="1"/>
  <c r="AY20" i="2"/>
  <c r="AZ7" i="2"/>
  <c r="BB65" i="2"/>
  <c r="BB20" i="2"/>
  <c r="BB96" i="2"/>
  <c r="Y45" i="2" a="1"/>
  <c r="Y45" i="2" s="1"/>
  <c r="AY74" i="2"/>
  <c r="AZ95" i="2"/>
  <c r="AY65" i="2"/>
  <c r="AZ40" i="2"/>
  <c r="T35" i="2"/>
  <c r="AY37" i="2"/>
  <c r="BB49" i="2"/>
  <c r="AY28" i="2"/>
  <c r="BB13" i="2"/>
  <c r="AZ54" i="2"/>
  <c r="Y44" i="2" a="1"/>
  <c r="Y44" i="2" s="1"/>
  <c r="AY96" i="2"/>
  <c r="AZ34" i="2"/>
  <c r="BB34" i="2"/>
  <c r="BB26" i="2"/>
  <c r="T12" i="2"/>
  <c r="AZ77" i="2"/>
  <c r="AZ22" i="2"/>
  <c r="AZ68" i="2"/>
  <c r="BB24" i="2"/>
  <c r="BB57" i="2"/>
  <c r="BB78" i="2"/>
  <c r="BB22" i="2"/>
  <c r="AY84" i="2"/>
  <c r="Y33" i="2" a="1"/>
  <c r="Y33" i="2" s="1"/>
  <c r="BB38" i="2"/>
  <c r="AZ72" i="2"/>
  <c r="Y32" i="2" a="1"/>
  <c r="Y32" i="2" s="1"/>
  <c r="AZ96" i="2"/>
  <c r="AY13" i="2"/>
  <c r="Y35" i="2" a="1"/>
  <c r="Y35" i="2" s="1"/>
  <c r="AZ78" i="2"/>
  <c r="BB54" i="2"/>
  <c r="AY97" i="2"/>
  <c r="BB97" i="2"/>
  <c r="AY71" i="2"/>
  <c r="AY68" i="2"/>
  <c r="AZ17" i="2"/>
  <c r="BB46" i="2"/>
  <c r="BB27" i="2"/>
  <c r="AZ27" i="2"/>
  <c r="AY62" i="2"/>
  <c r="Y8" i="2" a="1"/>
  <c r="Y8" i="2" s="1"/>
  <c r="AZ90" i="2"/>
  <c r="AY94" i="2"/>
  <c r="BB23" i="2"/>
  <c r="BB72" i="2"/>
  <c r="BB53" i="2"/>
  <c r="Y18" i="2" a="1"/>
  <c r="Y18" i="2" s="1"/>
  <c r="AY53" i="2"/>
  <c r="AY47" i="2"/>
  <c r="BB40" i="2"/>
  <c r="BB52" i="2"/>
  <c r="AZ36" i="2"/>
  <c r="AY39" i="2"/>
  <c r="AY89" i="2"/>
  <c r="AZ51" i="2"/>
  <c r="Y24" i="2" a="1"/>
  <c r="Y24" i="2" s="1"/>
  <c r="Y10" i="2" a="1"/>
  <c r="Y10" i="2" s="1"/>
  <c r="BB88" i="2"/>
  <c r="T42" i="2"/>
  <c r="AY42" i="2"/>
  <c r="BB47" i="2"/>
  <c r="Y9" i="2" a="1"/>
  <c r="Y9" i="2" s="1"/>
  <c r="T49" i="2"/>
  <c r="BB42" i="2"/>
  <c r="AZ45" i="2"/>
  <c r="AY44" i="2"/>
  <c r="AY57" i="2"/>
  <c r="AZ66" i="2"/>
  <c r="BB45" i="2"/>
  <c r="AY61" i="2"/>
  <c r="Y23" i="2" a="1"/>
  <c r="Y23" i="2" s="1"/>
  <c r="T18" i="2"/>
  <c r="Y26" i="2" a="1"/>
  <c r="Y26" i="2" s="1"/>
  <c r="BB51" i="2"/>
  <c r="T4" i="2"/>
  <c r="BB36" i="2"/>
  <c r="BB94" i="2"/>
  <c r="AY52" i="2"/>
  <c r="BB61" i="2"/>
  <c r="Y42" i="2" a="1"/>
  <c r="Y42" i="2" s="1"/>
  <c r="BB66" i="2"/>
  <c r="AZ44" i="2"/>
  <c r="T11" i="2"/>
  <c r="BB43" i="2"/>
  <c r="BB37" i="2"/>
  <c r="T5" i="2"/>
  <c r="Y2" i="2" a="1"/>
  <c r="Y2" i="2" s="1"/>
  <c r="T3" i="2"/>
  <c r="BB30" i="2"/>
  <c r="AY30" i="2"/>
  <c r="AY32" i="2"/>
  <c r="AY88" i="2"/>
  <c r="Y4" i="2" a="1"/>
  <c r="Y4" i="2" s="1"/>
  <c r="L14" i="34"/>
  <c r="T6" i="2"/>
  <c r="AZ41" i="2"/>
  <c r="AY82" i="2"/>
  <c r="Y15" i="2" a="1"/>
  <c r="Y15" i="2" s="1"/>
  <c r="AY41" i="2"/>
  <c r="BB73" i="2"/>
  <c r="AY58" i="2"/>
  <c r="AZ32" i="2"/>
  <c r="AY83" i="2"/>
  <c r="BB29" i="2"/>
  <c r="BB35" i="2"/>
  <c r="Y46" i="2" a="1"/>
  <c r="Y46" i="2" s="1"/>
  <c r="AZ16" i="2"/>
  <c r="BB48" i="2"/>
  <c r="BB25" i="2"/>
  <c r="AZ26" i="2"/>
  <c r="AY59" i="2"/>
  <c r="AY24" i="2"/>
  <c r="AY19" i="2"/>
  <c r="BB39" i="2"/>
  <c r="BB28" i="2"/>
  <c r="AZ29" i="2"/>
  <c r="BB18" i="2"/>
  <c r="BB21" i="2"/>
  <c r="Y7" i="2" a="1"/>
  <c r="Y7" i="2" s="1"/>
  <c r="AZ21" i="2"/>
  <c r="BB17" i="2"/>
  <c r="BB82" i="2"/>
  <c r="AZ48" i="2"/>
  <c r="AY33" i="2"/>
  <c r="AY31" i="2"/>
  <c r="BB31" i="2"/>
  <c r="AY25" i="2"/>
  <c r="BB16" i="2"/>
  <c r="AY73" i="2"/>
  <c r="AZ33" i="2"/>
  <c r="AY49" i="2"/>
  <c r="BB89" i="2"/>
  <c r="AZ59" i="2"/>
  <c r="T41" i="2"/>
  <c r="BB58" i="2"/>
  <c r="BB83" i="2"/>
  <c r="BB71" i="2"/>
  <c r="Y14" i="2" a="1"/>
  <c r="Y14" i="2" s="1"/>
  <c r="BB19" i="2"/>
  <c r="AY43" i="2"/>
  <c r="T17" i="2"/>
  <c r="AY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0D9540-4C64-4A6B-B952-E73D8C1F14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D1F227-CC55-43C4-9BF5-CE602B8D618E}" name="WorksheetConnection_CWC2023.xlsx!Calculations_1" type="102" refreshedVersion="8" minRefreshableVersion="5">
    <extLst>
      <ext xmlns:x15="http://schemas.microsoft.com/office/spreadsheetml/2010/11/main" uri="{DE250136-89BD-433C-8126-D09CA5730AF9}">
        <x15:connection id="Calculations_1">
          <x15:rangePr sourceName="_xlcn.WorksheetConnection_CWC2023.xlsxCalculations_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<sst xmlns="http://schemas.openxmlformats.org/spreadsheetml/2006/main" count="1694" uniqueCount="350">
  <si>
    <t>Match ID</t>
  </si>
  <si>
    <t>Match Time</t>
  </si>
  <si>
    <t>City</t>
  </si>
  <si>
    <t>Stadium</t>
  </si>
  <si>
    <t>Team A</t>
  </si>
  <si>
    <t>Team B</t>
  </si>
  <si>
    <t>Toss Winner</t>
  </si>
  <si>
    <t>Toss Decision</t>
  </si>
  <si>
    <t>Score A</t>
  </si>
  <si>
    <t>Wickets A</t>
  </si>
  <si>
    <t>Overs Played A</t>
  </si>
  <si>
    <t>Maiden Overs A</t>
  </si>
  <si>
    <t>4s A</t>
  </si>
  <si>
    <t>6s A</t>
  </si>
  <si>
    <t>Boundaries A</t>
  </si>
  <si>
    <t>Runrate A</t>
  </si>
  <si>
    <t>Leg Byes A</t>
  </si>
  <si>
    <t>Byes A</t>
  </si>
  <si>
    <t>Wides A</t>
  </si>
  <si>
    <t>No Balls A</t>
  </si>
  <si>
    <t>Penalty A</t>
  </si>
  <si>
    <t>Extras A</t>
  </si>
  <si>
    <t>Score B</t>
  </si>
  <si>
    <t>Wickets B</t>
  </si>
  <si>
    <t>Overs Played B</t>
  </si>
  <si>
    <t>Maiden Overs B</t>
  </si>
  <si>
    <t>4s B</t>
  </si>
  <si>
    <t>6s B</t>
  </si>
  <si>
    <t>Boundaries B</t>
  </si>
  <si>
    <t>Runrate B</t>
  </si>
  <si>
    <t>Leg Byes B</t>
  </si>
  <si>
    <t>Byes B</t>
  </si>
  <si>
    <t>Wides B</t>
  </si>
  <si>
    <t>No Balls B</t>
  </si>
  <si>
    <t>Penalty B</t>
  </si>
  <si>
    <t>Extras B</t>
  </si>
  <si>
    <t>Wining Team</t>
  </si>
  <si>
    <t>Margin</t>
  </si>
  <si>
    <t>Man of the Match</t>
  </si>
  <si>
    <t>Umpire 1</t>
  </si>
  <si>
    <t>Umpire 2</t>
  </si>
  <si>
    <t>TV Umpire</t>
  </si>
  <si>
    <t>Match Refree</t>
  </si>
  <si>
    <t>Ahmedabad</t>
  </si>
  <si>
    <t>Narendra Modi Stadium</t>
  </si>
  <si>
    <t>England</t>
  </si>
  <si>
    <t>NewZealand</t>
  </si>
  <si>
    <t>Field</t>
  </si>
  <si>
    <t>9 Wickets</t>
  </si>
  <si>
    <t>Rachin Ravindra</t>
  </si>
  <si>
    <t>Kumar Dharmasena</t>
  </si>
  <si>
    <t>Nitin Menon</t>
  </si>
  <si>
    <t>Paul Wilson</t>
  </si>
  <si>
    <t>Javagal Srinath</t>
  </si>
  <si>
    <t>Hyderabad</t>
  </si>
  <si>
    <t>Eden Gardens</t>
  </si>
  <si>
    <t>Pakistan</t>
  </si>
  <si>
    <t>Netherlands</t>
  </si>
  <si>
    <t>81 Runs</t>
  </si>
  <si>
    <t>Saud Shakeel</t>
  </si>
  <si>
    <t>Adrian Holdstock</t>
  </si>
  <si>
    <t>Chris Brown</t>
  </si>
  <si>
    <t>Rod Tucker</t>
  </si>
  <si>
    <t>Jeff Crowe</t>
  </si>
  <si>
    <t>Dharamshala</t>
  </si>
  <si>
    <t>HPCA Stadium</t>
  </si>
  <si>
    <t>Afghanistan</t>
  </si>
  <si>
    <t>Bangladesh</t>
  </si>
  <si>
    <t>6 Wickets</t>
  </si>
  <si>
    <t>Mehidy Hasan Miraz</t>
  </si>
  <si>
    <t>Joel Wilson</t>
  </si>
  <si>
    <t>Ahsan Raza</t>
  </si>
  <si>
    <t>Andy Pycroft</t>
  </si>
  <si>
    <t>Delhi</t>
  </si>
  <si>
    <t>Arun Jaitley Stadium</t>
  </si>
  <si>
    <t>South Africa</t>
  </si>
  <si>
    <t>Sri Lanka</t>
  </si>
  <si>
    <t>102 Runs</t>
  </si>
  <si>
    <t>Aiden Markram</t>
  </si>
  <si>
    <t>Richard Illingworth</t>
  </si>
  <si>
    <t>Sharfuddoula</t>
  </si>
  <si>
    <t>Michael Gough</t>
  </si>
  <si>
    <t>Chennai</t>
  </si>
  <si>
    <t>M. A. Chidambaram Stadium</t>
  </si>
  <si>
    <t>Australia</t>
  </si>
  <si>
    <t>India</t>
  </si>
  <si>
    <t>Bat</t>
  </si>
  <si>
    <t>6 wickets</t>
  </si>
  <si>
    <t>KL Rahul</t>
  </si>
  <si>
    <t>Chris Gaffaney</t>
  </si>
  <si>
    <t>Richard Kettleborough</t>
  </si>
  <si>
    <t>Richie Richardson</t>
  </si>
  <si>
    <t>Rajiv Gandhi International Stadium</t>
  </si>
  <si>
    <t>99 Runs</t>
  </si>
  <si>
    <t>Mitchell Santner</t>
  </si>
  <si>
    <t>Paul Reiffel</t>
  </si>
  <si>
    <t>137 Runs</t>
  </si>
  <si>
    <t>Dawid Malan</t>
  </si>
  <si>
    <t>Mohammad Rizwan</t>
  </si>
  <si>
    <t>Alex Wharf</t>
  </si>
  <si>
    <t>8 Wickets</t>
  </si>
  <si>
    <t>Rohit Sharma</t>
  </si>
  <si>
    <t>Marais Erasmus</t>
  </si>
  <si>
    <t>Lucknow</t>
  </si>
  <si>
    <t>BRSABV Ekana Cricket Stadium</t>
  </si>
  <si>
    <t>134 Runs</t>
  </si>
  <si>
    <t>Quinton de Kock</t>
  </si>
  <si>
    <t>Lockie Ferguson</t>
  </si>
  <si>
    <t>7 Wickets</t>
  </si>
  <si>
    <t>Jasprit Bumrah</t>
  </si>
  <si>
    <t xml:space="preserve"> 69 Runs</t>
  </si>
  <si>
    <t>Mujeeb Ur Rahman</t>
  </si>
  <si>
    <t>5 Wickets</t>
  </si>
  <si>
    <t>Adam Zampa</t>
  </si>
  <si>
    <t>38 Runs</t>
  </si>
  <si>
    <t>Scott Edwards</t>
  </si>
  <si>
    <t>149 Runs</t>
  </si>
  <si>
    <t>Glenn Phillips</t>
  </si>
  <si>
    <t>Pune</t>
  </si>
  <si>
    <t>Maharashtra Cricket Association Stadium</t>
  </si>
  <si>
    <t>Virat Kohli</t>
  </si>
  <si>
    <t>Bangalore</t>
  </si>
  <si>
    <t>M. Chinnaswamy Stadium</t>
  </si>
  <si>
    <t>62 Runs</t>
  </si>
  <si>
    <t>David Warner</t>
  </si>
  <si>
    <t>Sadeera Samarawickrama</t>
  </si>
  <si>
    <t>Mumbai</t>
  </si>
  <si>
    <t>Wankhede Stadium</t>
  </si>
  <si>
    <t>229 Runs</t>
  </si>
  <si>
    <t>Heinrich Klaasen</t>
  </si>
  <si>
    <t>4 Wickets</t>
  </si>
  <si>
    <t>Mohammed Shami</t>
  </si>
  <si>
    <t>Ibrahim Zadran</t>
  </si>
  <si>
    <t>309 Runs</t>
  </si>
  <si>
    <t>Glenn Maxwell</t>
  </si>
  <si>
    <t>Lahiru Kumara</t>
  </si>
  <si>
    <t>1 Wicket</t>
  </si>
  <si>
    <t>Tabraiz Shamsi</t>
  </si>
  <si>
    <t>5 Runs</t>
  </si>
  <si>
    <t>Travis Head</t>
  </si>
  <si>
    <t>Kolkata</t>
  </si>
  <si>
    <t>87 Runs</t>
  </si>
  <si>
    <t>Paul van Meekeren</t>
  </si>
  <si>
    <t>100 Runs</t>
  </si>
  <si>
    <t>Fazalhaq Farooqi</t>
  </si>
  <si>
    <t>Fakhar Zaman</t>
  </si>
  <si>
    <t>190 Runs</t>
  </si>
  <si>
    <t>Rassie van der Dussen</t>
  </si>
  <si>
    <t>302 Runs</t>
  </si>
  <si>
    <t>Mohammad Nabi</t>
  </si>
  <si>
    <t>21 Runs DLS Method</t>
  </si>
  <si>
    <t>33 Runs</t>
  </si>
  <si>
    <t>243 Runs</t>
  </si>
  <si>
    <t>3 Wickets</t>
  </si>
  <si>
    <t>Shakib Al Hasan</t>
  </si>
  <si>
    <t>160 Runs</t>
  </si>
  <si>
    <t>Ben Stokes</t>
  </si>
  <si>
    <t>Trent Boult</t>
  </si>
  <si>
    <t>Mitchell Marsh</t>
  </si>
  <si>
    <t>93 Runs</t>
  </si>
  <si>
    <t>David Willey</t>
  </si>
  <si>
    <t>Shreyas Iyer</t>
  </si>
  <si>
    <t>70 Runs</t>
  </si>
  <si>
    <t>Match Date</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</si>
  <si>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</si>
  <si>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</si>
  <si>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</si>
  <si>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</si>
  <si>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</si>
  <si>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</si>
  <si>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</si>
  <si>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</si>
  <si>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</si>
  <si>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</si>
  <si>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</si>
  <si>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</si>
  <si>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</si>
  <si>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</si>
  <si>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</si>
  <si>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</si>
  <si>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</si>
  <si>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</si>
  <si>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15/11/2023</t>
  </si>
  <si>
    <t>16/11/2023</t>
  </si>
  <si>
    <t>19/11/2023</t>
  </si>
  <si>
    <t>31/10/2023</t>
  </si>
  <si>
    <t>Winning Team</t>
  </si>
  <si>
    <t>Total 4s (match)</t>
  </si>
  <si>
    <t>Total 6s (match)</t>
  </si>
  <si>
    <t>Total Boundaries (match)</t>
  </si>
  <si>
    <t>Total Wickets (match)</t>
  </si>
  <si>
    <t xml:space="preserve">Total Runs (match) </t>
  </si>
  <si>
    <t>Margin (text)</t>
  </si>
  <si>
    <t>Margin Value</t>
  </si>
  <si>
    <t>Winning Margin Type</t>
  </si>
  <si>
    <t>Chasing Won</t>
  </si>
  <si>
    <t>Toss Winner Won Match (1/0)</t>
  </si>
  <si>
    <t>Match Result by Toss</t>
  </si>
  <si>
    <t>Team</t>
  </si>
  <si>
    <t>Opponent</t>
  </si>
  <si>
    <t>New Zealand</t>
  </si>
  <si>
    <t>Wickets</t>
  </si>
  <si>
    <t>Runs</t>
  </si>
  <si>
    <t>Batting First Won</t>
  </si>
  <si>
    <t>Runs (DLS) Method</t>
  </si>
  <si>
    <t>DLS Result</t>
  </si>
  <si>
    <t>Score</t>
  </si>
  <si>
    <t>Overs Played</t>
  </si>
  <si>
    <t>Maiden Overs</t>
  </si>
  <si>
    <t>4s</t>
  </si>
  <si>
    <t>6s</t>
  </si>
  <si>
    <t>Runrate</t>
  </si>
  <si>
    <t>Wickets Lost (batting)</t>
  </si>
  <si>
    <t>Match Result</t>
  </si>
  <si>
    <t>Byes</t>
  </si>
  <si>
    <t>Wides</t>
  </si>
  <si>
    <t>No Balls</t>
  </si>
  <si>
    <t>Extras</t>
  </si>
  <si>
    <t>Total Boundaries (4s+6s)</t>
  </si>
  <si>
    <t>Win(1/0)</t>
  </si>
  <si>
    <t>Loss(1/0)</t>
  </si>
  <si>
    <t>Win/Loss</t>
  </si>
  <si>
    <t>Toss Won (1/0)</t>
  </si>
  <si>
    <t>Toss Won &amp; Match Won</t>
  </si>
  <si>
    <t>Grand Total</t>
  </si>
  <si>
    <t>Wins</t>
  </si>
  <si>
    <t>Losses</t>
  </si>
  <si>
    <t>Total Runs</t>
  </si>
  <si>
    <t>Highest Score</t>
  </si>
  <si>
    <t>Avg Score</t>
  </si>
  <si>
    <t xml:space="preserve">Avg Run rate </t>
  </si>
  <si>
    <t>Avg Wickets Lost / Match</t>
  </si>
  <si>
    <t>Toss Won</t>
  </si>
  <si>
    <t>Win %</t>
  </si>
  <si>
    <t>Toss / Won %</t>
  </si>
  <si>
    <t>Player</t>
  </si>
  <si>
    <t>Awards</t>
  </si>
  <si>
    <t>Total</t>
  </si>
  <si>
    <t>#</t>
  </si>
  <si>
    <t>Player (Top 10)</t>
  </si>
  <si>
    <t>Matches</t>
  </si>
  <si>
    <t>Sr.no</t>
  </si>
  <si>
    <t>City summary</t>
  </si>
  <si>
    <t>Venue Analysis</t>
  </si>
  <si>
    <t>Match Played</t>
  </si>
  <si>
    <t>Analysis – summary tables</t>
  </si>
  <si>
    <t>Win % by Team</t>
  </si>
  <si>
    <t>Played</t>
  </si>
  <si>
    <t>1 │ TEAM PERFORMANCE</t>
  </si>
  <si>
    <t>2 │ BATTING ANALYSIS</t>
  </si>
  <si>
    <t>Highest Team Score</t>
  </si>
  <si>
    <t>Average Score by Team</t>
  </si>
  <si>
    <t>4s vs 6s by Team</t>
  </si>
  <si>
    <t>Run Rate by Team</t>
  </si>
  <si>
    <t>Run Rate</t>
  </si>
  <si>
    <t>3 │ BOWLING ANALYSIS</t>
  </si>
  <si>
    <t>Wickets Taken by Team</t>
  </si>
  <si>
    <t>Wickets Taken (bowling)</t>
  </si>
  <si>
    <t>Item</t>
  </si>
  <si>
    <t>Wicket</t>
  </si>
  <si>
    <t>Maiden Overs Bowled by Team</t>
  </si>
  <si>
    <t>Maidens</t>
  </si>
  <si>
    <t>4 │ TOSS ANALYSIS</t>
  </si>
  <si>
    <t>Toss Decision: Bat vs Field</t>
  </si>
  <si>
    <t>Toss Winner vs Match Winner</t>
  </si>
  <si>
    <t>Toss Win</t>
  </si>
  <si>
    <t>Toss &amp; Match Win</t>
  </si>
  <si>
    <t>6 │ MATCH RESULT ANALYSIS</t>
  </si>
  <si>
    <t>5 │ VENUE ANALYSIS</t>
  </si>
  <si>
    <t>Wins by Team: Runs vs Wickets</t>
  </si>
  <si>
    <t>Winning Margin Distribution -Runs</t>
  </si>
  <si>
    <t>51-100</t>
  </si>
  <si>
    <t>101-150</t>
  </si>
  <si>
    <t>151-200</t>
  </si>
  <si>
    <t>201+</t>
  </si>
  <si>
    <t>1-50</t>
  </si>
  <si>
    <t>Wins by Wickets – Margin Distribution</t>
  </si>
  <si>
    <t>Match</t>
  </si>
  <si>
    <t>Team Performance • Batting • Bowling • Venue • Toss</t>
  </si>
  <si>
    <t>Total Matches</t>
  </si>
  <si>
    <t>Total Teams</t>
  </si>
  <si>
    <t>Total Wickets</t>
  </si>
  <si>
    <t>Total 4s</t>
  </si>
  <si>
    <t>Total 6s</t>
  </si>
  <si>
    <t>Average Team Score</t>
  </si>
  <si>
    <t>Win</t>
  </si>
  <si>
    <t>h</t>
  </si>
  <si>
    <t>Sum of Toss Won &amp; Match Won</t>
  </si>
  <si>
    <t>Studium</t>
  </si>
  <si>
    <t>Wickets  Lost</t>
  </si>
  <si>
    <t>Wickets taken</t>
  </si>
  <si>
    <t/>
  </si>
  <si>
    <t>Runs vs Wicket</t>
  </si>
  <si>
    <t>Winning Wickets Range</t>
  </si>
  <si>
    <t>Winning Runs Range</t>
  </si>
  <si>
    <t>1-3</t>
  </si>
  <si>
    <t>4-6</t>
  </si>
  <si>
    <t>7-10</t>
  </si>
  <si>
    <t xml:space="preserve">                1 │ TEAM PERFORMANCE</t>
  </si>
  <si>
    <t>Total Match Plyaed by Team</t>
  </si>
  <si>
    <t xml:space="preserve">Played </t>
  </si>
  <si>
    <t xml:space="preserve">                2 │ BATTING ANALYSIS</t>
  </si>
  <si>
    <t xml:space="preserve">               3 │ BOWLING ANALYSIS</t>
  </si>
  <si>
    <t xml:space="preserve">              4 │ TOSS ANALYSIS</t>
  </si>
  <si>
    <t xml:space="preserve">              5 │ VENUE ANALYSIS</t>
  </si>
  <si>
    <t xml:space="preserve">             6 │ MATCH RESULT ANALYSIS</t>
  </si>
  <si>
    <t xml:space="preserve"> Win</t>
  </si>
  <si>
    <t xml:space="preserve"> Match Played</t>
  </si>
  <si>
    <t xml:space="preserve">Toss Won &amp; Match Won </t>
  </si>
  <si>
    <t>Match Win %</t>
  </si>
  <si>
    <r>
      <rPr>
        <sz val="16"/>
        <color rgb="FF17365D"/>
        <rFont val="Arial"/>
        <family val="2"/>
      </rPr>
      <t>FILTERS – Use the slicers below to explore team, venue, city and toss insights. All visuals update automatically</t>
    </r>
    <r>
      <rPr>
        <sz val="16"/>
        <color rgb="FFFFC000"/>
        <rFont val="Arial"/>
        <family val="2"/>
      </rPr>
      <t>.</t>
    </r>
  </si>
  <si>
    <t>Player Analysis</t>
  </si>
  <si>
    <t>Team  Analysis</t>
  </si>
  <si>
    <t xml:space="preserve">               • Use the interactive slicers to filter data and compare teams, scores, and match outcomes.</t>
  </si>
  <si>
    <t xml:space="preserve">               • All KPIs and visualizations help identify key trends and performance patterns throughout the tournament.</t>
  </si>
  <si>
    <t xml:space="preserve">Notes:  • This dashboard provides insights into team performance, match results, toss decisions, and venue statistics for CWC 2023. </t>
  </si>
  <si>
    <t xml:space="preserve">               • Gold bar / cell = best value.</t>
  </si>
  <si>
    <r>
      <rPr>
        <b/>
        <sz val="28"/>
        <color theme="0"/>
        <rFont val="Aptos Display"/>
        <family val="2"/>
        <scheme val="major"/>
      </rPr>
      <t>🏏</t>
    </r>
    <r>
      <rPr>
        <b/>
        <sz val="30"/>
        <color theme="0"/>
        <rFont val="Aptos Display"/>
        <family val="2"/>
        <scheme val="major"/>
      </rPr>
      <t>ODI WORLD CUP 2023
CRICKET PERFORMANCE &amp; MATCH ANALYSIS DASHBOARD</t>
    </r>
  </si>
  <si>
    <t>Champions • Top batting performance • Top bowling performance • Memorable innings</t>
  </si>
  <si>
    <t>Category</t>
  </si>
  <si>
    <t>Achievement</t>
  </si>
  <si>
    <t>Player / Team</t>
  </si>
  <si>
    <t>Performance</t>
  </si>
  <si>
    <t>Photo / Visual</t>
  </si>
  <si>
    <t>Photo Source</t>
  </si>
  <si>
    <t>🏆 Winning Team</t>
  </si>
  <si>
    <t>World Cup Champions</t>
  </si>
  <si>
    <t>Defeated India by 6 wickets in the Final</t>
  </si>
  <si>
    <t>🏆 Team celebration photo</t>
  </si>
  <si>
    <t>🏏 Best Batsman</t>
  </si>
  <si>
    <t>Most Runs in Tournament</t>
  </si>
  <si>
    <t>765 runs</t>
  </si>
  <si>
    <t>🏏 Player photo</t>
  </si>
  <si>
    <t>🎯 Best Bowler</t>
  </si>
  <si>
    <t>Most Wickets in Tournament</t>
  </si>
  <si>
    <t>24 wickets</t>
  </si>
  <si>
    <t>🎯 Player photo</t>
  </si>
  <si>
    <t>💯 Best Individual Innings</t>
  </si>
  <si>
    <t>Highest Individual Score</t>
  </si>
  <si>
    <t>201* vs Afghanistan</t>
  </si>
  <si>
    <t>💯 Player photo</t>
  </si>
  <si>
    <t>🇮🇳 Group Stage Performance</t>
  </si>
  <si>
    <t>Best League-Stage Record</t>
  </si>
  <si>
    <t>Won all 9 league-stage matches</t>
  </si>
  <si>
    <t>🇮🇳 Team photo</t>
  </si>
  <si>
    <t>Tournament facts are fixed overall highlights and do not change with dashboard slicers.</t>
  </si>
  <si>
    <t>ICC CRICKET WORLD CUP 2023 – 🏆 TOURNAMENT HIGHLIGHTS</t>
  </si>
  <si>
    <t>`</t>
  </si>
  <si>
    <t xml:space="preserve">Wickets Lost by Team </t>
  </si>
  <si>
    <t xml:space="preserve">Wicket Llost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</si>
</sst>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dd\-mmm\-yyyy"/>
    <numFmt numFmtId="165" formatCode="0.0"/>
    <numFmt numFmtId="166" formatCode="_(* #,##0_);_(* \(#,##0\);_(* &quot;-&quot;??_);_(@_)"/>
    <numFmt numFmtId="167" formatCode="0.0%"/>
  </numFmts>
  <fonts count="6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rgb="FFFFFFFF"/>
      <name val="Arial"/>
      <family val="2"/>
    </font>
    <font>
      <sz val="11"/>
      <color theme="1"/>
      <name val="Arial"/>
      <family val="2"/>
    </font>
    <font>
      <b/>
      <sz val="11"/>
      <color theme="0"/>
      <name val="Arial"/>
      <family val="2"/>
    </font>
    <font>
      <b/>
      <sz val="11"/>
      <color theme="1"/>
      <name val="Arial"/>
      <family val="2"/>
    </font>
    <font>
      <b/>
      <sz val="11"/>
      <color rgb="FF0B1F3A"/>
      <name val="Arial"/>
      <family val="2"/>
    </font>
    <font>
      <b/>
      <sz val="14"/>
      <color rgb="FF000000"/>
      <name val="Arial"/>
      <family val="2"/>
    </font>
    <font>
      <b/>
      <sz val="11"/>
      <color rgb="FF000000"/>
      <name val="Arial"/>
      <family val="2"/>
    </font>
    <font>
      <b/>
      <i/>
      <sz val="10"/>
      <color rgb="FFFFFFFF"/>
      <name val="Arial"/>
      <family val="2"/>
    </font>
    <font>
      <sz val="11"/>
      <color rgb="FF000000"/>
      <name val="Arial"/>
      <family val="2"/>
    </font>
    <font>
      <sz val="10"/>
      <color theme="1"/>
      <name val="Arial"/>
      <family val="2"/>
    </font>
    <font>
      <sz val="11"/>
      <color theme="0"/>
      <name val="Arial"/>
      <family val="2"/>
    </font>
    <font>
      <sz val="10"/>
      <name val="Arial"/>
      <family val="2"/>
    </font>
    <font>
      <sz val="8"/>
      <name val="Aptos Narrow"/>
      <family val="2"/>
      <scheme val="minor"/>
    </font>
    <font>
      <b/>
      <sz val="10"/>
      <color theme="0"/>
      <name val="Arial"/>
      <family val="2"/>
    </font>
    <font>
      <b/>
      <sz val="26"/>
      <color theme="1"/>
      <name val="Aptos Display"/>
      <family val="2"/>
      <scheme val="major"/>
    </font>
    <font>
      <sz val="14"/>
      <color theme="1"/>
      <name val="Arial"/>
      <family val="2"/>
    </font>
    <font>
      <sz val="28"/>
      <color theme="1"/>
      <name val="Aptos Narrow"/>
      <family val="2"/>
      <scheme val="minor"/>
    </font>
    <font>
      <b/>
      <sz val="16"/>
      <color theme="0"/>
      <name val="Aptos Display"/>
      <family val="2"/>
      <scheme val="major"/>
    </font>
    <font>
      <b/>
      <sz val="26"/>
      <color theme="1"/>
      <name val="Arial"/>
      <family val="2"/>
    </font>
    <font>
      <sz val="10"/>
      <color rgb="FF222222"/>
      <name val="Arial"/>
      <family val="2"/>
    </font>
    <font>
      <b/>
      <sz val="10"/>
      <color rgb="FF222222"/>
      <name val="Arial"/>
      <family val="2"/>
    </font>
    <font>
      <b/>
      <sz val="9"/>
      <color rgb="FF5B6B82"/>
      <name val="Arial"/>
      <family val="2"/>
    </font>
    <font>
      <i/>
      <sz val="8"/>
      <color rgb="FF5B6B82"/>
      <name val="Arial"/>
      <family val="2"/>
    </font>
    <font>
      <u/>
      <sz val="16"/>
      <color rgb="FFF2B233"/>
      <name val="Aptos Narrow"/>
      <family val="2"/>
      <scheme val="minor"/>
    </font>
    <font>
      <b/>
      <sz val="26"/>
      <color rgb="FF17365D"/>
      <name val="Aptos Display"/>
      <family val="2"/>
      <scheme val="major"/>
    </font>
    <font>
      <sz val="16"/>
      <color rgb="FF555555"/>
      <name val="Arial"/>
      <family val="2"/>
    </font>
    <font>
      <sz val="16"/>
      <color rgb="FFFFC000"/>
      <name val="Arial"/>
      <family val="2"/>
    </font>
    <font>
      <sz val="16"/>
      <color rgb="FF17365D"/>
      <name val="Arial"/>
      <family val="2"/>
    </font>
    <font>
      <b/>
      <sz val="30"/>
      <color theme="0"/>
      <name val="Aptos Display"/>
      <family val="2"/>
      <scheme val="major"/>
    </font>
    <font>
      <b/>
      <sz val="16"/>
      <color theme="1"/>
      <name val="Arial"/>
      <family val="2"/>
    </font>
    <font>
      <sz val="16"/>
      <color theme="1"/>
      <name val="Arial"/>
      <family val="2"/>
    </font>
    <font>
      <b/>
      <sz val="22"/>
      <color theme="8" tint="-0.249977111117893"/>
      <name val="Arial"/>
      <family val="2"/>
    </font>
    <font>
      <sz val="22"/>
      <color theme="8" tint="-0.249977111117893"/>
      <name val="Arial"/>
      <family val="2"/>
    </font>
    <font>
      <sz val="16"/>
      <color theme="1"/>
      <name val="Aptos Narrow"/>
      <family val="2"/>
      <scheme val="minor"/>
    </font>
    <font>
      <b/>
      <sz val="22"/>
      <color theme="8" tint="-0.249977111117893"/>
      <name val="Aptos Narrow"/>
      <family val="2"/>
      <scheme val="minor"/>
    </font>
    <font>
      <b/>
      <sz val="20"/>
      <color theme="8" tint="-0.249977111117893"/>
      <name val="Arial"/>
      <family val="2"/>
    </font>
    <font>
      <sz val="16"/>
      <color theme="9" tint="-0.499984740745262"/>
      <name val="Aptos Narrow"/>
      <family val="2"/>
      <scheme val="minor"/>
    </font>
    <font>
      <sz val="11"/>
      <color theme="9" tint="-0.499984740745262"/>
      <name val="Aptos Narrow"/>
      <family val="2"/>
      <scheme val="minor"/>
    </font>
    <font>
      <b/>
      <sz val="16"/>
      <color theme="1"/>
      <name val="Aptos Narrow"/>
      <family val="2"/>
      <scheme val="minor"/>
    </font>
    <font>
      <b/>
      <sz val="28"/>
      <color theme="0"/>
      <name val="Aptos Display"/>
      <family val="2"/>
      <scheme val="major"/>
    </font>
    <font>
      <b/>
      <sz val="10"/>
      <color rgb="FF1F4E78"/>
      <name val="Aptos Narrow"/>
      <family val="2"/>
    </font>
    <font>
      <b/>
      <sz val="18"/>
      <color theme="1"/>
      <name val="Aptos Display"/>
      <family val="2"/>
    </font>
    <font>
      <i/>
      <sz val="10"/>
      <color rgb="FFFFC000"/>
      <name val="Aptos"/>
      <family val="2"/>
    </font>
    <font>
      <sz val="11"/>
      <color rgb="FFFFC000"/>
      <name val="Aptos Narrow"/>
      <family val="2"/>
      <scheme val="minor"/>
    </font>
    <font>
      <b/>
      <sz val="16"/>
      <color rgb="FFFFFFFF"/>
      <name val="Aptos Narrow"/>
      <family val="2"/>
    </font>
    <font>
      <i/>
      <sz val="10"/>
      <color theme="1"/>
      <name val="Aptos Narrow"/>
      <family val="2"/>
    </font>
    <font>
      <i/>
      <u/>
      <sz val="10"/>
      <color rgb="FFFFC000"/>
      <name val="Aptos"/>
      <family val="2"/>
    </font>
    <font>
      <u/>
      <sz val="11"/>
      <color rgb="FFFFC000"/>
      <name val="Aptos Narrow"/>
      <family val="2"/>
      <scheme val="minor"/>
    </font>
    <font>
      <b/>
      <sz val="10"/>
      <color rgb="FFFFFFFF"/>
      <name val="Arial"/>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5"/>
      </patternFill>
    </fill>
    <fill>
      <patternFill patternType="solid">
        <fgColor theme="4"/>
        <bgColor indexed="64"/>
      </patternFill>
    </fill>
    <fill>
      <patternFill patternType="solid">
        <fgColor theme="4"/>
        <bgColor theme="5"/>
      </patternFill>
    </fill>
    <fill>
      <patternFill patternType="solid">
        <fgColor rgb="FF12315A"/>
        <bgColor rgb="FF0B1F3A"/>
      </patternFill>
    </fill>
    <fill>
      <patternFill patternType="solid">
        <fgColor theme="3" tint="9.9978637043366805E-2"/>
        <bgColor indexed="64"/>
      </patternFill>
    </fill>
    <fill>
      <patternFill patternType="solid">
        <fgColor rgb="FF1F8A4C"/>
        <bgColor rgb="FF008080"/>
      </patternFill>
    </fill>
    <fill>
      <patternFill patternType="solid">
        <fgColor rgb="FF153D64"/>
        <bgColor indexed="64"/>
      </patternFill>
    </fill>
    <fill>
      <patternFill patternType="solid">
        <fgColor theme="0"/>
        <bgColor indexed="64"/>
      </patternFill>
    </fill>
    <fill>
      <patternFill patternType="solid">
        <fgColor theme="0"/>
        <bgColor rgb="FF0B1F3A"/>
      </patternFill>
    </fill>
    <fill>
      <patternFill patternType="solid">
        <fgColor rgb="FFFFFFFF"/>
        <bgColor rgb="FFFFF7DB"/>
      </patternFill>
    </fill>
    <fill>
      <patternFill patternType="solid">
        <fgColor rgb="FF17365D"/>
        <bgColor indexed="64"/>
      </patternFill>
    </fill>
    <fill>
      <patternFill patternType="solid">
        <fgColor rgb="FF1F4E78"/>
        <bgColor indexed="64"/>
      </patternFill>
    </fill>
    <fill>
      <patternFill patternType="solid">
        <fgColor rgb="FFF2F2F2"/>
        <bgColor indexed="64"/>
      </patternFill>
    </fill>
    <fill>
      <patternFill patternType="solid">
        <fgColor theme="2"/>
        <bgColor indexed="64"/>
      </patternFill>
    </fill>
    <fill>
      <patternFill patternType="solid">
        <fgColor rgb="FF1F4E78"/>
      </patternFill>
    </fill>
    <fill>
      <patternFill patternType="solid">
        <fgColor rgb="FFFFFFFF"/>
      </patternFill>
    </fill>
    <fill>
      <patternFill patternType="solid">
        <fgColor rgb="FFF5F8FC"/>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5" tint="-0.249977111117893"/>
      </top>
      <bottom/>
      <diagonal/>
    </border>
    <border>
      <left/>
      <right/>
      <top style="thin">
        <color theme="5" tint="-0.249977111117893"/>
      </top>
      <bottom style="medium">
        <color theme="5" tint="-0.249977111117893"/>
      </bottom>
      <diagonal/>
    </border>
    <border>
      <left style="thin">
        <color theme="5" tint="-0.499984740745262"/>
      </left>
      <right/>
      <top style="thin">
        <color theme="5" tint="-0.499984740745262"/>
      </top>
      <bottom style="medium">
        <color theme="5" tint="-0.499984740745262"/>
      </bottom>
      <diagonal/>
    </border>
    <border>
      <left/>
      <right/>
      <top style="thin">
        <color theme="5" tint="-0.499984740745262"/>
      </top>
      <bottom style="medium">
        <color theme="5" tint="-0.499984740745262"/>
      </bottom>
      <diagonal/>
    </border>
    <border>
      <left/>
      <right style="thin">
        <color theme="5" tint="-0.499984740745262"/>
      </right>
      <top style="thin">
        <color theme="5" tint="-0.499984740745262"/>
      </top>
      <bottom style="medium">
        <color theme="5" tint="-0.499984740745262"/>
      </bottom>
      <diagonal/>
    </border>
    <border>
      <left/>
      <right/>
      <top/>
      <bottom style="thin">
        <color theme="4" tint="0.39997558519241921"/>
      </bottom>
      <diagonal/>
    </border>
    <border>
      <left/>
      <right/>
      <top/>
      <bottom style="thin">
        <color rgb="FFC00000"/>
      </bottom>
      <diagonal/>
    </border>
    <border>
      <left style="thin">
        <color rgb="FFC00000"/>
      </left>
      <right/>
      <top style="thin">
        <color theme="5" tint="-0.499984740745262"/>
      </top>
      <bottom style="medium">
        <color theme="5" tint="-0.499984740745262"/>
      </bottom>
      <diagonal/>
    </border>
    <border>
      <left style="thin">
        <color theme="5" tint="-0.499984740745262"/>
      </left>
      <right style="thin">
        <color theme="5" tint="-0.499984740745262"/>
      </right>
      <top style="thin">
        <color theme="5" tint="-0.499984740745262"/>
      </top>
      <bottom style="medium">
        <color theme="5" tint="-0.499984740745262"/>
      </bottom>
      <diagonal/>
    </border>
    <border>
      <left/>
      <right/>
      <top/>
      <bottom style="hair">
        <color rgb="FFC9D1DD"/>
      </bottom>
      <diagonal/>
    </border>
    <border>
      <left/>
      <right/>
      <top/>
      <bottom style="medium">
        <color indexed="64"/>
      </bottom>
      <diagonal/>
    </border>
    <border>
      <left/>
      <right/>
      <top/>
      <bottom style="medium">
        <color rgb="FFF4B400"/>
      </bottom>
      <diagonal/>
    </border>
    <border>
      <left/>
      <right/>
      <top/>
      <bottom style="thin">
        <color rgb="FFD9E2EC"/>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46">
    <xf numFmtId="0" fontId="0" fillId="0" borderId="0" xfId="0"/>
    <xf numFmtId="18" fontId="0" fillId="0" borderId="0" xfId="0" applyNumberFormat="1"/>
    <xf numFmtId="14" fontId="0" fillId="0" borderId="0" xfId="0" applyNumberFormat="1"/>
    <xf numFmtId="14" fontId="0" fillId="0" borderId="0" xfId="0" applyNumberFormat="1" applyAlignment="1">
      <alignment horizontal="right"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164" fontId="0" fillId="0" borderId="0" xfId="0" applyNumberFormat="1" applyAlignment="1">
      <alignment horizontal="center" vertical="center" wrapText="1"/>
    </xf>
    <xf numFmtId="10" fontId="0" fillId="0" borderId="0" xfId="0" applyNumberFormat="1"/>
    <xf numFmtId="0" fontId="13" fillId="33" borderId="0" xfId="0" applyFont="1" applyFill="1" applyAlignment="1">
      <alignment horizontal="center" vertical="center" wrapText="1"/>
    </xf>
    <xf numFmtId="0" fontId="16" fillId="0" borderId="0" xfId="0" applyFont="1"/>
    <xf numFmtId="0" fontId="18" fillId="36" borderId="0" xfId="0" applyFont="1" applyFill="1" applyAlignment="1">
      <alignment horizontal="center" vertical="center"/>
    </xf>
    <xf numFmtId="0" fontId="18" fillId="36" borderId="0" xfId="0" applyFont="1" applyFill="1" applyAlignment="1">
      <alignment horizontal="center" vertical="center" wrapText="1"/>
    </xf>
    <xf numFmtId="0" fontId="19" fillId="0" borderId="0" xfId="0" applyFont="1"/>
    <xf numFmtId="166" fontId="19" fillId="0" borderId="0" xfId="42" applyNumberFormat="1" applyFont="1"/>
    <xf numFmtId="165" fontId="19" fillId="0" borderId="0" xfId="0" applyNumberFormat="1" applyFont="1"/>
    <xf numFmtId="0" fontId="20" fillId="34" borderId="0" xfId="0" applyFont="1" applyFill="1"/>
    <xf numFmtId="0" fontId="21" fillId="0" borderId="11" xfId="0" applyFont="1" applyBorder="1"/>
    <xf numFmtId="0" fontId="21" fillId="0" borderId="0" xfId="0" applyFont="1"/>
    <xf numFmtId="10" fontId="20" fillId="35" borderId="10" xfId="0" applyNumberFormat="1" applyFont="1" applyFill="1" applyBorder="1" applyAlignment="1">
      <alignment horizontal="center" vertical="center" wrapText="1"/>
    </xf>
    <xf numFmtId="0" fontId="19" fillId="0" borderId="0" xfId="0" applyFont="1" applyAlignment="1">
      <alignment horizontal="left"/>
    </xf>
    <xf numFmtId="2" fontId="19" fillId="0" borderId="0" xfId="0" applyNumberFormat="1" applyFont="1"/>
    <xf numFmtId="10" fontId="19" fillId="0" borderId="0" xfId="0" applyNumberFormat="1" applyFont="1"/>
    <xf numFmtId="164" fontId="19" fillId="0" borderId="0" xfId="0" applyNumberFormat="1" applyFont="1"/>
    <xf numFmtId="164" fontId="19" fillId="0" borderId="0" xfId="0" applyNumberFormat="1" applyFont="1" applyAlignment="1">
      <alignment horizontal="right" vertical="center"/>
    </xf>
    <xf numFmtId="0" fontId="22" fillId="0" borderId="0" xfId="0" applyFont="1"/>
    <xf numFmtId="0" fontId="0" fillId="0" borderId="0" xfId="0" applyAlignment="1">
      <alignment horizontal="left"/>
    </xf>
    <xf numFmtId="0" fontId="27" fillId="0" borderId="0" xfId="0" applyFont="1" applyAlignment="1">
      <alignment horizontal="center" vertical="center"/>
    </xf>
    <xf numFmtId="0" fontId="28" fillId="37" borderId="0" xfId="0" applyFont="1" applyFill="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20" fillId="37" borderId="0" xfId="0" applyFont="1" applyFill="1" applyAlignment="1">
      <alignment horizontal="center" vertical="center"/>
    </xf>
    <xf numFmtId="0" fontId="28" fillId="0" borderId="0" xfId="0" applyFont="1" applyAlignment="1">
      <alignment horizontal="center" vertical="center"/>
    </xf>
    <xf numFmtId="1" fontId="29" fillId="0" borderId="0" xfId="0" applyNumberFormat="1" applyFont="1"/>
    <xf numFmtId="0" fontId="17" fillId="39" borderId="0" xfId="0" applyFont="1" applyFill="1" applyAlignment="1">
      <alignment horizontal="center" vertical="center"/>
    </xf>
    <xf numFmtId="0" fontId="17" fillId="39" borderId="0" xfId="0" applyFont="1" applyFill="1"/>
    <xf numFmtId="0" fontId="29" fillId="0" borderId="0" xfId="0" applyFont="1" applyAlignment="1">
      <alignment horizontal="center"/>
    </xf>
    <xf numFmtId="0" fontId="23" fillId="0" borderId="0" xfId="0" applyFont="1"/>
    <xf numFmtId="0" fontId="26" fillId="0" borderId="0" xfId="0" applyFont="1"/>
    <xf numFmtId="0" fontId="25" fillId="38" borderId="0" xfId="0" applyFont="1" applyFill="1" applyAlignment="1">
      <alignment horizontal="center" vertical="center"/>
    </xf>
    <xf numFmtId="0" fontId="18" fillId="38" borderId="0" xfId="0" applyFont="1" applyFill="1" applyAlignment="1">
      <alignment horizontal="center" vertical="center"/>
    </xf>
    <xf numFmtId="0" fontId="32" fillId="0" borderId="0" xfId="0" applyFont="1" applyAlignment="1">
      <alignment horizontal="center" vertical="center"/>
    </xf>
    <xf numFmtId="0" fontId="24" fillId="40" borderId="0" xfId="0" applyFont="1" applyFill="1"/>
    <xf numFmtId="0" fontId="26" fillId="40" borderId="0" xfId="0" applyFont="1" applyFill="1"/>
    <xf numFmtId="0" fontId="19" fillId="40" borderId="0" xfId="0" applyFont="1" applyFill="1"/>
    <xf numFmtId="0" fontId="0" fillId="40" borderId="0" xfId="0" applyFill="1"/>
    <xf numFmtId="165" fontId="0" fillId="0" borderId="0" xfId="0" applyNumberFormat="1"/>
    <xf numFmtId="0" fontId="28" fillId="34" borderId="0" xfId="0" applyFont="1" applyFill="1" applyAlignment="1">
      <alignment horizontal="center" vertical="center" wrapText="1"/>
    </xf>
    <xf numFmtId="0" fontId="17" fillId="0" borderId="0" xfId="0" applyFont="1"/>
    <xf numFmtId="0" fontId="19" fillId="40" borderId="0" xfId="0" applyFont="1" applyFill="1" applyAlignment="1">
      <alignment horizontal="center" vertical="center" wrapText="1"/>
    </xf>
    <xf numFmtId="165" fontId="19" fillId="40" borderId="0" xfId="0" applyNumberFormat="1" applyFont="1" applyFill="1" applyAlignment="1">
      <alignment horizontal="center" vertical="center" wrapText="1"/>
    </xf>
    <xf numFmtId="2" fontId="19" fillId="40" borderId="0" xfId="0" applyNumberFormat="1" applyFont="1" applyFill="1" applyAlignment="1">
      <alignment horizontal="center" vertical="center" wrapText="1"/>
    </xf>
    <xf numFmtId="165" fontId="19" fillId="40" borderId="13" xfId="0" applyNumberFormat="1" applyFont="1" applyFill="1" applyBorder="1" applyAlignment="1">
      <alignment horizontal="center" vertical="center" wrapText="1"/>
    </xf>
    <xf numFmtId="2" fontId="19" fillId="40" borderId="13" xfId="0" applyNumberFormat="1" applyFont="1" applyFill="1" applyBorder="1" applyAlignment="1">
      <alignment horizontal="center" vertical="center" wrapText="1"/>
    </xf>
    <xf numFmtId="10" fontId="21" fillId="0" borderId="13" xfId="0" applyNumberFormat="1" applyFont="1" applyBorder="1"/>
    <xf numFmtId="10" fontId="21" fillId="0" borderId="14" xfId="0" applyNumberFormat="1" applyFont="1" applyBorder="1"/>
    <xf numFmtId="0" fontId="0" fillId="0" borderId="0" xfId="0" applyAlignment="1">
      <alignment vertical="center"/>
    </xf>
    <xf numFmtId="0" fontId="18" fillId="36" borderId="0" xfId="0" applyFont="1" applyFill="1" applyAlignment="1">
      <alignment vertical="center" wrapText="1"/>
    </xf>
    <xf numFmtId="0" fontId="17" fillId="39" borderId="0" xfId="0" applyFont="1" applyFill="1" applyAlignment="1">
      <alignment vertical="center"/>
    </xf>
    <xf numFmtId="0" fontId="18" fillId="41" borderId="0" xfId="0" applyFont="1" applyFill="1" applyAlignment="1">
      <alignment vertical="center" wrapText="1"/>
    </xf>
    <xf numFmtId="0" fontId="18" fillId="36" borderId="15" xfId="0" applyFont="1" applyFill="1" applyBorder="1" applyAlignment="1">
      <alignment horizontal="center" vertical="center" wrapText="1"/>
    </xf>
    <xf numFmtId="1" fontId="0" fillId="0" borderId="0" xfId="0" applyNumberFormat="1"/>
    <xf numFmtId="2" fontId="19" fillId="40" borderId="16" xfId="0" applyNumberFormat="1" applyFont="1" applyFill="1" applyBorder="1" applyAlignment="1">
      <alignment horizontal="center" vertical="center" wrapText="1"/>
    </xf>
    <xf numFmtId="0" fontId="19" fillId="40" borderId="18" xfId="0" applyFont="1" applyFill="1" applyBorder="1" applyAlignment="1">
      <alignment horizontal="center" vertical="center" wrapText="1"/>
    </xf>
    <xf numFmtId="0" fontId="17" fillId="40" borderId="0" xfId="0" applyFont="1" applyFill="1" applyAlignment="1">
      <alignment horizontal="center" vertical="center"/>
    </xf>
    <xf numFmtId="0" fontId="0" fillId="42" borderId="0" xfId="0" applyFill="1"/>
    <xf numFmtId="10" fontId="0" fillId="0" borderId="0" xfId="43" applyNumberFormat="1" applyFont="1"/>
    <xf numFmtId="0" fontId="37" fillId="42" borderId="19" xfId="0" applyFont="1" applyFill="1" applyBorder="1" applyAlignment="1">
      <alignment horizontal="left" vertical="center" indent="1"/>
    </xf>
    <xf numFmtId="1" fontId="37" fillId="42" borderId="19" xfId="0" applyNumberFormat="1" applyFont="1" applyFill="1" applyBorder="1" applyAlignment="1">
      <alignment horizontal="center" vertical="center"/>
    </xf>
    <xf numFmtId="167" fontId="37" fillId="42" borderId="19" xfId="0" applyNumberFormat="1" applyFont="1" applyFill="1" applyBorder="1" applyAlignment="1">
      <alignment horizontal="center" vertical="center"/>
    </xf>
    <xf numFmtId="0" fontId="41" fillId="43" borderId="0" xfId="0" applyFont="1" applyFill="1" applyAlignment="1">
      <alignment horizontal="center"/>
    </xf>
    <xf numFmtId="0" fontId="43" fillId="0" borderId="0" xfId="0" applyFont="1" applyAlignment="1">
      <alignment horizontal="center" vertical="center"/>
    </xf>
    <xf numFmtId="0" fontId="17" fillId="43" borderId="0" xfId="0" applyFont="1" applyFill="1"/>
    <xf numFmtId="167" fontId="19" fillId="0" borderId="0" xfId="43" applyNumberFormat="1" applyFont="1"/>
    <xf numFmtId="167" fontId="19" fillId="0" borderId="0" xfId="0" applyNumberFormat="1" applyFont="1"/>
    <xf numFmtId="0" fontId="19" fillId="40" borderId="12" xfId="0" applyFont="1" applyFill="1" applyBorder="1" applyAlignment="1">
      <alignment horizontal="center" vertical="center" wrapText="1"/>
    </xf>
    <xf numFmtId="0" fontId="19" fillId="40" borderId="13" xfId="0" applyFont="1" applyFill="1" applyBorder="1" applyAlignment="1">
      <alignment horizontal="center" vertical="center" wrapText="1"/>
    </xf>
    <xf numFmtId="0" fontId="19" fillId="40" borderId="17" xfId="0" applyFont="1" applyFill="1" applyBorder="1" applyAlignment="1">
      <alignment horizontal="center" vertical="center" wrapText="1"/>
    </xf>
    <xf numFmtId="0" fontId="19" fillId="40" borderId="14" xfId="0" applyFont="1" applyFill="1" applyBorder="1" applyAlignment="1">
      <alignment horizontal="center" vertical="center" wrapText="1"/>
    </xf>
    <xf numFmtId="0" fontId="0" fillId="45" borderId="0" xfId="0" applyFill="1"/>
    <xf numFmtId="0" fontId="43" fillId="45" borderId="0" xfId="0" applyFont="1" applyFill="1" applyAlignment="1">
      <alignment horizontal="center" vertical="center"/>
    </xf>
    <xf numFmtId="0" fontId="32" fillId="45" borderId="0" xfId="0" applyFont="1" applyFill="1" applyAlignment="1">
      <alignment horizontal="center" vertical="center"/>
    </xf>
    <xf numFmtId="0" fontId="32" fillId="45" borderId="0" xfId="0" applyFont="1" applyFill="1" applyAlignment="1">
      <alignment vertical="center"/>
    </xf>
    <xf numFmtId="0" fontId="36" fillId="45" borderId="0" xfId="0" applyFont="1" applyFill="1" applyAlignment="1">
      <alignment vertical="center"/>
    </xf>
    <xf numFmtId="0" fontId="33" fillId="45" borderId="0" xfId="0" applyFont="1" applyFill="1"/>
    <xf numFmtId="0" fontId="19" fillId="45" borderId="0" xfId="0" applyFont="1" applyFill="1" applyAlignment="1">
      <alignment horizontal="center"/>
    </xf>
    <xf numFmtId="0" fontId="0" fillId="46" borderId="0" xfId="0" applyFill="1"/>
    <xf numFmtId="0" fontId="19" fillId="46" borderId="0" xfId="0" applyFont="1" applyFill="1"/>
    <xf numFmtId="0" fontId="34" fillId="46" borderId="0" xfId="0" applyFont="1" applyFill="1"/>
    <xf numFmtId="0" fontId="33" fillId="46" borderId="0" xfId="0" applyFont="1" applyFill="1"/>
    <xf numFmtId="0" fontId="55" fillId="46" borderId="0" xfId="0" applyFont="1" applyFill="1"/>
    <xf numFmtId="0" fontId="18" fillId="41" borderId="0" xfId="0" applyFont="1" applyFill="1" applyAlignment="1">
      <alignment horizontal="center" vertical="center" wrapText="1"/>
    </xf>
    <xf numFmtId="0" fontId="21" fillId="0" borderId="0" xfId="0" applyFont="1" applyAlignment="1">
      <alignment horizontal="left"/>
    </xf>
    <xf numFmtId="0" fontId="62" fillId="47" borderId="21" xfId="0" applyFont="1" applyFill="1" applyBorder="1" applyAlignment="1">
      <alignment horizontal="center" vertical="center" wrapText="1"/>
    </xf>
    <xf numFmtId="0" fontId="51" fillId="0" borderId="0" xfId="0" applyFont="1"/>
    <xf numFmtId="0" fontId="47" fillId="48" borderId="22" xfId="0" applyFont="1" applyFill="1" applyBorder="1" applyAlignment="1">
      <alignment horizontal="center" vertical="center" wrapText="1"/>
    </xf>
    <xf numFmtId="0" fontId="48" fillId="48" borderId="22" xfId="0" applyFont="1" applyFill="1" applyBorder="1" applyAlignment="1">
      <alignment horizontal="left" vertical="center" wrapText="1"/>
    </xf>
    <xf numFmtId="0" fontId="48" fillId="48" borderId="22" xfId="0" applyFont="1" applyFill="1" applyBorder="1" applyAlignment="1">
      <alignment horizontal="center" vertical="center" wrapText="1"/>
    </xf>
    <xf numFmtId="0" fontId="47" fillId="49" borderId="22" xfId="0" applyFont="1" applyFill="1" applyBorder="1" applyAlignment="1">
      <alignment horizontal="center" vertical="center" wrapText="1"/>
    </xf>
    <xf numFmtId="0" fontId="48" fillId="49" borderId="22" xfId="0" applyFont="1" applyFill="1" applyBorder="1" applyAlignment="1">
      <alignment horizontal="left" vertical="center" wrapText="1"/>
    </xf>
    <xf numFmtId="0" fontId="48" fillId="49" borderId="22" xfId="0" applyFont="1" applyFill="1" applyBorder="1" applyAlignment="1">
      <alignment horizontal="center" vertical="center" wrapText="1"/>
    </xf>
    <xf numFmtId="0" fontId="60" fillId="40" borderId="0" xfId="0" applyFont="1" applyFill="1" applyAlignment="1">
      <alignment horizontal="center" vertical="center"/>
    </xf>
    <xf numFmtId="0" fontId="61" fillId="40" borderId="0" xfId="0" applyFont="1" applyFill="1"/>
    <xf numFmtId="0" fontId="66" fillId="36" borderId="0" xfId="0" applyFont="1" applyFill="1" applyAlignment="1">
      <alignment horizontal="center" vertical="center" wrapText="1"/>
    </xf>
    <xf numFmtId="0" fontId="28" fillId="39" borderId="0" xfId="0" applyFont="1" applyFill="1"/>
    <xf numFmtId="0" fontId="63" fillId="0" borderId="0" xfId="0" applyFont="1" applyAlignment="1">
      <alignment vertical="center" wrapText="1"/>
    </xf>
    <xf numFmtId="0" fontId="58" fillId="0" borderId="0" xfId="0" applyFont="1" applyAlignment="1">
      <alignment horizontal="center" vertical="center"/>
    </xf>
    <xf numFmtId="0" fontId="59" fillId="40" borderId="0" xfId="0" applyFont="1" applyFill="1" applyAlignment="1">
      <alignment horizontal="center" vertical="center"/>
    </xf>
    <xf numFmtId="0" fontId="0" fillId="40" borderId="0" xfId="0" applyFill="1"/>
    <xf numFmtId="0" fontId="64" fillId="40" borderId="0" xfId="0" applyFont="1" applyFill="1" applyAlignment="1">
      <alignment horizontal="center" vertical="center"/>
    </xf>
    <xf numFmtId="0" fontId="65" fillId="40" borderId="0" xfId="0" applyFont="1" applyFill="1"/>
    <xf numFmtId="0" fontId="49" fillId="0" borderId="0" xfId="0" applyFont="1" applyAlignment="1">
      <alignment horizontal="center" vertical="center"/>
    </xf>
    <xf numFmtId="0" fontId="50" fillId="0" borderId="0" xfId="0" applyFont="1" applyAlignment="1">
      <alignment horizontal="center" vertical="center"/>
    </xf>
    <xf numFmtId="0" fontId="52" fillId="0" borderId="0" xfId="0" applyFont="1" applyAlignment="1">
      <alignment horizontal="center" vertical="center"/>
    </xf>
    <xf numFmtId="0" fontId="56" fillId="0" borderId="0" xfId="0" applyFont="1" applyAlignment="1">
      <alignment horizontal="center"/>
    </xf>
    <xf numFmtId="0" fontId="53" fillId="0" borderId="0" xfId="0" applyFont="1" applyAlignment="1">
      <alignment horizontal="center" vertical="center"/>
    </xf>
    <xf numFmtId="0" fontId="37" fillId="42" borderId="19" xfId="0" applyFont="1" applyFill="1" applyBorder="1" applyAlignment="1">
      <alignment horizontal="left" vertical="center" indent="1"/>
    </xf>
    <xf numFmtId="0" fontId="38" fillId="42" borderId="19" xfId="0" applyFont="1" applyFill="1" applyBorder="1" applyAlignment="1">
      <alignment horizontal="left" vertical="center" indent="1"/>
    </xf>
    <xf numFmtId="1" fontId="37" fillId="42" borderId="19" xfId="0" applyNumberFormat="1" applyFont="1" applyFill="1" applyBorder="1" applyAlignment="1">
      <alignment horizontal="center" vertical="center"/>
    </xf>
    <xf numFmtId="167" fontId="37" fillId="42" borderId="19" xfId="0" applyNumberFormat="1" applyFont="1" applyFill="1" applyBorder="1" applyAlignment="1">
      <alignment horizontal="center" vertical="center"/>
    </xf>
    <xf numFmtId="0" fontId="22" fillId="0" borderId="0" xfId="0" applyFont="1" applyAlignment="1">
      <alignment horizontal="left" vertical="center" readingOrder="1"/>
    </xf>
    <xf numFmtId="0" fontId="16" fillId="0" borderId="0" xfId="0" applyFont="1" applyAlignment="1">
      <alignment horizontal="left"/>
    </xf>
    <xf numFmtId="0" fontId="31" fillId="40" borderId="0" xfId="0" applyFont="1" applyFill="1" applyAlignment="1">
      <alignment horizontal="center" vertical="center"/>
    </xf>
    <xf numFmtId="0" fontId="24" fillId="40" borderId="0" xfId="0" applyFont="1" applyFill="1" applyAlignment="1">
      <alignment horizontal="center"/>
    </xf>
    <xf numFmtId="0" fontId="0" fillId="0" borderId="0" xfId="0"/>
    <xf numFmtId="0" fontId="40" fillId="42" borderId="0" xfId="0" applyFont="1" applyFill="1" applyAlignment="1">
      <alignment horizontal="center" vertical="top" wrapText="1"/>
    </xf>
    <xf numFmtId="1" fontId="38" fillId="42" borderId="19" xfId="0" applyNumberFormat="1" applyFont="1" applyFill="1" applyBorder="1" applyAlignment="1">
      <alignment horizontal="center" vertical="center"/>
    </xf>
    <xf numFmtId="167" fontId="38" fillId="42" borderId="19" xfId="0" applyNumberFormat="1" applyFont="1" applyFill="1" applyBorder="1" applyAlignment="1">
      <alignment horizontal="center" vertical="center"/>
    </xf>
    <xf numFmtId="0" fontId="39" fillId="42" borderId="0" xfId="0" applyFont="1" applyFill="1" applyAlignment="1">
      <alignment horizontal="center"/>
    </xf>
    <xf numFmtId="0" fontId="22" fillId="42" borderId="0" xfId="0" applyFont="1" applyFill="1" applyAlignment="1">
      <alignment vertical="center" indent="1"/>
    </xf>
    <xf numFmtId="0" fontId="21" fillId="0" borderId="0" xfId="0" applyFont="1" applyAlignment="1">
      <alignment horizontal="left"/>
    </xf>
    <xf numFmtId="0" fontId="24" fillId="0" borderId="0" xfId="0" applyFont="1" applyAlignment="1">
      <alignment horizontal="left"/>
    </xf>
    <xf numFmtId="0" fontId="22" fillId="0" borderId="0" xfId="0" applyFont="1" applyAlignment="1">
      <alignment horizontal="left"/>
    </xf>
    <xf numFmtId="0" fontId="54" fillId="46" borderId="0" xfId="0" applyFont="1" applyFill="1" applyAlignment="1">
      <alignment horizontal="left"/>
    </xf>
    <xf numFmtId="0" fontId="35" fillId="44" borderId="0" xfId="0" applyFont="1" applyFill="1" applyAlignment="1">
      <alignment horizontal="left" vertical="center"/>
    </xf>
    <xf numFmtId="0" fontId="0" fillId="46" borderId="0" xfId="0" applyFill="1" applyAlignment="1">
      <alignment horizontal="center"/>
    </xf>
    <xf numFmtId="0" fontId="43" fillId="0" borderId="0" xfId="0" applyFont="1" applyAlignment="1">
      <alignment horizontal="center" vertical="center"/>
    </xf>
    <xf numFmtId="0" fontId="43" fillId="0" borderId="20" xfId="0" applyFont="1" applyBorder="1" applyAlignment="1">
      <alignment horizontal="center" vertical="center"/>
    </xf>
    <xf numFmtId="0" fontId="42" fillId="0" borderId="0" xfId="0" applyFont="1" applyAlignment="1">
      <alignment horizontal="center" vertical="center"/>
    </xf>
    <xf numFmtId="0" fontId="42" fillId="0" borderId="0" xfId="42" applyNumberFormat="1" applyFont="1" applyAlignment="1">
      <alignment horizontal="center" vertical="center"/>
    </xf>
    <xf numFmtId="0" fontId="44" fillId="45" borderId="0" xfId="0" applyFont="1" applyFill="1" applyAlignment="1">
      <alignment horizontal="left" vertical="center"/>
    </xf>
    <xf numFmtId="0" fontId="32" fillId="45" borderId="0" xfId="0" applyFont="1" applyFill="1" applyAlignment="1">
      <alignment horizontal="left" vertical="center"/>
    </xf>
    <xf numFmtId="0" fontId="33" fillId="46" borderId="0" xfId="0" applyFont="1" applyFill="1" applyAlignment="1">
      <alignment horizontal="center"/>
    </xf>
    <xf numFmtId="0" fontId="46" fillId="43" borderId="0" xfId="0" applyFont="1" applyFill="1" applyAlignment="1">
      <alignment horizontal="center" vertical="center" wrapText="1"/>
    </xf>
    <xf numFmtId="0" fontId="41" fillId="43" borderId="0" xfId="0" applyFont="1" applyFill="1" applyAlignment="1">
      <alignment horizontal="center"/>
    </xf>
    <xf numFmtId="0" fontId="0" fillId="45" borderId="0" xfId="0" applyFill="1"/>
    <xf numFmtId="165" fontId="42" fillId="0" borderId="0" xfId="0" applyNumberFormat="1" applyFont="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85">
    <dxf>
      <font>
        <b/>
        <color rgb="FFC0392B"/>
        <name val="Arial"/>
        <charset val="1"/>
      </font>
    </dxf>
    <dxf>
      <font>
        <b/>
        <color rgb="FF1F8A4C"/>
        <name val="Arial"/>
        <charset val="1"/>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numFmt numFmtId="165" formatCode="0.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ill>
        <patternFill patternType="solid">
          <bgColor theme="3" tint="9.9978637043366805E-2"/>
        </patternFill>
      </fill>
    </dxf>
    <dxf>
      <fill>
        <patternFill patternType="solid">
          <bgColor theme="3" tint="9.9978637043366805E-2"/>
        </patternFill>
      </fill>
    </dxf>
    <dxf>
      <font>
        <color theme="0"/>
      </font>
    </dxf>
    <dxf>
      <font>
        <color theme="0"/>
      </font>
    </dxf>
    <dxf>
      <alignment vertical="center"/>
    </dxf>
    <dxf>
      <alignment vertical="center"/>
    </dxf>
    <dxf>
      <alignment horizontal="center"/>
    </dxf>
    <dxf>
      <alignment horizontal="center"/>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fill>
        <patternFill patternType="solid">
          <bgColor rgb="FF153D64"/>
        </patternFill>
      </fill>
    </dxf>
    <dxf>
      <fill>
        <patternFill patternType="solid">
          <bgColor rgb="FF153D64"/>
        </patternFill>
      </fill>
    </dxf>
    <dxf>
      <font>
        <color theme="0"/>
      </font>
    </dxf>
    <dxf>
      <font>
        <color theme="0"/>
      </font>
    </dxf>
    <dxf>
      <alignment horizontal="center"/>
    </dxf>
    <dxf>
      <alignment horizontal="center"/>
    </dxf>
    <dxf>
      <alignment vertical="center"/>
    </dxf>
    <dxf>
      <alignment vertical="center"/>
    </dxf>
    <dxf>
      <fill>
        <patternFill>
          <bgColor theme="0"/>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horizontal="center"/>
    </dxf>
    <dxf>
      <alignment vertical="center"/>
    </dxf>
    <dxf>
      <alignment vertical="center"/>
    </dxf>
    <dxf>
      <font>
        <name val="Arial"/>
        <scheme val="none"/>
      </font>
    </dxf>
    <dxf>
      <font>
        <name val="Arial"/>
        <scheme val="none"/>
      </font>
    </dxf>
    <dxf>
      <font>
        <b/>
      </font>
    </dxf>
    <dxf>
      <font>
        <b/>
      </font>
    </dxf>
    <dxf>
      <font>
        <color theme="0"/>
      </font>
    </dxf>
    <dxf>
      <font>
        <color theme="0"/>
      </font>
    </dxf>
    <dxf>
      <fill>
        <patternFill patternType="solid">
          <bgColor theme="3" tint="9.9978637043366805E-2"/>
        </patternFill>
      </fill>
    </dxf>
    <dxf>
      <fill>
        <patternFill patternType="solid">
          <bgColor theme="3" tint="9.9978637043366805E-2"/>
        </patternFill>
      </fill>
    </dxf>
    <dxf>
      <font>
        <color theme="0"/>
      </font>
    </dxf>
    <dxf>
      <fill>
        <patternFill patternType="solid">
          <bgColor rgb="FF153D64"/>
        </patternFill>
      </fill>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vertical="center"/>
    </dxf>
    <dxf>
      <alignment horizontal="center"/>
    </dxf>
    <dxf>
      <alignment horizontal="center"/>
    </dxf>
    <dxf>
      <font>
        <name val="Arial"/>
        <scheme val="none"/>
      </font>
    </dxf>
    <dxf>
      <font>
        <name val="Arial"/>
        <scheme val="none"/>
      </font>
    </dxf>
    <dxf>
      <font>
        <name val="Arial"/>
        <scheme val="none"/>
      </font>
    </dxf>
    <dxf>
      <font>
        <color theme="0"/>
      </font>
    </dxf>
    <dxf>
      <font>
        <color theme="0"/>
      </font>
    </dxf>
    <dxf>
      <fill>
        <patternFill patternType="solid">
          <bgColor theme="3" tint="9.9978637043366805E-2"/>
        </patternFill>
      </fill>
    </dxf>
    <dxf>
      <fill>
        <patternFill patternType="solid">
          <bgColor theme="3" tint="9.9978637043366805E-2"/>
        </patternFill>
      </fill>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horizontal="center"/>
    </dxf>
    <dxf>
      <alignment horizontal="center"/>
    </dxf>
    <dxf>
      <alignment vertical="center"/>
    </dxf>
    <dxf>
      <alignment vertical="center"/>
    </dxf>
    <dxf>
      <font>
        <color theme="0"/>
      </font>
    </dxf>
    <dxf>
      <font>
        <color theme="0"/>
      </font>
    </dxf>
    <dxf>
      <fill>
        <patternFill patternType="solid">
          <bgColor rgb="FF153D64"/>
        </patternFill>
      </fill>
    </dxf>
    <dxf>
      <fill>
        <patternFill patternType="solid">
          <bgColor rgb="FF153D64"/>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color theme="0"/>
      </font>
    </dxf>
    <dxf>
      <font>
        <color theme="0"/>
      </font>
    </dxf>
    <dxf>
      <font>
        <color theme="0"/>
      </font>
    </dxf>
    <dxf>
      <font>
        <color theme="0"/>
      </font>
    </dxf>
    <dxf>
      <font>
        <color theme="0"/>
      </font>
    </dxf>
    <dxf>
      <fill>
        <patternFill patternType="solid">
          <bgColor rgb="FF153D64"/>
        </patternFill>
      </fill>
    </dxf>
    <dxf>
      <fill>
        <patternFill patternType="solid">
          <bgColor rgb="FF153D64"/>
        </patternFill>
      </fill>
    </dxf>
    <dxf>
      <fill>
        <patternFill patternType="solid">
          <bgColor rgb="FF153D64"/>
        </patternFill>
      </fill>
    </dxf>
    <dxf>
      <fill>
        <patternFill patternType="solid">
          <bgColor rgb="FF153D64"/>
        </patternFill>
      </fill>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font>
        <color theme="0"/>
      </font>
    </dxf>
    <dxf>
      <font>
        <color theme="0"/>
      </font>
    </dxf>
    <dxf>
      <fill>
        <patternFill>
          <bgColor rgb="FF153D64"/>
        </patternFill>
      </fill>
    </dxf>
    <dxf>
      <fill>
        <patternFill>
          <bgColor rgb="FF153D64"/>
        </patternFill>
      </fill>
    </dxf>
    <dxf>
      <fill>
        <patternFill patternType="solid">
          <bgColor theme="0"/>
        </patternFill>
      </fill>
    </dxf>
    <dxf>
      <fill>
        <patternFill patternType="solid">
          <bgColor theme="0"/>
        </patternFill>
      </fill>
    </dxf>
    <dxf>
      <font>
        <color theme="0"/>
      </font>
    </dxf>
    <dxf>
      <font>
        <color theme="0"/>
      </font>
    </dxf>
    <dxf>
      <fill>
        <patternFill patternType="solid">
          <bgColor rgb="FF153D64"/>
        </patternFill>
      </fill>
    </dxf>
    <dxf>
      <fill>
        <patternFill patternType="solid">
          <bgColor rgb="FF153D64"/>
        </patternFill>
      </fill>
    </dxf>
    <dxf>
      <alignment horizontal="center"/>
    </dxf>
    <dxf>
      <alignment horizontal="center"/>
    </dxf>
    <dxf>
      <alignment vertical="center"/>
    </dxf>
    <dxf>
      <alignment vertical="center"/>
    </dxf>
    <dxf>
      <font>
        <color theme="0"/>
      </font>
    </dxf>
    <dxf>
      <font>
        <color theme="0"/>
      </font>
    </dxf>
    <dxf>
      <fill>
        <patternFill patternType="solid">
          <bgColor rgb="FF153D64"/>
        </patternFill>
      </fill>
    </dxf>
    <dxf>
      <fill>
        <patternFill patternType="solid">
          <bgColor rgb="FF153D64"/>
        </patternFill>
      </fill>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color theme="0"/>
      </font>
    </dxf>
    <dxf>
      <font>
        <color theme="0"/>
      </font>
    </dxf>
    <dxf>
      <fill>
        <patternFill patternType="solid">
          <bgColor theme="3" tint="9.9978637043366805E-2"/>
        </patternFill>
      </fill>
    </dxf>
    <dxf>
      <fill>
        <patternFill patternType="solid">
          <bgColor theme="3" tint="9.9978637043366805E-2"/>
        </patternFill>
      </fill>
    </dxf>
    <dxf>
      <font>
        <b/>
      </font>
    </dxf>
    <dxf>
      <font>
        <b/>
      </font>
    </dxf>
    <dxf>
      <font>
        <color theme="0"/>
      </font>
    </dxf>
    <dxf>
      <font>
        <color theme="0"/>
      </font>
    </dxf>
    <dxf>
      <fill>
        <patternFill patternType="solid">
          <bgColor theme="3" tint="9.9978637043366805E-2"/>
        </patternFill>
      </fill>
    </dxf>
    <dxf>
      <fill>
        <patternFill patternType="solid">
          <bgColor theme="3" tint="9.9978637043366805E-2"/>
        </patternFill>
      </fill>
    </dxf>
    <dxf>
      <alignment horizontal="center"/>
    </dxf>
    <dxf>
      <alignment horizontal="center"/>
    </dxf>
    <dxf>
      <alignment vertical="center"/>
    </dxf>
    <dxf>
      <alignment vertical="center"/>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vertical="center"/>
    </dxf>
    <dxf>
      <alignment horizontal="center"/>
    </dxf>
    <dxf>
      <alignment horizontal="center"/>
    </dxf>
    <dxf>
      <font>
        <name val="Arial"/>
        <scheme val="none"/>
      </font>
    </dxf>
    <dxf>
      <font>
        <name val="Arial"/>
        <scheme val="none"/>
      </font>
    </dxf>
    <dxf>
      <font>
        <name val="Arial"/>
        <scheme val="none"/>
      </font>
    </dxf>
    <dxf>
      <font>
        <color theme="0"/>
      </font>
    </dxf>
    <dxf>
      <font>
        <color theme="0"/>
      </font>
    </dxf>
    <dxf>
      <fill>
        <patternFill patternType="solid">
          <bgColor theme="3" tint="9.9978637043366805E-2"/>
        </patternFill>
      </fill>
    </dxf>
    <dxf>
      <fill>
        <patternFill patternType="solid">
          <bgColor theme="3" tint="9.9978637043366805E-2"/>
        </patternFill>
      </fill>
    </dxf>
    <dxf>
      <font>
        <color theme="0"/>
      </font>
    </dxf>
    <dxf>
      <font>
        <color theme="0"/>
      </font>
    </dxf>
    <dxf>
      <fill>
        <patternFill patternType="solid">
          <bgColor rgb="FF17365D"/>
        </patternFill>
      </fill>
    </dxf>
    <dxf>
      <fill>
        <patternFill patternType="solid">
          <bgColor rgb="FF17365D"/>
        </patternFill>
      </fill>
    </dxf>
    <dxf>
      <font>
        <color theme="0"/>
      </font>
    </dxf>
    <dxf>
      <fill>
        <patternFill patternType="solid">
          <bgColor rgb="FF153D64"/>
        </patternFill>
      </fill>
    </dxf>
    <dxf>
      <font>
        <color theme="0"/>
      </font>
    </dxf>
    <dxf>
      <font>
        <color theme="0"/>
      </font>
    </dxf>
    <dxf>
      <fill>
        <patternFill patternType="solid">
          <bgColor rgb="FF153D64"/>
        </patternFill>
      </fill>
    </dxf>
    <dxf>
      <fill>
        <patternFill patternType="solid">
          <bgColor rgb="FF153D64"/>
        </patternFill>
      </fill>
    </dxf>
    <dxf>
      <font>
        <color theme="0"/>
      </font>
    </dxf>
    <dxf>
      <fill>
        <patternFill patternType="solid">
          <bgColor rgb="FF153D64"/>
        </patternFill>
      </fill>
    </dxf>
    <dxf>
      <font>
        <color theme="0"/>
      </font>
    </dxf>
    <dxf>
      <font>
        <color theme="0"/>
      </font>
    </dxf>
    <dxf>
      <fill>
        <patternFill>
          <bgColor rgb="FF153D64"/>
        </patternFill>
      </fill>
    </dxf>
    <dxf>
      <fill>
        <patternFill>
          <bgColor rgb="FF153D64"/>
        </patternFill>
      </fill>
    </dxf>
    <dxf>
      <alignment horizontal="general"/>
    </dxf>
    <dxf>
      <alignment horizontal="general"/>
    </dxf>
    <dxf>
      <alignment vertical="center"/>
    </dxf>
    <dxf>
      <alignment vertical="center"/>
    </dxf>
    <dxf>
      <alignment vertical="center"/>
    </dxf>
    <dxf>
      <alignment vertical="center"/>
    </dxf>
    <dxf>
      <alignment horizontal="center"/>
    </dxf>
    <dxf>
      <alignment horizontal="center"/>
    </dxf>
    <dxf>
      <font>
        <color theme="0"/>
      </font>
    </dxf>
    <dxf>
      <fill>
        <patternFill>
          <bgColor rgb="FF153D64"/>
        </patternFill>
      </fill>
    </dxf>
    <dxf>
      <fill>
        <patternFill patternType="solid">
          <bgColor theme="0"/>
        </patternFill>
      </fill>
    </dxf>
    <dxf>
      <font>
        <b/>
        <sz val="10"/>
        <color rgb="FFFFFFFF"/>
        <name val="Arial"/>
        <scheme val="none"/>
      </font>
      <fill>
        <patternFill patternType="solid">
          <fgColor rgb="FF0B1F3A"/>
          <bgColor rgb="FF12315A"/>
        </patternFill>
      </fill>
      <alignment horizontal="center" vertical="center" wrapText="1"/>
    </dxf>
    <dxf>
      <alignment horizontal="center"/>
    </dxf>
    <dxf>
      <alignment horizontal="center"/>
    </dxf>
    <dxf>
      <alignment vertical="center"/>
    </dxf>
    <dxf>
      <alignment vertical="center"/>
    </dxf>
    <dxf>
      <font>
        <color theme="0"/>
      </font>
    </dxf>
    <dxf>
      <font>
        <color theme="0"/>
      </font>
    </dxf>
    <dxf>
      <fill>
        <patternFill patternType="solid">
          <bgColor rgb="FF153D64"/>
        </patternFill>
      </fill>
    </dxf>
    <dxf>
      <fill>
        <patternFill patternType="solid">
          <bgColor rgb="FF153D64"/>
        </patternFill>
      </fill>
    </dxf>
    <dxf>
      <border>
        <bottom style="medium">
          <color theme="5" tint="-0.499984740745262"/>
        </bottom>
      </border>
    </dxf>
    <dxf>
      <border>
        <bottom style="medium">
          <color theme="5" tint="-0.499984740745262"/>
        </bottom>
      </border>
    </dxf>
    <dxf>
      <border>
        <left style="thin">
          <color theme="5" tint="-0.499984740745262"/>
        </left>
        <right style="thin">
          <color theme="5" tint="-0.499984740745262"/>
        </right>
        <top style="thin">
          <color theme="5" tint="-0.499984740745262"/>
        </top>
        <bottom style="thin">
          <color theme="5" tint="-0.499984740745262"/>
        </bottom>
      </border>
    </dxf>
    <dxf>
      <border>
        <left style="thin">
          <color theme="5" tint="-0.499984740745262"/>
        </left>
        <right style="thin">
          <color theme="5" tint="-0.499984740745262"/>
        </right>
        <top style="thin">
          <color theme="5" tint="-0.499984740745262"/>
        </top>
        <bottom style="thin">
          <color theme="5" tint="-0.499984740745262"/>
        </bottom>
      </border>
    </dxf>
    <dxf>
      <font>
        <color theme="0"/>
      </font>
    </dxf>
    <dxf>
      <border>
        <bottom style="thin">
          <color rgb="FFFFC000"/>
        </bottom>
      </border>
    </dxf>
    <dxf>
      <border>
        <left style="thin">
          <color rgb="FFC00000"/>
        </left>
        <right style="thin">
          <color rgb="FFC00000"/>
        </right>
        <top style="thin">
          <color rgb="FFC00000"/>
        </top>
        <bottom style="thin">
          <color rgb="FFC00000"/>
        </bottom>
      </border>
    </dxf>
    <dxf>
      <border>
        <bottom style="thin">
          <color rgb="FFC00000"/>
        </bottom>
      </border>
    </dxf>
    <dxf>
      <fill>
        <patternFill>
          <bgColor theme="0"/>
        </patternFill>
      </fill>
    </dxf>
    <dxf>
      <fill>
        <patternFill>
          <bgColor theme="0"/>
        </patternFill>
      </fill>
    </dxf>
    <dxf>
      <fill>
        <patternFill patternType="solid">
          <bgColor theme="0"/>
        </patternFill>
      </fill>
    </dxf>
    <dxf>
      <fill>
        <patternFill patternType="solid">
          <bgColor theme="0"/>
        </patternFill>
      </fill>
    </dxf>
    <dxf>
      <font>
        <color theme="0"/>
      </font>
    </dxf>
    <dxf>
      <font>
        <color theme="0"/>
      </font>
    </dxf>
    <dxf>
      <font>
        <name val="Arial"/>
        <scheme val="none"/>
      </font>
      <fill>
        <patternFill patternType="solid">
          <fgColor indexed="64"/>
          <bgColor theme="4"/>
        </patternFill>
      </fill>
      <alignment horizontal="center" vertical="center" wrapText="1"/>
    </dxf>
    <dxf>
      <font>
        <name val="Arial"/>
        <scheme val="none"/>
      </font>
      <fill>
        <patternFill patternType="solid">
          <fgColor indexed="64"/>
          <bgColor theme="4"/>
        </patternFill>
      </fill>
      <alignment horizontal="center" vertical="center" wrapText="1"/>
    </dxf>
    <dxf>
      <font>
        <name val="Arial"/>
        <scheme val="none"/>
      </font>
      <fill>
        <patternFill patternType="solid">
          <fgColor indexed="64"/>
          <bgColor theme="4"/>
        </patternFill>
      </fill>
      <alignment horizontal="center" vertical="center" wrapText="1"/>
    </dxf>
    <dxf>
      <font>
        <name val="Arial"/>
        <scheme val="none"/>
      </font>
      <fill>
        <patternFill patternType="solid">
          <fgColor indexed="64"/>
          <bgColor theme="4"/>
        </patternFill>
      </fill>
      <alignment horizontal="center" vertical="center" wrapText="1"/>
    </dxf>
    <dxf>
      <font>
        <name val="Arial"/>
        <scheme val="none"/>
      </font>
      <fill>
        <patternFill patternType="solid">
          <fgColor indexed="64"/>
          <bgColor theme="4"/>
        </patternFill>
      </fill>
      <alignment horizontal="center" vertical="center" wrapText="1"/>
    </dxf>
    <dxf>
      <font>
        <name val="Arial"/>
        <scheme val="none"/>
      </font>
      <fill>
        <patternFill patternType="solid">
          <fgColor indexed="64"/>
          <bgColor theme="4"/>
        </patternFill>
      </fill>
      <alignment horizontal="center" vertical="center" wrapText="1"/>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64" formatCode="dd\-mmm\-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alignment horizontal="center" vertical="center" textRotation="0" wrapText="1" indent="0" justifyLastLine="0" shrinkToFit="0" readingOrder="0"/>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19" formatCode="m/d/yyyy"/>
      <alignment horizontal="right" vertical="center"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alignment horizontal="center" vertical="center" textRotation="0" wrapText="1" indent="0" justifyLastLine="0" shrinkToFit="0" readingOrder="0"/>
    </dxf>
    <dxf>
      <numFmt numFmtId="23" formatCode="h:mm\ AM/PM"/>
    </dxf>
    <dxf>
      <numFmt numFmtId="19" formatCode="m/d/yyyy"/>
      <alignment horizontal="right" vertical="center" textRotation="0" wrapText="0" indent="0" justifyLastLine="0" shrinkToFit="0" readingOrder="0"/>
    </dxf>
    <dxf>
      <font>
        <b val="0"/>
        <i val="0"/>
        <sz val="16"/>
        <name val="Aptos Display"/>
        <family val="2"/>
        <scheme val="major"/>
      </font>
    </dxf>
    <dxf>
      <font>
        <b/>
        <i val="0"/>
        <sz val="14"/>
        <color theme="1"/>
        <name val="Arial"/>
        <family val="2"/>
        <scheme val="none"/>
      </font>
      <fill>
        <patternFill>
          <bgColor theme="0" tint="-4.9989318521683403E-2"/>
        </patternFill>
      </fill>
      <border diagonalUp="0" diagonalDown="0">
        <left/>
        <right/>
        <top/>
        <bottom/>
        <vertical/>
        <horizontal/>
      </border>
    </dxf>
  </dxfs>
  <tableStyles count="3" defaultTableStyle="TableStyleMedium2" defaultPivotStyle="PivotStyleLight16">
    <tableStyle name="CWC 2023" pivot="0" table="0" count="7" xr9:uid="{4DF492D0-8C73-4CE6-BBDB-92C6E5DFEA89}">
      <tableStyleElement type="headerRow" dxfId="384"/>
    </tableStyle>
    <tableStyle name="Invisible" pivot="0" table="0" count="0" xr9:uid="{D4004E8E-7EC0-432E-BCB3-29039498C1A9}"/>
    <tableStyle name="Style 1" pivot="0" table="0" count="2" xr9:uid="{B7EDC7CC-77D0-4CF7-BFC0-EE47ABF8A4EF}">
      <tableStyleElement type="headerRow" dxfId="383"/>
    </tableStyle>
  </tableStyles>
  <colors>
    <mruColors>
      <color rgb="FFFF3300"/>
      <color rgb="FFF2B233"/>
      <color rgb="FF33CC33"/>
      <color rgb="FFFFCC66"/>
      <color rgb="FF1F4E78"/>
      <color rgb="FFF2F2F2"/>
      <color rgb="FF17365D"/>
      <color rgb="FF5E155D"/>
      <color rgb="FFCC0099"/>
      <color rgb="FFD8B9D7"/>
    </mruColors>
  </colors>
  <extLst>
    <ext xmlns:x14="http://schemas.microsoft.com/office/spreadsheetml/2009/9/main" uri="{46F421CA-312F-682f-3DD2-61675219B42D}">
      <x14:dxfs count="7">
        <dxf>
          <font>
            <b val="0"/>
            <i val="0"/>
            <sz val="14"/>
            <name val="Arial"/>
            <family val="2"/>
            <scheme val="none"/>
          </font>
        </dxf>
        <dxf>
          <font>
            <b/>
            <i val="0"/>
            <color theme="0"/>
          </font>
          <fill>
            <patternFill>
              <bgColor theme="9" tint="0.39994506668294322"/>
            </patternFill>
          </fill>
        </dxf>
        <dxf>
          <font>
            <color rgb="FF17365D"/>
          </font>
          <fill>
            <patternFill>
              <bgColor rgb="FFD8B9D7"/>
            </patternFill>
          </fill>
        </dxf>
        <dxf>
          <font>
            <color rgb="FF808080"/>
          </font>
          <fill>
            <patternFill>
              <bgColor rgb="FFD9D9D9"/>
            </patternFill>
          </fill>
        </dxf>
        <dxf>
          <font>
            <b/>
            <i val="0"/>
            <sz val="14"/>
            <color theme="0"/>
            <name val="Arial"/>
            <family val="2"/>
            <scheme val="none"/>
          </font>
          <fill>
            <patternFill patternType="solid">
              <fgColor auto="1"/>
              <bgColor theme="6" tint="-0.24994659260841701"/>
            </patternFill>
          </fill>
        </dxf>
        <dxf>
          <font>
            <color rgb="FFA6A6A6"/>
          </font>
          <fill>
            <patternFill>
              <bgColor rgb="FFF2F2F2"/>
            </patternFill>
          </fill>
        </dxf>
        <dxf>
          <font>
            <b val="0"/>
            <i val="0"/>
            <sz val="14"/>
            <color rgb="FF17365D"/>
            <name val="Arial"/>
            <family val="2"/>
            <scheme val="none"/>
          </font>
          <fill>
            <patternFill>
              <bgColor rgb="FFF1E8F2"/>
            </patternFill>
          </fill>
        </dxf>
      </x14:dxfs>
    </ext>
    <ext xmlns:x14="http://schemas.microsoft.com/office/spreadsheetml/2009/9/main" uri="{EB79DEF2-80B8-43e5-95BD-54CBDDF9020C}">
      <x14:slicerStyles defaultSlicerStyle="SlicerStyleLight1">
        <x14:slicerStyle name="CWC 202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s>
        </x14:slicerStyle>
        <x14:slicerStyle name="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[CWC2023.xlsx]Venue_Analysis!PivotTable4</c:name>
    <c:fmtId val="2"/>
  </c:pivotSource>
  <c:chart>
    <c:title>
      <c:tx>
        <c:rich>
          <a:bodyPr rot="0" spcFirstLastPara="1" vertOverflow="ellipsis" vert="horz" wrap="square" anchor="ctr" anchorCtr="1"/>
          <a:lstStyle/>
          <a:p>
            <a:pPr>
              <a:defRPr lang="en-US"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i="0" u="none" strike="noStrike" kern="1200" spc="-1" baseline="0">
                <a:solidFill>
                  <a:srgbClr val="0B1F3A"/>
                </a:solidFill>
                <a:latin typeface="Arial"/>
              </a:rPr>
              <a:t>Matches by City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Venue_Analysis!$C$20</c:f>
              <c:strCache>
                <c:ptCount val="1"/>
                <c:pt idx="0">
                  <c:v>Total</c:v>
                </c:pt>
              </c:strCache>
            </c:strRef>
          </c:tx>
          <c:spPr>
            <a:solidFill>
              <a:srgbClr val="2E6D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Venue_Analysis!$B$21:$B$30</c:f>
              <c:strCache>
                <c:ptCount val="10"/>
                <c:pt idx="0">
                  <c:v>Pune</c:v>
                </c:pt>
                <c:pt idx="1">
                  <c:v>Mumbai</c:v>
                </c:pt>
                <c:pt idx="2">
                  <c:v>Ahmedabad</c:v>
                </c:pt>
                <c:pt idx="3">
                  <c:v>Bangalore</c:v>
                </c:pt>
                <c:pt idx="4">
                  <c:v>Chennai</c:v>
                </c:pt>
                <c:pt idx="5">
                  <c:v>Delhi</c:v>
                </c:pt>
                <c:pt idx="6">
                  <c:v>Dharamshala</c:v>
                </c:pt>
                <c:pt idx="7">
                  <c:v>Hyderabad</c:v>
                </c:pt>
                <c:pt idx="8">
                  <c:v>Kolkata</c:v>
                </c:pt>
                <c:pt idx="9">
                  <c:v>Lucknow</c:v>
                </c:pt>
              </c:strCache>
            </c:strRef>
          </c:cat>
          <c:val>
            <c:numRef>
              <c:f>Venue_Analysis!$C$21:$C$30</c:f>
              <c:numCache>
                <c:formatCode>General</c:formatCode>
                <c:ptCount val="10"/>
                <c:pt idx="0">
                  <c:v>5</c:v>
                </c:pt>
                <c:pt idx="1">
                  <c:v>5</c:v>
                </c:pt>
                <c:pt idx="2">
                  <c:v>5</c:v>
                </c:pt>
                <c:pt idx="3">
                  <c:v>5</c:v>
                </c:pt>
                <c:pt idx="4">
                  <c:v>5</c:v>
                </c:pt>
                <c:pt idx="5">
                  <c:v>5</c:v>
                </c:pt>
                <c:pt idx="6">
                  <c:v>5</c:v>
                </c:pt>
                <c:pt idx="7">
                  <c:v>3</c:v>
                </c:pt>
                <c:pt idx="8">
                  <c:v>5</c:v>
                </c:pt>
                <c:pt idx="9">
                  <c:v>5</c:v>
                </c:pt>
              </c:numCache>
            </c:numRef>
          </c:val>
          <c:extLst>
            <c:ext xmlns:c16="http://schemas.microsoft.com/office/drawing/2014/chart" uri="{C3380CC4-5D6E-409C-BE32-E72D297353CC}">
              <c16:uniqueId val="{00000005-9E9E-4C58-91FF-BB2FB608E9DC}"/>
            </c:ext>
          </c:extLst>
        </c:ser>
        <c:dLbls>
          <c:dLblPos val="outEnd"/>
          <c:showLegendKey val="0"/>
          <c:showVal val="1"/>
          <c:showCatName val="0"/>
          <c:showSerName val="0"/>
          <c:showPercent val="0"/>
          <c:showBubbleSize val="0"/>
        </c:dLbls>
        <c:gapWidth val="70"/>
        <c:axId val="1315436847"/>
        <c:axId val="1002680431"/>
      </c:barChart>
      <c:catAx>
        <c:axId val="13154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02680431"/>
        <c:crosses val="autoZero"/>
        <c:auto val="1"/>
        <c:lblAlgn val="ctr"/>
        <c:lblOffset val="100"/>
        <c:noMultiLvlLbl val="0"/>
      </c:catAx>
      <c:valAx>
        <c:axId val="1002680431"/>
        <c:scaling>
          <c:orientation val="minMax"/>
        </c:scaling>
        <c:delete val="1"/>
        <c:axPos val="l"/>
        <c:numFmt formatCode="General" sourceLinked="1"/>
        <c:majorTickMark val="none"/>
        <c:minorTickMark val="none"/>
        <c:tickLblPos val="nextTo"/>
        <c:crossAx val="1315436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[CWC2023.xlsx]Venue_Analysis!PivotTable3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Match by Stadium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Venue_Analysis!$C$4</c:f>
              <c:strCache>
                <c:ptCount val="1"/>
                <c:pt idx="0">
                  <c:v>Total</c:v>
                </c:pt>
              </c:strCache>
            </c:strRef>
          </c:tx>
          <c:spPr>
            <a:solidFill>
              <a:srgbClr val="2E6DB4"/>
            </a:solidFill>
            <a:ln>
              <a:noFill/>
            </a:ln>
            <a:effectLst/>
          </c:spPr>
          <c:invertIfNegative val="0"/>
          <c:cat>
            <c:strRef>
              <c:f>Venue_Analysis!$B$5:$B$14</c:f>
              <c:strCache>
                <c:ptCount val="10"/>
                <c:pt idx="0">
                  <c:v>Arun Jaitley Stadium</c:v>
                </c:pt>
                <c:pt idx="1">
                  <c:v>BRSABV Ekana Cricket Stadium</c:v>
                </c:pt>
                <c:pt idx="2">
                  <c:v>Eden Gardens</c:v>
                </c:pt>
                <c:pt idx="3">
                  <c:v>HPCA Stadium</c:v>
                </c:pt>
                <c:pt idx="4">
                  <c:v>M. A. Chidambaram Stadium</c:v>
                </c:pt>
                <c:pt idx="5">
                  <c:v>M. Chinnaswamy Stadium</c:v>
                </c:pt>
                <c:pt idx="6">
                  <c:v>Maharashtra Cricket Association Stadium</c:v>
                </c:pt>
                <c:pt idx="7">
                  <c:v>Narendra Modi Stadium</c:v>
                </c:pt>
                <c:pt idx="8">
                  <c:v>Rajiv Gandhi International Stadium</c:v>
                </c:pt>
                <c:pt idx="9">
                  <c:v>Wankhede Stadium</c:v>
                </c:pt>
              </c:strCache>
            </c:strRef>
          </c:cat>
          <c:val>
            <c:numRef>
              <c:f>Venue_Analysis!$C$5:$C$14</c:f>
              <c:numCache>
                <c:formatCode>General</c:formatCode>
                <c:ptCount val="10"/>
                <c:pt idx="0">
                  <c:v>5</c:v>
                </c:pt>
                <c:pt idx="1">
                  <c:v>5</c:v>
                </c:pt>
                <c:pt idx="2">
                  <c:v>5</c:v>
                </c:pt>
                <c:pt idx="3">
                  <c:v>5</c:v>
                </c:pt>
                <c:pt idx="4">
                  <c:v>5</c:v>
                </c:pt>
                <c:pt idx="5">
                  <c:v>5</c:v>
                </c:pt>
                <c:pt idx="6">
                  <c:v>5</c:v>
                </c:pt>
                <c:pt idx="7">
                  <c:v>5</c:v>
                </c:pt>
                <c:pt idx="8">
                  <c:v>3</c:v>
                </c:pt>
                <c:pt idx="9">
                  <c:v>5</c:v>
                </c:pt>
              </c:numCache>
            </c:numRef>
          </c:val>
          <c:extLst>
            <c:ext xmlns:c16="http://schemas.microsoft.com/office/drawing/2014/chart" uri="{C3380CC4-5D6E-409C-BE32-E72D297353CC}">
              <c16:uniqueId val="{00000003-A893-40F9-A4C4-F08C568F9FF4}"/>
            </c:ext>
          </c:extLst>
        </c:ser>
        <c:dLbls>
          <c:showLegendKey val="0"/>
          <c:showVal val="0"/>
          <c:showCatName val="0"/>
          <c:showSerName val="0"/>
          <c:showPercent val="0"/>
          <c:showBubbleSize val="0"/>
        </c:dLbls>
        <c:gapWidth val="70"/>
        <c:axId val="1991821344"/>
        <c:axId val="1992962512"/>
      </c:barChart>
      <c:catAx>
        <c:axId val="199182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62512"/>
        <c:crosses val="autoZero"/>
        <c:auto val="1"/>
        <c:lblAlgn val="ctr"/>
        <c:lblOffset val="100"/>
        <c:noMultiLvlLbl val="0"/>
      </c:catAx>
      <c:valAx>
        <c:axId val="1992962512"/>
        <c:scaling>
          <c:orientation val="minMax"/>
        </c:scaling>
        <c:delete val="1"/>
        <c:axPos val="b"/>
        <c:numFmt formatCode="General" sourceLinked="1"/>
        <c:majorTickMark val="none"/>
        <c:minorTickMark val="none"/>
        <c:tickLblPos val="nextTo"/>
        <c:crossAx val="19918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[CWC2023.xlsx]Venue_Analysis!PivotTable2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B134"/>
          </a:solidFill>
          <a:ln>
            <a:noFill/>
          </a:ln>
          <a:effectLst/>
        </c:spPr>
      </c:pivotFmt>
    </c:pivotFmts>
    <c:plotArea>
      <c:layout/>
      <c:barChart>
        <c:barDir val="col"/>
        <c:grouping val="clustered"/>
        <c:varyColors val="0"/>
        <c:ser>
          <c:idx val="0"/>
          <c:order val="0"/>
          <c:tx>
            <c:strRef>
              <c:f>Venue_Analysis!$J$4</c:f>
              <c:strCache>
                <c:ptCount val="1"/>
                <c:pt idx="0">
                  <c:v>Total</c:v>
                </c:pt>
              </c:strCache>
            </c:strRef>
          </c:tx>
          <c:spPr>
            <a:solidFill>
              <a:srgbClr val="2E6DB4"/>
            </a:solidFill>
            <a:ln>
              <a:noFill/>
            </a:ln>
            <a:effectLst/>
          </c:spPr>
          <c:invertIfNegative val="0"/>
          <c:dPt>
            <c:idx val="0"/>
            <c:invertIfNegative val="0"/>
            <c:bubble3D val="0"/>
            <c:spPr>
              <a:solidFill>
                <a:srgbClr val="F2B134"/>
              </a:solidFill>
              <a:ln>
                <a:noFill/>
              </a:ln>
              <a:effectLst/>
            </c:spPr>
            <c:extLst>
              <c:ext xmlns:c16="http://schemas.microsoft.com/office/drawing/2014/chart" uri="{C3380CC4-5D6E-409C-BE32-E72D297353CC}">
                <c16:uniqueId val="{00000002-EC90-4CE3-90EE-4DAEF201AB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Venue_Analysis!$I$5:$I$14</c:f>
              <c:strCache>
                <c:ptCount val="10"/>
                <c:pt idx="0">
                  <c:v>Arun Jaitley Stadium</c:v>
                </c:pt>
                <c:pt idx="1">
                  <c:v>BRSABV Ekana Cricket Stadium</c:v>
                </c:pt>
                <c:pt idx="2">
                  <c:v>Eden Gardens</c:v>
                </c:pt>
                <c:pt idx="3">
                  <c:v>HPCA Stadium</c:v>
                </c:pt>
                <c:pt idx="4">
                  <c:v>M. A. Chidambaram Stadium</c:v>
                </c:pt>
                <c:pt idx="5">
                  <c:v>M. Chinnaswamy Stadium</c:v>
                </c:pt>
                <c:pt idx="6">
                  <c:v>Maharashtra Cricket Association Stadium</c:v>
                </c:pt>
                <c:pt idx="7">
                  <c:v>Narendra Modi Stadium</c:v>
                </c:pt>
                <c:pt idx="8">
                  <c:v>Rajiv Gandhi International Stadium</c:v>
                </c:pt>
                <c:pt idx="9">
                  <c:v>Wankhede Stadium</c:v>
                </c:pt>
              </c:strCache>
            </c:strRef>
          </c:cat>
          <c:val>
            <c:numRef>
              <c:f>Venue_Analysis!$J$5:$J$14</c:f>
              <c:numCache>
                <c:formatCode>General</c:formatCode>
                <c:ptCount val="10"/>
                <c:pt idx="0">
                  <c:v>428</c:v>
                </c:pt>
                <c:pt idx="1">
                  <c:v>311</c:v>
                </c:pt>
                <c:pt idx="2">
                  <c:v>337</c:v>
                </c:pt>
                <c:pt idx="3">
                  <c:v>388</c:v>
                </c:pt>
                <c:pt idx="4">
                  <c:v>288</c:v>
                </c:pt>
                <c:pt idx="5">
                  <c:v>410</c:v>
                </c:pt>
                <c:pt idx="6">
                  <c:v>357</c:v>
                </c:pt>
                <c:pt idx="7">
                  <c:v>286</c:v>
                </c:pt>
                <c:pt idx="8">
                  <c:v>345</c:v>
                </c:pt>
                <c:pt idx="9">
                  <c:v>399</c:v>
                </c:pt>
              </c:numCache>
            </c:numRef>
          </c:val>
          <c:extLst>
            <c:ext xmlns:c16="http://schemas.microsoft.com/office/drawing/2014/chart" uri="{C3380CC4-5D6E-409C-BE32-E72D297353CC}">
              <c16:uniqueId val="{00000000-EC90-4CE3-90EE-4DAEF201ABB5}"/>
            </c:ext>
          </c:extLst>
        </c:ser>
        <c:dLbls>
          <c:dLblPos val="outEnd"/>
          <c:showLegendKey val="0"/>
          <c:showVal val="1"/>
          <c:showCatName val="0"/>
          <c:showSerName val="0"/>
          <c:showPercent val="0"/>
          <c:showBubbleSize val="0"/>
        </c:dLbls>
        <c:gapWidth val="70"/>
        <c:axId val="1991877024"/>
        <c:axId val="1992921712"/>
      </c:barChart>
      <c:catAx>
        <c:axId val="19918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21712"/>
        <c:crosses val="autoZero"/>
        <c:auto val="1"/>
        <c:lblAlgn val="ctr"/>
        <c:lblOffset val="100"/>
        <c:noMultiLvlLbl val="0"/>
      </c:catAx>
      <c:valAx>
        <c:axId val="1992921712"/>
        <c:scaling>
          <c:orientation val="minMax"/>
        </c:scaling>
        <c:delete val="1"/>
        <c:axPos val="l"/>
        <c:numFmt formatCode="General" sourceLinked="1"/>
        <c:majorTickMark val="none"/>
        <c:minorTickMark val="none"/>
        <c:tickLblPos val="nextTo"/>
        <c:crossAx val="199187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400">
                <a:latin typeface="+mn-lt"/>
              </a:defRPr>
            </a:pPr>
            <a:r>
              <a:rPr lang="en-US" sz="1400">
                <a:latin typeface="+mn-lt"/>
              </a:rPr>
              <a:t>Matches Won by Team</a:t>
            </a:r>
          </a:p>
        </c:rich>
      </c:tx>
      <c:overlay val="0"/>
      <c:spPr>
        <a:noFill/>
        <a:ln w="0">
          <a:noFill/>
        </a:ln>
      </c:spPr>
    </c:title>
    <c:autoTitleDeleted val="0"/>
    <c:plotArea>
      <c:layout>
        <c:manualLayout>
          <c:layoutTarget val="inner"/>
          <c:xMode val="edge"/>
          <c:yMode val="edge"/>
          <c:x val="0.22998708628135564"/>
          <c:y val="0.18226524185008627"/>
          <c:w val="0.70359796269827757"/>
          <c:h val="0.78868850446862504"/>
        </c:manualLayout>
      </c:layout>
      <c:barChart>
        <c:barDir val="bar"/>
        <c:grouping val="clustered"/>
        <c:varyColors val="0"/>
        <c:ser>
          <c:idx val="0"/>
          <c:order val="0"/>
          <c:spPr>
            <a:solidFill>
              <a:srgbClr val="2E6DB4"/>
            </a:solidFill>
            <a:ln w="0">
              <a:solidFill>
                <a:srgbClr val="2E6DB4"/>
              </a:solidFill>
            </a:ln>
          </c:spPr>
          <c:invertIfNegative val="0"/>
          <c:dPt>
            <c:idx val="0"/>
            <c:invertIfNegative val="0"/>
            <c:bubble3D val="0"/>
            <c:spPr>
              <a:solidFill>
                <a:srgbClr val="F2B134"/>
              </a:solidFill>
              <a:ln w="0">
                <a:solidFill>
                  <a:srgbClr val="F2B134"/>
                </a:solidFill>
              </a:ln>
            </c:spPr>
            <c:extLst>
              <c:ext xmlns:c16="http://schemas.microsoft.com/office/drawing/2014/chart" uri="{C3380CC4-5D6E-409C-BE32-E72D297353CC}">
                <c16:uniqueId val="{00000001-A639-4F29-9F50-C7B919BC97ED}"/>
              </c:ext>
            </c:extLst>
          </c:dPt>
          <c:dLbls>
            <c:dLbl>
              <c:idx val="0"/>
              <c:spPr/>
              <c:txPr>
                <a:bodyPr/>
                <a:lstStyle/>
                <a:p>
                  <a:pPr>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639-4F29-9F50-C7B919BC97ED}"/>
                </c:ext>
              </c:extLst>
            </c:dLbl>
            <c:spPr>
              <a:noFill/>
              <a:ln>
                <a:noFill/>
              </a:ln>
              <a:effectLst/>
            </c:sp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Analysis!$F$7:$F$16</c:f>
              <c:strCache>
                <c:ptCount val="10"/>
                <c:pt idx="0">
                  <c:v>India</c:v>
                </c:pt>
                <c:pt idx="1">
                  <c:v>Australia</c:v>
                </c:pt>
                <c:pt idx="2">
                  <c:v>South Africa</c:v>
                </c:pt>
                <c:pt idx="3">
                  <c:v>New Zealand</c:v>
                </c:pt>
                <c:pt idx="4">
                  <c:v>Afghanistan</c:v>
                </c:pt>
                <c:pt idx="5">
                  <c:v>Pakistan</c:v>
                </c:pt>
                <c:pt idx="6">
                  <c:v>England</c:v>
                </c:pt>
                <c:pt idx="7">
                  <c:v>Bangladesh</c:v>
                </c:pt>
                <c:pt idx="8">
                  <c:v>Netherlands</c:v>
                </c:pt>
                <c:pt idx="9">
                  <c:v>Sri Lanka</c:v>
                </c:pt>
              </c:strCache>
            </c:strRef>
          </c:cat>
          <c:val>
            <c:numRef>
              <c:f>Analysis!$G$7:$G$16</c:f>
              <c:numCache>
                <c:formatCode>General</c:formatCode>
                <c:ptCount val="10"/>
                <c:pt idx="0">
                  <c:v>10</c:v>
                </c:pt>
                <c:pt idx="1">
                  <c:v>9</c:v>
                </c:pt>
                <c:pt idx="2">
                  <c:v>7</c:v>
                </c:pt>
                <c:pt idx="3">
                  <c:v>5</c:v>
                </c:pt>
                <c:pt idx="4">
                  <c:v>4</c:v>
                </c:pt>
                <c:pt idx="5">
                  <c:v>4</c:v>
                </c:pt>
                <c:pt idx="6">
                  <c:v>3</c:v>
                </c:pt>
                <c:pt idx="7">
                  <c:v>2</c:v>
                </c:pt>
                <c:pt idx="8">
                  <c:v>2</c:v>
                </c:pt>
                <c:pt idx="9">
                  <c:v>2</c:v>
                </c:pt>
              </c:numCache>
            </c:numRef>
          </c:val>
          <c:extLst>
            <c:ext xmlns:c16="http://schemas.microsoft.com/office/drawing/2014/chart" uri="{C3380CC4-5D6E-409C-BE32-E72D297353CC}">
              <c16:uniqueId val="{00000002-A639-4F29-9F50-C7B919BC97ED}"/>
            </c:ext>
          </c:extLst>
        </c:ser>
        <c:dLbls>
          <c:showLegendKey val="0"/>
          <c:showVal val="0"/>
          <c:showCatName val="0"/>
          <c:showSerName val="0"/>
          <c:showPercent val="0"/>
          <c:showBubbleSize val="0"/>
        </c:dLbls>
        <c:gapWidth val="45"/>
        <c:axId val="40237892"/>
        <c:axId val="53865601"/>
      </c:barChart>
      <c:catAx>
        <c:axId val="40237892"/>
        <c:scaling>
          <c:orientation val="maxMin"/>
        </c:scaling>
        <c:delete val="0"/>
        <c:axPos val="l"/>
        <c:numFmt formatCode="General" sourceLinked="1"/>
        <c:majorTickMark val="none"/>
        <c:minorTickMark val="none"/>
        <c:tickLblPos val="nextTo"/>
        <c:spPr>
          <a:solidFill>
            <a:schemeClr val="bg1"/>
          </a:solidFill>
          <a:ln w="12600">
            <a:solidFill>
              <a:srgbClr val="C9D1DD"/>
            </a:solidFill>
            <a:round/>
          </a:ln>
        </c:spPr>
        <c:txPr>
          <a:bodyPr/>
          <a:lstStyle/>
          <a:p>
            <a:pPr>
              <a:defRPr sz="900">
                <a:latin typeface="+mn-lt"/>
              </a:defRPr>
            </a:pPr>
            <a:endParaRPr lang="en-US"/>
          </a:p>
        </c:txPr>
        <c:crossAx val="53865601"/>
        <c:crosses val="autoZero"/>
        <c:auto val="1"/>
        <c:lblAlgn val="ctr"/>
        <c:lblOffset val="100"/>
        <c:noMultiLvlLbl val="0"/>
      </c:catAx>
      <c:valAx>
        <c:axId val="53865601"/>
        <c:scaling>
          <c:orientation val="minMax"/>
          <c:min val="0"/>
        </c:scaling>
        <c:delete val="1"/>
        <c:axPos val="t"/>
        <c:numFmt formatCode="General" sourceLinked="1"/>
        <c:majorTickMark val="none"/>
        <c:minorTickMark val="none"/>
        <c:tickLblPos val="nextTo"/>
        <c:crossAx val="40237892"/>
        <c:crosses val="autoZero"/>
        <c:crossBetween val="between"/>
      </c:valAx>
      <c:spPr>
        <a:noFill/>
        <a:ln w="0">
          <a:noFill/>
        </a:ln>
      </c:spPr>
    </c:plotArea>
    <c:plotVisOnly val="1"/>
    <c:dispBlanksAs val="gap"/>
    <c:showDLblsOverMax val="1"/>
  </c:chart>
  <c:spPr>
    <a:solidFill>
      <a:srgbClr val="FFFFFF"/>
    </a:solidFill>
    <a:ln w="9360">
      <a:noFill/>
    </a:ln>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Arial" panose="020B0604020202020204" pitchFamily="34" charset="0"/>
              </a:defRPr>
            </a:pPr>
            <a:r>
              <a:rPr lang="en-US" b="1">
                <a:solidFill>
                  <a:schemeClr val="tx1"/>
                </a:solidFill>
                <a:latin typeface="+mn-lt"/>
                <a:cs typeface="Arial" panose="020B0604020202020204" pitchFamily="34" charset="0"/>
              </a:rPr>
              <a:t>Highest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Analysis!$G$53</c:f>
              <c:strCache>
                <c:ptCount val="1"/>
                <c:pt idx="0">
                  <c:v>Highest Score</c:v>
                </c:pt>
              </c:strCache>
            </c:strRef>
          </c:tx>
          <c:spPr>
            <a:solidFill>
              <a:srgbClr val="2E6DB4"/>
            </a:solidFill>
            <a:ln>
              <a:noFill/>
            </a:ln>
            <a:effectLst/>
          </c:spPr>
          <c:invertIfNegative val="1"/>
          <c:dPt>
            <c:idx val="0"/>
            <c:invertIfNegative val="1"/>
            <c:bubble3D val="0"/>
            <c:spPr>
              <a:solidFill>
                <a:srgbClr val="F2B134"/>
              </a:solidFill>
              <a:ln>
                <a:noFill/>
              </a:ln>
              <a:effectLst/>
            </c:spPr>
            <c:extLst>
              <c:ext xmlns:c16="http://schemas.microsoft.com/office/drawing/2014/chart" uri="{C3380CC4-5D6E-409C-BE32-E72D297353CC}">
                <c16:uniqueId val="{00000001-A4ED-4740-A9F3-31002179BF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Analysis!$F$54:$F$63</c:f>
              <c:strCache>
                <c:ptCount val="10"/>
                <c:pt idx="0">
                  <c:v>South Africa</c:v>
                </c:pt>
                <c:pt idx="1">
                  <c:v>India</c:v>
                </c:pt>
                <c:pt idx="2">
                  <c:v>New Zealand</c:v>
                </c:pt>
                <c:pt idx="3">
                  <c:v>Australia</c:v>
                </c:pt>
                <c:pt idx="4">
                  <c:v>England</c:v>
                </c:pt>
                <c:pt idx="5">
                  <c:v>Pakistan</c:v>
                </c:pt>
                <c:pt idx="6">
                  <c:v>Sri Lanka</c:v>
                </c:pt>
                <c:pt idx="7">
                  <c:v>Netherlands</c:v>
                </c:pt>
                <c:pt idx="8">
                  <c:v>Bangladesh</c:v>
                </c:pt>
                <c:pt idx="9">
                  <c:v>Afghanistan</c:v>
                </c:pt>
              </c:strCache>
            </c:strRef>
          </c:cat>
          <c:val>
            <c:numRef>
              <c:f>Analysis!$G$54:$G$63</c:f>
              <c:numCache>
                <c:formatCode>General</c:formatCode>
                <c:ptCount val="10"/>
                <c:pt idx="0">
                  <c:v>428</c:v>
                </c:pt>
                <c:pt idx="1">
                  <c:v>410</c:v>
                </c:pt>
                <c:pt idx="2">
                  <c:v>401</c:v>
                </c:pt>
                <c:pt idx="3">
                  <c:v>399</c:v>
                </c:pt>
                <c:pt idx="4">
                  <c:v>364</c:v>
                </c:pt>
                <c:pt idx="5">
                  <c:v>345</c:v>
                </c:pt>
                <c:pt idx="6">
                  <c:v>344</c:v>
                </c:pt>
                <c:pt idx="7">
                  <c:v>339</c:v>
                </c:pt>
                <c:pt idx="8">
                  <c:v>307</c:v>
                </c:pt>
                <c:pt idx="9">
                  <c:v>291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A4ED-4740-A9F3-31002179BFBD}"/>
            </c:ext>
          </c:extLst>
        </c:ser>
        <c:dLbls>
          <c:dLblPos val="outEnd"/>
          <c:showLegendKey val="0"/>
          <c:showVal val="1"/>
          <c:showCatName val="0"/>
          <c:showSerName val="0"/>
          <c:showPercent val="0"/>
          <c:showBubbleSize val="0"/>
        </c:dLbls>
        <c:gapWidth val="45"/>
        <c:axId val="1398303280"/>
        <c:axId val="2117848784"/>
      </c:barChart>
      <c:catAx>
        <c:axId val="1398303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2117848784"/>
        <c:crosses val="autoZero"/>
        <c:auto val="1"/>
        <c:lblAlgn val="ctr"/>
        <c:lblOffset val="100"/>
        <c:noMultiLvlLbl val="0"/>
      </c:catAx>
      <c:valAx>
        <c:axId val="2117848784"/>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13983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 baseline="0">
                <a:solidFill>
                  <a:srgbClr val="0B1F3A"/>
                </a:solidFill>
                <a:latin typeface="+mn-lt"/>
              </a:rPr>
              <a:t>Average Score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Analysis!$G$67</c:f>
              <c:strCache>
                <c:ptCount val="1"/>
                <c:pt idx="0">
                  <c:v>Avg Score</c:v>
                </c:pt>
              </c:strCache>
            </c:strRef>
          </c:tx>
          <c:spPr>
            <a:solidFill>
              <a:srgbClr val="2E6DB4"/>
            </a:solidFill>
            <a:ln>
              <a:noFill/>
            </a:ln>
            <a:effectLst/>
          </c:spPr>
          <c:invertIfNegative val="0"/>
          <c:dPt>
            <c:idx val="0"/>
            <c:invertIfNegative val="0"/>
            <c:bubble3D val="0"/>
            <c:spPr>
              <a:solidFill>
                <a:srgbClr val="F2B134"/>
              </a:solidFill>
              <a:ln>
                <a:noFill/>
              </a:ln>
              <a:effectLst/>
            </c:spPr>
            <c:extLst>
              <c:ext xmlns:c16="http://schemas.microsoft.com/office/drawing/2014/chart" uri="{C3380CC4-5D6E-409C-BE32-E72D297353CC}">
                <c16:uniqueId val="{00000001-B060-4BE3-8A14-6F576F28FF0D}"/>
              </c:ext>
            </c:extLst>
          </c:dPt>
          <c:cat>
            <c:strRef>
              <c:f>Analysis!$F$68:$F$77</c:f>
              <c:strCache>
                <c:ptCount val="10"/>
                <c:pt idx="0">
                  <c:v>South Africa</c:v>
                </c:pt>
                <c:pt idx="1">
                  <c:v>India</c:v>
                </c:pt>
                <c:pt idx="2">
                  <c:v>New Zealand</c:v>
                </c:pt>
                <c:pt idx="3">
                  <c:v>Australia</c:v>
                </c:pt>
                <c:pt idx="4">
                  <c:v>Pakistan</c:v>
                </c:pt>
                <c:pt idx="5">
                  <c:v>Bangladesh</c:v>
                </c:pt>
                <c:pt idx="6">
                  <c:v>Afghanistan</c:v>
                </c:pt>
                <c:pt idx="7">
                  <c:v>Sri Lanka</c:v>
                </c:pt>
                <c:pt idx="8">
                  <c:v>England</c:v>
                </c:pt>
                <c:pt idx="9">
                  <c:v>Netherlands</c:v>
                </c:pt>
              </c:strCache>
            </c:strRef>
          </c:cat>
          <c:val>
            <c:numRef>
              <c:f>Analysis!$G$68:$G$77</c:f>
              <c:numCache>
                <c:formatCode>0.00</c:formatCode>
                <c:ptCount val="10"/>
                <c:pt idx="0">
                  <c:v>289.7</c:v>
                </c:pt>
                <c:pt idx="1">
                  <c:v>287.27272727272725</c:v>
                </c:pt>
                <c:pt idx="2">
                  <c:v>286.3</c:v>
                </c:pt>
                <c:pt idx="3">
                  <c:v>280.54545454545456</c:v>
                </c:pt>
                <c:pt idx="4">
                  <c:v>268.88888888888891</c:v>
                </c:pt>
                <c:pt idx="5">
                  <c:v>238</c:v>
                </c:pt>
                <c:pt idx="6">
                  <c:v>232.55555555555554</c:v>
                </c:pt>
                <c:pt idx="7">
                  <c:v>227.66666666666666</c:v>
                </c:pt>
                <c:pt idx="8">
                  <c:v>221.33333333333334</c:v>
                </c:pt>
                <c:pt idx="9">
                  <c:v>215.22222222222223</c:v>
                </c:pt>
              </c:numCache>
            </c:numRef>
          </c:val>
          <c:extLst>
            <c:ext xmlns:c16="http://schemas.microsoft.com/office/drawing/2014/chart" uri="{C3380CC4-5D6E-409C-BE32-E72D297353CC}">
              <c16:uniqueId val="{00000000-B060-4BE3-8A14-6F576F28FF0D}"/>
            </c:ext>
          </c:extLst>
        </c:ser>
        <c:dLbls>
          <c:showLegendKey val="0"/>
          <c:showVal val="0"/>
          <c:showCatName val="0"/>
          <c:showSerName val="0"/>
          <c:showPercent val="0"/>
          <c:showBubbleSize val="0"/>
        </c:dLbls>
        <c:gapWidth val="45"/>
        <c:axId val="1398390048"/>
        <c:axId val="672611600"/>
      </c:barChart>
      <c:catAx>
        <c:axId val="13983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11600"/>
        <c:crosses val="autoZero"/>
        <c:auto val="1"/>
        <c:lblAlgn val="ctr"/>
        <c:lblOffset val="100"/>
        <c:noMultiLvlLbl val="0"/>
      </c:catAx>
      <c:valAx>
        <c:axId val="67261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9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1" baseline="0">
                <a:solidFill>
                  <a:srgbClr val="0B1F3A"/>
                </a:solidFill>
                <a:latin typeface="+mn-lt"/>
              </a:rPr>
              <a:t>4s vs 6s by Team</a:t>
            </a:r>
            <a:endParaRPr lang="en-US" sz="1400" b="0" i="0" u="none" strike="noStrike" kern="1200" spc="0" baseline="0">
              <a:solidFill>
                <a:sysClr val="windowText" lastClr="000000">
                  <a:lumMod val="65000"/>
                  <a:lumOff val="35000"/>
                </a:sysClr>
              </a:solidFill>
              <a:latin typeface="+mn-l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8.2471502549598022E-2"/>
          <c:y val="0.17171296296296298"/>
          <c:w val="0.8895617545321538"/>
          <c:h val="0.47802529892096823"/>
        </c:manualLayout>
      </c:layout>
      <c:barChart>
        <c:barDir val="col"/>
        <c:grouping val="clustered"/>
        <c:varyColors val="0"/>
        <c:ser>
          <c:idx val="0"/>
          <c:order val="0"/>
          <c:tx>
            <c:strRef>
              <c:f>Analysis!$G$82</c:f>
              <c:strCache>
                <c:ptCount val="1"/>
                <c:pt idx="0">
                  <c:v>4s</c:v>
                </c:pt>
              </c:strCache>
            </c:strRef>
          </c:tx>
          <c:spPr>
            <a:solidFill>
              <a:schemeClr val="accent1"/>
            </a:solidFill>
            <a:ln>
              <a:noFill/>
            </a:ln>
            <a:effectLst/>
          </c:spPr>
          <c:invertIfNegative val="0"/>
          <c:cat>
            <c:strRef>
              <c:f>Analysis!$F$83:$F$92</c:f>
              <c:strCache>
                <c:ptCount val="10"/>
                <c:pt idx="0">
                  <c:v>Australia</c:v>
                </c:pt>
                <c:pt idx="1">
                  <c:v>India</c:v>
                </c:pt>
                <c:pt idx="2">
                  <c:v>New Zealand</c:v>
                </c:pt>
                <c:pt idx="3">
                  <c:v>South Africa</c:v>
                </c:pt>
                <c:pt idx="4">
                  <c:v>Pakistan</c:v>
                </c:pt>
                <c:pt idx="5">
                  <c:v>England</c:v>
                </c:pt>
                <c:pt idx="6">
                  <c:v>Sri Lanka</c:v>
                </c:pt>
                <c:pt idx="7">
                  <c:v>Bangladesh</c:v>
                </c:pt>
                <c:pt idx="8">
                  <c:v>Afghanistan</c:v>
                </c:pt>
                <c:pt idx="9">
                  <c:v>Netherlands</c:v>
                </c:pt>
              </c:strCache>
            </c:strRef>
          </c:cat>
          <c:val>
            <c:numRef>
              <c:f>Analysis!$G$83:$G$92</c:f>
              <c:numCache>
                <c:formatCode>General</c:formatCode>
                <c:ptCount val="10"/>
                <c:pt idx="0">
                  <c:v>287</c:v>
                </c:pt>
                <c:pt idx="1">
                  <c:v>277</c:v>
                </c:pt>
                <c:pt idx="2">
                  <c:v>266</c:v>
                </c:pt>
                <c:pt idx="3">
                  <c:v>242</c:v>
                </c:pt>
                <c:pt idx="4">
                  <c:v>228</c:v>
                </c:pt>
                <c:pt idx="5">
                  <c:v>208</c:v>
                </c:pt>
                <c:pt idx="6">
                  <c:v>203</c:v>
                </c:pt>
                <c:pt idx="7">
                  <c:v>188</c:v>
                </c:pt>
                <c:pt idx="8">
                  <c:v>178</c:v>
                </c:pt>
                <c:pt idx="9">
                  <c:v>164</c:v>
                </c:pt>
              </c:numCache>
            </c:numRef>
          </c:val>
          <c:extLst>
            <c:ext xmlns:c16="http://schemas.microsoft.com/office/drawing/2014/chart" uri="{C3380CC4-5D6E-409C-BE32-E72D297353CC}">
              <c16:uniqueId val="{00000000-2FE0-40DF-B7B4-00D5A91CC037}"/>
            </c:ext>
          </c:extLst>
        </c:ser>
        <c:ser>
          <c:idx val="1"/>
          <c:order val="1"/>
          <c:tx>
            <c:strRef>
              <c:f>Analysis!$H$82</c:f>
              <c:strCache>
                <c:ptCount val="1"/>
                <c:pt idx="0">
                  <c:v>6s</c:v>
                </c:pt>
              </c:strCache>
            </c:strRef>
          </c:tx>
          <c:spPr>
            <a:solidFill>
              <a:schemeClr val="accent2"/>
            </a:solidFill>
            <a:ln>
              <a:noFill/>
            </a:ln>
            <a:effectLst/>
          </c:spPr>
          <c:invertIfNegative val="0"/>
          <c:cat>
            <c:strRef>
              <c:f>Analysis!$F$83:$F$92</c:f>
              <c:strCache>
                <c:ptCount val="10"/>
                <c:pt idx="0">
                  <c:v>Australia</c:v>
                </c:pt>
                <c:pt idx="1">
                  <c:v>India</c:v>
                </c:pt>
                <c:pt idx="2">
                  <c:v>New Zealand</c:v>
                </c:pt>
                <c:pt idx="3">
                  <c:v>South Africa</c:v>
                </c:pt>
                <c:pt idx="4">
                  <c:v>Pakistan</c:v>
                </c:pt>
                <c:pt idx="5">
                  <c:v>England</c:v>
                </c:pt>
                <c:pt idx="6">
                  <c:v>Sri Lanka</c:v>
                </c:pt>
                <c:pt idx="7">
                  <c:v>Bangladesh</c:v>
                </c:pt>
                <c:pt idx="8">
                  <c:v>Afghanistan</c:v>
                </c:pt>
                <c:pt idx="9">
                  <c:v>Netherlands</c:v>
                </c:pt>
              </c:strCache>
            </c:strRef>
          </c:cat>
          <c:val>
            <c:numRef>
              <c:f>Analysis!$H$83:$H$92</c:f>
              <c:numCache>
                <c:formatCode>General</c:formatCode>
                <c:ptCount val="10"/>
                <c:pt idx="0">
                  <c:v>97</c:v>
                </c:pt>
                <c:pt idx="1">
                  <c:v>92</c:v>
                </c:pt>
                <c:pt idx="2">
                  <c:v>82</c:v>
                </c:pt>
                <c:pt idx="3">
                  <c:v>99</c:v>
                </c:pt>
                <c:pt idx="4">
                  <c:v>62</c:v>
                </c:pt>
                <c:pt idx="5">
                  <c:v>49</c:v>
                </c:pt>
                <c:pt idx="6">
                  <c:v>45</c:v>
                </c:pt>
                <c:pt idx="7">
                  <c:v>43</c:v>
                </c:pt>
                <c:pt idx="8">
                  <c:v>42</c:v>
                </c:pt>
                <c:pt idx="9">
                  <c:v>33</c:v>
                </c:pt>
              </c:numCache>
            </c:numRef>
          </c:val>
          <c:extLst>
            <c:ext xmlns:c16="http://schemas.microsoft.com/office/drawing/2014/chart" uri="{C3380CC4-5D6E-409C-BE32-E72D297353CC}">
              <c16:uniqueId val="{00000001-2FE0-40DF-B7B4-00D5A91CC037}"/>
            </c:ext>
          </c:extLst>
        </c:ser>
        <c:dLbls>
          <c:showLegendKey val="0"/>
          <c:showVal val="0"/>
          <c:showCatName val="0"/>
          <c:showSerName val="0"/>
          <c:showPercent val="0"/>
          <c:showBubbleSize val="0"/>
        </c:dLbls>
        <c:gapWidth val="50"/>
        <c:overlap val="-20"/>
        <c:axId val="1406329920"/>
        <c:axId val="672615440"/>
      </c:barChart>
      <c:catAx>
        <c:axId val="140632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15440"/>
        <c:crosses val="autoZero"/>
        <c:auto val="1"/>
        <c:lblAlgn val="ctr"/>
        <c:lblOffset val="100"/>
        <c:noMultiLvlLbl val="0"/>
      </c:catAx>
      <c:valAx>
        <c:axId val="67261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32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chemeClr val="tx1"/>
                </a:solidFill>
                <a:effectLst/>
              </a:rPr>
              <a:t>Run Rate by Team (runs per over)</a:t>
            </a:r>
            <a:endParaRPr lang="en-US" sz="1400" b="1">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2E6DB4"/>
            </a:solidFill>
            <a:ln>
              <a:noFill/>
            </a:ln>
            <a:effectLst/>
          </c:spPr>
          <c:invertIfNegative val="0"/>
          <c:dPt>
            <c:idx val="0"/>
            <c:invertIfNegative val="0"/>
            <c:bubble3D val="0"/>
            <c:spPr>
              <a:solidFill>
                <a:srgbClr val="2E6DB4"/>
              </a:solidFill>
              <a:ln w="28575" cap="rnd">
                <a:solidFill>
                  <a:schemeClr val="accent1"/>
                </a:solidFill>
                <a:round/>
              </a:ln>
              <a:effectLst/>
            </c:spPr>
            <c:extLst>
              <c:ext xmlns:c16="http://schemas.microsoft.com/office/drawing/2014/chart" uri="{C3380CC4-5D6E-409C-BE32-E72D297353CC}">
                <c16:uniqueId val="{00000003-9E07-4471-88FA-867CFB4AD7BF}"/>
              </c:ext>
            </c:extLst>
          </c:dPt>
          <c:dPt>
            <c:idx val="9"/>
            <c:invertIfNegative val="0"/>
            <c:bubble3D val="0"/>
            <c:extLst>
              <c:ext xmlns:c16="http://schemas.microsoft.com/office/drawing/2014/chart" uri="{C3380CC4-5D6E-409C-BE32-E72D297353CC}">
                <c16:uniqueId val="{00000002-9E07-4471-88FA-867CFB4AD7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Analysis!$F$100:$F$109</c:f>
              <c:strCache>
                <c:ptCount val="10"/>
                <c:pt idx="0">
                  <c:v>India</c:v>
                </c:pt>
                <c:pt idx="1">
                  <c:v>New Zealand</c:v>
                </c:pt>
                <c:pt idx="2">
                  <c:v>South Africa</c:v>
                </c:pt>
                <c:pt idx="3">
                  <c:v>Australia</c:v>
                </c:pt>
                <c:pt idx="4">
                  <c:v>Pakistan</c:v>
                </c:pt>
                <c:pt idx="5">
                  <c:v>Sri Lanka</c:v>
                </c:pt>
                <c:pt idx="6">
                  <c:v>England</c:v>
                </c:pt>
                <c:pt idx="7">
                  <c:v>Bangladesh</c:v>
                </c:pt>
                <c:pt idx="8">
                  <c:v>Netherlands</c:v>
                </c:pt>
                <c:pt idx="9">
                  <c:v>Afghanistan</c:v>
                </c:pt>
              </c:strCache>
            </c:strRef>
          </c:cat>
          <c:val>
            <c:numRef>
              <c:f>Analysis!$G$100:$G$109</c:f>
              <c:numCache>
                <c:formatCode>0.0</c:formatCode>
                <c:ptCount val="10"/>
                <c:pt idx="0">
                  <c:v>6.373636363636364</c:v>
                </c:pt>
                <c:pt idx="1">
                  <c:v>6.1949999999999985</c:v>
                </c:pt>
                <c:pt idx="2">
                  <c:v>6.01</c:v>
                </c:pt>
                <c:pt idx="3">
                  <c:v>5.9899999999999984</c:v>
                </c:pt>
                <c:pt idx="4">
                  <c:v>5.9422222222222221</c:v>
                </c:pt>
                <c:pt idx="5">
                  <c:v>5.6966666666666672</c:v>
                </c:pt>
                <c:pt idx="6">
                  <c:v>5.677777777777778</c:v>
                </c:pt>
                <c:pt idx="7">
                  <c:v>5.4277777777777771</c:v>
                </c:pt>
                <c:pt idx="8">
                  <c:v>5.1244444444444452</c:v>
                </c:pt>
                <c:pt idx="9">
                  <c:v>5</c:v>
                </c:pt>
              </c:numCache>
            </c:numRef>
          </c:val>
          <c:extLst>
            <c:ext xmlns:c16="http://schemas.microsoft.com/office/drawing/2014/chart" uri="{C3380CC4-5D6E-409C-BE32-E72D297353CC}">
              <c16:uniqueId val="{00000000-9E07-4471-88FA-867CFB4AD7BF}"/>
            </c:ext>
          </c:extLst>
        </c:ser>
        <c:dLbls>
          <c:dLblPos val="outEnd"/>
          <c:showLegendKey val="0"/>
          <c:showVal val="1"/>
          <c:showCatName val="0"/>
          <c:showSerName val="0"/>
          <c:showPercent val="0"/>
          <c:showBubbleSize val="0"/>
        </c:dLbls>
        <c:gapWidth val="150"/>
        <c:axId val="1406379568"/>
        <c:axId val="672586640"/>
      </c:barChart>
      <c:catAx>
        <c:axId val="140637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86640"/>
        <c:crosses val="autoZero"/>
        <c:auto val="1"/>
        <c:lblAlgn val="ctr"/>
        <c:lblOffset val="100"/>
        <c:noMultiLvlLbl val="0"/>
      </c:catAx>
      <c:valAx>
        <c:axId val="672586640"/>
        <c:scaling>
          <c:orientation val="minMax"/>
        </c:scaling>
        <c:delete val="1"/>
        <c:axPos val="l"/>
        <c:majorGridlines>
          <c:spPr>
            <a:ln w="9525" cap="flat" cmpd="sng" algn="ctr">
              <a:noFill/>
              <a:round/>
            </a:ln>
            <a:effectLst/>
          </c:spPr>
        </c:majorGridlines>
        <c:numFmt formatCode="0.0" sourceLinked="1"/>
        <c:majorTickMark val="none"/>
        <c:minorTickMark val="none"/>
        <c:tickLblPos val="nextTo"/>
        <c:crossAx val="140637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solidFill>
                <a:effectLst/>
                <a:latin typeface="+mn-lt"/>
                <a:ea typeface="+mn-ea"/>
                <a:cs typeface="+mn-cs"/>
              </a:defRPr>
            </a:pPr>
            <a:r>
              <a:rPr lang="en-US" sz="1400"/>
              <a:t>Wickets Taken by Team</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effectLst/>
              <a:latin typeface="+mn-lt"/>
              <a:ea typeface="+mn-ea"/>
              <a:cs typeface="+mn-cs"/>
            </a:defRPr>
          </a:pPr>
          <a:endParaRPr lang="en-US"/>
        </a:p>
      </c:txPr>
    </c:title>
    <c:autoTitleDeleted val="0"/>
    <c:plotArea>
      <c:layout/>
      <c:barChart>
        <c:barDir val="col"/>
        <c:grouping val="clustered"/>
        <c:varyColors val="0"/>
        <c:ser>
          <c:idx val="0"/>
          <c:order val="0"/>
          <c:spPr>
            <a:solidFill>
              <a:srgbClr val="2E6DB4"/>
            </a:solidFill>
            <a:ln>
              <a:noFill/>
            </a:ln>
            <a:effectLst/>
          </c:spPr>
          <c:invertIfNegative val="0"/>
          <c:dPt>
            <c:idx val="0"/>
            <c:invertIfNegative val="0"/>
            <c:bubble3D val="0"/>
            <c:spPr>
              <a:solidFill>
                <a:srgbClr val="F2B134"/>
              </a:solidFill>
              <a:ln>
                <a:solidFill>
                  <a:srgbClr val="F2B134"/>
                </a:solidFill>
              </a:ln>
              <a:effectLst/>
            </c:spPr>
            <c:extLst>
              <c:ext xmlns:c16="http://schemas.microsoft.com/office/drawing/2014/chart" uri="{C3380CC4-5D6E-409C-BE32-E72D297353CC}">
                <c16:uniqueId val="{00000001-0C3E-405E-BD76-7790FD99BF83}"/>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Analysis!$F$116:$F$125</c:f>
              <c:strCache>
                <c:ptCount val="10"/>
                <c:pt idx="0">
                  <c:v>India</c:v>
                </c:pt>
                <c:pt idx="1">
                  <c:v>South Africa</c:v>
                </c:pt>
                <c:pt idx="2">
                  <c:v>Australia</c:v>
                </c:pt>
                <c:pt idx="3">
                  <c:v>Netherlands</c:v>
                </c:pt>
                <c:pt idx="4">
                  <c:v>New Zealand</c:v>
                </c:pt>
                <c:pt idx="5">
                  <c:v>Bangladesh</c:v>
                </c:pt>
                <c:pt idx="6">
                  <c:v>England</c:v>
                </c:pt>
                <c:pt idx="7">
                  <c:v>Sri Lanka</c:v>
                </c:pt>
                <c:pt idx="8">
                  <c:v>Pakistan</c:v>
                </c:pt>
                <c:pt idx="9">
                  <c:v>Afghanistan</c:v>
                </c:pt>
              </c:strCache>
            </c:strRef>
          </c:cat>
          <c:val>
            <c:numRef>
              <c:f>Analysis!$G$116:$G$125</c:f>
              <c:numCache>
                <c:formatCode>General</c:formatCode>
                <c:ptCount val="10"/>
                <c:pt idx="0">
                  <c:v>100</c:v>
                </c:pt>
                <c:pt idx="1">
                  <c:v>90</c:v>
                </c:pt>
                <c:pt idx="2">
                  <c:v>87</c:v>
                </c:pt>
                <c:pt idx="3">
                  <c:v>74</c:v>
                </c:pt>
                <c:pt idx="4">
                  <c:v>68</c:v>
                </c:pt>
                <c:pt idx="5">
                  <c:v>67</c:v>
                </c:pt>
                <c:pt idx="6">
                  <c:v>67</c:v>
                </c:pt>
                <c:pt idx="7">
                  <c:v>62</c:v>
                </c:pt>
                <c:pt idx="8">
                  <c:v>61</c:v>
                </c:pt>
                <c:pt idx="9">
                  <c:v>54</c:v>
                </c:pt>
              </c:numCache>
            </c:numRef>
          </c:val>
          <c:extLst>
            <c:ext xmlns:c16="http://schemas.microsoft.com/office/drawing/2014/chart" uri="{C3380CC4-5D6E-409C-BE32-E72D297353CC}">
              <c16:uniqueId val="{00000000-0C3E-405E-BD76-7790FD99BF83}"/>
            </c:ext>
          </c:extLst>
        </c:ser>
        <c:dLbls>
          <c:dLblPos val="outEnd"/>
          <c:showLegendKey val="0"/>
          <c:showVal val="1"/>
          <c:showCatName val="0"/>
          <c:showSerName val="0"/>
          <c:showPercent val="0"/>
          <c:showBubbleSize val="0"/>
        </c:dLbls>
        <c:gapWidth val="50"/>
        <c:axId val="812616319"/>
        <c:axId val="1849810223"/>
      </c:barChart>
      <c:catAx>
        <c:axId val="8126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spc="0" baseline="0">
                <a:solidFill>
                  <a:schemeClr val="tx1"/>
                </a:solidFill>
                <a:effectLst/>
                <a:latin typeface="+mn-lt"/>
                <a:ea typeface="+mn-ea"/>
                <a:cs typeface="+mn-cs"/>
              </a:defRPr>
            </a:pPr>
            <a:endParaRPr lang="en-US"/>
          </a:p>
        </c:txPr>
        <c:crossAx val="1849810223"/>
        <c:crosses val="autoZero"/>
        <c:auto val="1"/>
        <c:lblAlgn val="ctr"/>
        <c:lblOffset val="100"/>
        <c:noMultiLvlLbl val="0"/>
      </c:catAx>
      <c:valAx>
        <c:axId val="184981022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12616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chemeClr val="tx1"/>
          </a:solidFill>
          <a:effectLst/>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solidFill>
                <a:effectLst/>
                <a:latin typeface="+mn-lt"/>
                <a:ea typeface="+mn-ea"/>
                <a:cs typeface="+mn-cs"/>
              </a:defRPr>
            </a:pPr>
            <a:r>
              <a:rPr lang="en-US" sz="1400"/>
              <a:t>Average Lost  Wickets per Match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effectLst/>
              <a:latin typeface="+mn-lt"/>
              <a:ea typeface="+mn-ea"/>
              <a:cs typeface="+mn-cs"/>
            </a:defRPr>
          </a:pPr>
          <a:endParaRPr lang="en-US"/>
        </a:p>
      </c:txPr>
    </c:title>
    <c:autoTitleDeleted val="0"/>
    <c:plotArea>
      <c:layout/>
      <c:barChart>
        <c:barDir val="col"/>
        <c:grouping val="clustered"/>
        <c:varyColors val="0"/>
        <c:ser>
          <c:idx val="0"/>
          <c:order val="0"/>
          <c:spPr>
            <a:solidFill>
              <a:srgbClr val="2E6DB4"/>
            </a:solidFill>
            <a:ln>
              <a:noFill/>
            </a:ln>
            <a:effectLst/>
          </c:spPr>
          <c:invertIfNegative val="0"/>
          <c:dPt>
            <c:idx val="0"/>
            <c:invertIfNegative val="0"/>
            <c:bubble3D val="0"/>
            <c:spPr>
              <a:solidFill>
                <a:srgbClr val="F2B134"/>
              </a:solidFill>
              <a:ln>
                <a:noFill/>
              </a:ln>
              <a:effectLst/>
            </c:spPr>
            <c:extLst>
              <c:ext xmlns:c16="http://schemas.microsoft.com/office/drawing/2014/chart" uri="{C3380CC4-5D6E-409C-BE32-E72D297353CC}">
                <c16:uniqueId val="{00000001-C336-495C-8974-FA2410F9A7A5}"/>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Analysis!$F$131:$F$140</c:f>
              <c:strCache>
                <c:ptCount val="10"/>
                <c:pt idx="0">
                  <c:v>Australia</c:v>
                </c:pt>
                <c:pt idx="1">
                  <c:v>England</c:v>
                </c:pt>
                <c:pt idx="2">
                  <c:v>Netherlands</c:v>
                </c:pt>
                <c:pt idx="3">
                  <c:v>South Africa</c:v>
                </c:pt>
                <c:pt idx="4">
                  <c:v>New Zealand</c:v>
                </c:pt>
                <c:pt idx="5">
                  <c:v>Pakistan</c:v>
                </c:pt>
                <c:pt idx="6">
                  <c:v>Sri Lanka</c:v>
                </c:pt>
                <c:pt idx="7">
                  <c:v>Afghanistan</c:v>
                </c:pt>
                <c:pt idx="8">
                  <c:v>Bangladesh</c:v>
                </c:pt>
                <c:pt idx="9">
                  <c:v>India</c:v>
                </c:pt>
              </c:strCache>
            </c:strRef>
          </c:cat>
          <c:val>
            <c:numRef>
              <c:f>Analysis!$G$131:$G$140</c:f>
              <c:numCache>
                <c:formatCode>0.00</c:formatCode>
                <c:ptCount val="10"/>
                <c:pt idx="0">
                  <c:v>88</c:v>
                </c:pt>
                <c:pt idx="1">
                  <c:v>88</c:v>
                </c:pt>
                <c:pt idx="2">
                  <c:v>80</c:v>
                </c:pt>
                <c:pt idx="3">
                  <c:v>72</c:v>
                </c:pt>
                <c:pt idx="4">
                  <c:v>71</c:v>
                </c:pt>
                <c:pt idx="5">
                  <c:v>71</c:v>
                </c:pt>
                <c:pt idx="6">
                  <c:v>71</c:v>
                </c:pt>
                <c:pt idx="7">
                  <c:v>68</c:v>
                </c:pt>
                <c:pt idx="8">
                  <c:v>63</c:v>
                </c:pt>
                <c:pt idx="9">
                  <c:v>58</c:v>
                </c:pt>
              </c:numCache>
            </c:numRef>
          </c:val>
          <c:extLst>
            <c:ext xmlns:c16="http://schemas.microsoft.com/office/drawing/2014/chart" uri="{C3380CC4-5D6E-409C-BE32-E72D297353CC}">
              <c16:uniqueId val="{00000000-C336-495C-8974-FA2410F9A7A5}"/>
            </c:ext>
          </c:extLst>
        </c:ser>
        <c:dLbls>
          <c:dLblPos val="outEnd"/>
          <c:showLegendKey val="0"/>
          <c:showVal val="1"/>
          <c:showCatName val="0"/>
          <c:showSerName val="0"/>
          <c:showPercent val="0"/>
          <c:showBubbleSize val="0"/>
        </c:dLbls>
        <c:gapWidth val="50"/>
        <c:axId val="1004343439"/>
        <c:axId val="1849737743"/>
      </c:barChart>
      <c:catAx>
        <c:axId val="100434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spc="0" baseline="0">
                <a:solidFill>
                  <a:schemeClr val="tx1"/>
                </a:solidFill>
                <a:effectLst/>
                <a:latin typeface="+mn-lt"/>
                <a:ea typeface="+mn-ea"/>
                <a:cs typeface="+mn-cs"/>
              </a:defRPr>
            </a:pPr>
            <a:endParaRPr lang="en-US"/>
          </a:p>
        </c:txPr>
        <c:crossAx val="1849737743"/>
        <c:crosses val="autoZero"/>
        <c:auto val="1"/>
        <c:lblAlgn val="ctr"/>
        <c:lblOffset val="100"/>
        <c:noMultiLvlLbl val="0"/>
      </c:catAx>
      <c:valAx>
        <c:axId val="1849737743"/>
        <c:scaling>
          <c:orientation val="minMax"/>
        </c:scaling>
        <c:delete val="1"/>
        <c:axPos val="l"/>
        <c:numFmt formatCode="0.00" sourceLinked="1"/>
        <c:majorTickMark val="none"/>
        <c:minorTickMark val="none"/>
        <c:tickLblPos val="nextTo"/>
        <c:crossAx val="1004343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chemeClr val="tx1"/>
          </a:solidFill>
          <a:effectLst/>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solidFill>
                <a:effectLst/>
                <a:latin typeface="+mn-lt"/>
                <a:ea typeface="+mn-ea"/>
                <a:cs typeface="+mn-cs"/>
              </a:defRPr>
            </a:pPr>
            <a:r>
              <a:rPr lang="en-US" sz="1400"/>
              <a:t>Maiden Overs Bowled by Team</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effectLst/>
              <a:latin typeface="+mn-lt"/>
              <a:ea typeface="+mn-ea"/>
              <a:cs typeface="+mn-cs"/>
            </a:defRPr>
          </a:pPr>
          <a:endParaRPr lang="en-US"/>
        </a:p>
      </c:txPr>
    </c:title>
    <c:autoTitleDeleted val="0"/>
    <c:plotArea>
      <c:layout/>
      <c:barChart>
        <c:barDir val="col"/>
        <c:grouping val="clustered"/>
        <c:varyColors val="0"/>
        <c:ser>
          <c:idx val="0"/>
          <c:order val="0"/>
          <c:spPr>
            <a:solidFill>
              <a:srgbClr val="2E6DB4"/>
            </a:solidFill>
            <a:ln>
              <a:noFill/>
            </a:ln>
            <a:effectLst/>
          </c:spPr>
          <c:invertIfNegative val="0"/>
          <c:dPt>
            <c:idx val="0"/>
            <c:invertIfNegative val="0"/>
            <c:bubble3D val="0"/>
            <c:spPr>
              <a:solidFill>
                <a:srgbClr val="F2B134"/>
              </a:solidFill>
              <a:ln>
                <a:noFill/>
              </a:ln>
              <a:effectLst/>
            </c:spPr>
            <c:extLst>
              <c:ext xmlns:c16="http://schemas.microsoft.com/office/drawing/2014/chart" uri="{C3380CC4-5D6E-409C-BE32-E72D297353CC}">
                <c16:uniqueId val="{00000001-843C-4FA8-9F5F-D29529EEB2D6}"/>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Analysis!$F$148:$F$157</c:f>
              <c:strCache>
                <c:ptCount val="10"/>
                <c:pt idx="0">
                  <c:v>India</c:v>
                </c:pt>
                <c:pt idx="1">
                  <c:v>South Africa</c:v>
                </c:pt>
                <c:pt idx="2">
                  <c:v>New Zealand</c:v>
                </c:pt>
                <c:pt idx="3">
                  <c:v>England</c:v>
                </c:pt>
                <c:pt idx="4">
                  <c:v>Afghanistan</c:v>
                </c:pt>
                <c:pt idx="5">
                  <c:v>Australia</c:v>
                </c:pt>
                <c:pt idx="6">
                  <c:v>Bangladesh</c:v>
                </c:pt>
                <c:pt idx="7">
                  <c:v>Sri Lanka</c:v>
                </c:pt>
                <c:pt idx="8">
                  <c:v>Netherlands</c:v>
                </c:pt>
                <c:pt idx="9">
                  <c:v>Pakistan</c:v>
                </c:pt>
              </c:strCache>
            </c:strRef>
          </c:cat>
          <c:val>
            <c:numRef>
              <c:f>Analysis!$G$148:$G$157</c:f>
              <c:numCache>
                <c:formatCode>General</c:formatCode>
                <c:ptCount val="10"/>
                <c:pt idx="0">
                  <c:v>26</c:v>
                </c:pt>
                <c:pt idx="1">
                  <c:v>20</c:v>
                </c:pt>
                <c:pt idx="2">
                  <c:v>17</c:v>
                </c:pt>
                <c:pt idx="3">
                  <c:v>15</c:v>
                </c:pt>
                <c:pt idx="4">
                  <c:v>13</c:v>
                </c:pt>
                <c:pt idx="5">
                  <c:v>13</c:v>
                </c:pt>
                <c:pt idx="6">
                  <c:v>13</c:v>
                </c:pt>
                <c:pt idx="7">
                  <c:v>12</c:v>
                </c:pt>
                <c:pt idx="8">
                  <c:v>11</c:v>
                </c:pt>
                <c:pt idx="9">
                  <c:v>7</c:v>
                </c:pt>
              </c:numCache>
            </c:numRef>
          </c:val>
          <c:extLst>
            <c:ext xmlns:c16="http://schemas.microsoft.com/office/drawing/2014/chart" uri="{C3380CC4-5D6E-409C-BE32-E72D297353CC}">
              <c16:uniqueId val="{00000000-843C-4FA8-9F5F-D29529EEB2D6}"/>
            </c:ext>
          </c:extLst>
        </c:ser>
        <c:dLbls>
          <c:dLblPos val="outEnd"/>
          <c:showLegendKey val="0"/>
          <c:showVal val="1"/>
          <c:showCatName val="0"/>
          <c:showSerName val="0"/>
          <c:showPercent val="0"/>
          <c:showBubbleSize val="0"/>
        </c:dLbls>
        <c:gapWidth val="50"/>
        <c:axId val="1004339263"/>
        <c:axId val="1002684271"/>
      </c:barChart>
      <c:catAx>
        <c:axId val="100433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spc="0" baseline="0">
                <a:solidFill>
                  <a:schemeClr val="tx1"/>
                </a:solidFill>
                <a:effectLst/>
                <a:latin typeface="+mn-lt"/>
                <a:ea typeface="+mn-ea"/>
                <a:cs typeface="+mn-cs"/>
              </a:defRPr>
            </a:pPr>
            <a:endParaRPr lang="en-US"/>
          </a:p>
        </c:txPr>
        <c:crossAx val="1002684271"/>
        <c:crosses val="autoZero"/>
        <c:auto val="1"/>
        <c:lblAlgn val="ctr"/>
        <c:lblOffset val="100"/>
        <c:noMultiLvlLbl val="0"/>
      </c:catAx>
      <c:valAx>
        <c:axId val="1002684271"/>
        <c:scaling>
          <c:orientation val="minMax"/>
        </c:scaling>
        <c:delete val="1"/>
        <c:axPos val="l"/>
        <c:numFmt formatCode="General" sourceLinked="1"/>
        <c:majorTickMark val="none"/>
        <c:minorTickMark val="none"/>
        <c:tickLblPos val="nextTo"/>
        <c:crossAx val="1004339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chemeClr val="tx1"/>
          </a:solidFill>
          <a:effectLst/>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Toss Winner vs Match Winner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Analysis!$B$177</c:f>
              <c:strCache>
                <c:ptCount val="1"/>
                <c:pt idx="0">
                  <c:v>Toss Win</c:v>
                </c:pt>
              </c:strCache>
            </c:strRef>
          </c:tx>
          <c:spPr>
            <a:solidFill>
              <a:schemeClr val="accent1"/>
            </a:solidFill>
            <a:ln>
              <a:noFill/>
            </a:ln>
            <a:effectLst/>
          </c:spPr>
          <c:invertIfNegative val="0"/>
          <c:cat>
            <c:strRef>
              <c:f>Analysis!$A$178:$A$187</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Analysis!$B$178:$B$187</c:f>
              <c:numCache>
                <c:formatCode>General</c:formatCode>
                <c:ptCount val="10"/>
                <c:pt idx="0">
                  <c:v>5</c:v>
                </c:pt>
                <c:pt idx="1">
                  <c:v>5</c:v>
                </c:pt>
                <c:pt idx="2">
                  <c:v>5</c:v>
                </c:pt>
                <c:pt idx="3">
                  <c:v>7</c:v>
                </c:pt>
                <c:pt idx="4">
                  <c:v>5</c:v>
                </c:pt>
                <c:pt idx="5">
                  <c:v>5</c:v>
                </c:pt>
                <c:pt idx="6">
                  <c:v>5</c:v>
                </c:pt>
                <c:pt idx="7">
                  <c:v>4</c:v>
                </c:pt>
                <c:pt idx="8">
                  <c:v>3</c:v>
                </c:pt>
                <c:pt idx="9">
                  <c:v>4</c:v>
                </c:pt>
              </c:numCache>
            </c:numRef>
          </c:val>
          <c:extLst>
            <c:ext xmlns:c16="http://schemas.microsoft.com/office/drawing/2014/chart" uri="{C3380CC4-5D6E-409C-BE32-E72D297353CC}">
              <c16:uniqueId val="{00000000-209D-4654-9163-5018C4B9C152}"/>
            </c:ext>
          </c:extLst>
        </c:ser>
        <c:ser>
          <c:idx val="1"/>
          <c:order val="1"/>
          <c:tx>
            <c:strRef>
              <c:f>Analysis!$C$177</c:f>
              <c:strCache>
                <c:ptCount val="1"/>
                <c:pt idx="0">
                  <c:v>Toss &amp; Match Win</c:v>
                </c:pt>
              </c:strCache>
            </c:strRef>
          </c:tx>
          <c:spPr>
            <a:solidFill>
              <a:schemeClr val="accent2"/>
            </a:solidFill>
            <a:ln>
              <a:noFill/>
            </a:ln>
            <a:effectLst/>
          </c:spPr>
          <c:invertIfNegative val="0"/>
          <c:cat>
            <c:strRef>
              <c:f>Analysis!$A$178:$A$187</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Analysis!$C$178:$C$187</c:f>
              <c:numCache>
                <c:formatCode>General</c:formatCode>
                <c:ptCount val="10"/>
                <c:pt idx="0">
                  <c:v>1</c:v>
                </c:pt>
                <c:pt idx="1">
                  <c:v>3</c:v>
                </c:pt>
                <c:pt idx="2">
                  <c:v>2</c:v>
                </c:pt>
                <c:pt idx="3">
                  <c:v>2</c:v>
                </c:pt>
                <c:pt idx="4">
                  <c:v>5</c:v>
                </c:pt>
                <c:pt idx="5">
                  <c:v>1</c:v>
                </c:pt>
                <c:pt idx="6">
                  <c:v>3</c:v>
                </c:pt>
                <c:pt idx="7">
                  <c:v>1</c:v>
                </c:pt>
                <c:pt idx="8">
                  <c:v>1</c:v>
                </c:pt>
                <c:pt idx="9">
                  <c:v>0</c:v>
                </c:pt>
              </c:numCache>
            </c:numRef>
          </c:val>
          <c:extLst>
            <c:ext xmlns:c16="http://schemas.microsoft.com/office/drawing/2014/chart" uri="{C3380CC4-5D6E-409C-BE32-E72D297353CC}">
              <c16:uniqueId val="{00000001-209D-4654-9163-5018C4B9C152}"/>
            </c:ext>
          </c:extLst>
        </c:ser>
        <c:dLbls>
          <c:showLegendKey val="0"/>
          <c:showVal val="0"/>
          <c:showCatName val="0"/>
          <c:showSerName val="0"/>
          <c:showPercent val="0"/>
          <c:showBubbleSize val="0"/>
        </c:dLbls>
        <c:gapWidth val="70"/>
        <c:overlap val="-6"/>
        <c:axId val="1316601167"/>
        <c:axId val="1002745711"/>
      </c:barChart>
      <c:catAx>
        <c:axId val="131660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745711"/>
        <c:crosses val="autoZero"/>
        <c:auto val="1"/>
        <c:lblAlgn val="ctr"/>
        <c:lblOffset val="100"/>
        <c:noMultiLvlLbl val="0"/>
      </c:catAx>
      <c:valAx>
        <c:axId val="10027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601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Wins by Team: Runs vs Wickets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B1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Analysis!$B$207:$B$208</c:f>
              <c:strCache>
                <c:ptCount val="1"/>
                <c:pt idx="0">
                  <c:v>Runs</c:v>
                </c:pt>
              </c:strCache>
            </c:strRef>
          </c:tx>
          <c:spPr>
            <a:solidFill>
              <a:srgbClr val="2E6DB4"/>
            </a:solidFill>
            <a:ln>
              <a:noFill/>
            </a:ln>
            <a:effectLst/>
          </c:spPr>
          <c:invertIfNegative val="0"/>
          <c:cat>
            <c:strRef>
              <c:f>Analysis!$A$209:$A$218</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Analysis!$B$209:$B$218</c:f>
              <c:numCache>
                <c:formatCode>General</c:formatCode>
                <c:ptCount val="10"/>
                <c:pt idx="0">
                  <c:v>1</c:v>
                </c:pt>
                <c:pt idx="1">
                  <c:v>4</c:v>
                </c:pt>
                <c:pt idx="2">
                  <c:v>0</c:v>
                </c:pt>
                <c:pt idx="3">
                  <c:v>3</c:v>
                </c:pt>
                <c:pt idx="4">
                  <c:v>5</c:v>
                </c:pt>
                <c:pt idx="5">
                  <c:v>2</c:v>
                </c:pt>
                <c:pt idx="6">
                  <c:v>2</c:v>
                </c:pt>
                <c:pt idx="7">
                  <c:v>1</c:v>
                </c:pt>
                <c:pt idx="8">
                  <c:v>5</c:v>
                </c:pt>
                <c:pt idx="9">
                  <c:v>0</c:v>
                </c:pt>
              </c:numCache>
            </c:numRef>
          </c:val>
          <c:extLst>
            <c:ext xmlns:c16="http://schemas.microsoft.com/office/drawing/2014/chart" uri="{C3380CC4-5D6E-409C-BE32-E72D297353CC}">
              <c16:uniqueId val="{00000000-230F-4BB5-8685-1213F5A80348}"/>
            </c:ext>
          </c:extLst>
        </c:ser>
        <c:ser>
          <c:idx val="1"/>
          <c:order val="1"/>
          <c:tx>
            <c:strRef>
              <c:f>Analysis!$C$207:$C$208</c:f>
              <c:strCache>
                <c:ptCount val="1"/>
                <c:pt idx="0">
                  <c:v>Runs (DLS) Method</c:v>
                </c:pt>
              </c:strCache>
            </c:strRef>
          </c:tx>
          <c:spPr>
            <a:solidFill>
              <a:srgbClr val="F2B134"/>
            </a:solidFill>
            <a:ln>
              <a:noFill/>
            </a:ln>
            <a:effectLst/>
          </c:spPr>
          <c:invertIfNegative val="0"/>
          <c:cat>
            <c:strRef>
              <c:f>Analysis!$A$209:$A$218</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Analysis!$C$209:$C$218</c:f>
              <c:numCache>
                <c:formatCode>General</c:formatCode>
                <c:ptCount val="10"/>
                <c:pt idx="6">
                  <c:v>0</c:v>
                </c:pt>
                <c:pt idx="7">
                  <c:v>1</c:v>
                </c:pt>
              </c:numCache>
            </c:numRef>
          </c:val>
          <c:extLst>
            <c:ext xmlns:c16="http://schemas.microsoft.com/office/drawing/2014/chart" uri="{C3380CC4-5D6E-409C-BE32-E72D297353CC}">
              <c16:uniqueId val="{00000002-17E7-4993-9030-C5C2DE279F0B}"/>
            </c:ext>
          </c:extLst>
        </c:ser>
        <c:ser>
          <c:idx val="2"/>
          <c:order val="2"/>
          <c:tx>
            <c:strRef>
              <c:f>Analysis!$D$207:$D$208</c:f>
              <c:strCache>
                <c:ptCount val="1"/>
                <c:pt idx="0">
                  <c:v>Wickets</c:v>
                </c:pt>
              </c:strCache>
            </c:strRef>
          </c:tx>
          <c:spPr>
            <a:solidFill>
              <a:schemeClr val="accent6">
                <a:lumMod val="75000"/>
              </a:schemeClr>
            </a:solidFill>
            <a:ln>
              <a:noFill/>
            </a:ln>
            <a:effectLst/>
          </c:spPr>
          <c:invertIfNegative val="0"/>
          <c:cat>
            <c:strRef>
              <c:f>Analysis!$A$209:$A$218</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Analysis!$D$209:$D$218</c:f>
              <c:numCache>
                <c:formatCode>General</c:formatCode>
                <c:ptCount val="10"/>
                <c:pt idx="0">
                  <c:v>3</c:v>
                </c:pt>
                <c:pt idx="1">
                  <c:v>5</c:v>
                </c:pt>
                <c:pt idx="2">
                  <c:v>2</c:v>
                </c:pt>
                <c:pt idx="3">
                  <c:v>0</c:v>
                </c:pt>
                <c:pt idx="4">
                  <c:v>5</c:v>
                </c:pt>
                <c:pt idx="5">
                  <c:v>0</c:v>
                </c:pt>
                <c:pt idx="6">
                  <c:v>3</c:v>
                </c:pt>
                <c:pt idx="7">
                  <c:v>2</c:v>
                </c:pt>
                <c:pt idx="8">
                  <c:v>2</c:v>
                </c:pt>
                <c:pt idx="9">
                  <c:v>2</c:v>
                </c:pt>
              </c:numCache>
            </c:numRef>
          </c:val>
          <c:extLst>
            <c:ext xmlns:c16="http://schemas.microsoft.com/office/drawing/2014/chart" uri="{C3380CC4-5D6E-409C-BE32-E72D297353CC}">
              <c16:uniqueId val="{00000002-0606-4047-B4F5-E91C39F957DC}"/>
            </c:ext>
          </c:extLst>
        </c:ser>
        <c:dLbls>
          <c:showLegendKey val="0"/>
          <c:showVal val="0"/>
          <c:showCatName val="0"/>
          <c:showSerName val="0"/>
          <c:showPercent val="0"/>
          <c:showBubbleSize val="0"/>
        </c:dLbls>
        <c:gapWidth val="50"/>
        <c:overlap val="100"/>
        <c:axId val="2084337840"/>
        <c:axId val="2085012176"/>
      </c:barChart>
      <c:catAx>
        <c:axId val="20843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012176"/>
        <c:crosses val="autoZero"/>
        <c:auto val="1"/>
        <c:lblAlgn val="ctr"/>
        <c:lblOffset val="100"/>
        <c:noMultiLvlLbl val="0"/>
      </c:catAx>
      <c:valAx>
        <c:axId val="208501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3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Winning Margin Distribution -Runs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72609007197164E-2"/>
          <c:y val="0.1651556827126536"/>
          <c:w val="0.93905478198560566"/>
          <c:h val="0.73190246536342329"/>
        </c:manualLayout>
      </c:layout>
      <c:barChart>
        <c:barDir val="col"/>
        <c:grouping val="clustered"/>
        <c:varyColors val="0"/>
        <c:ser>
          <c:idx val="0"/>
          <c:order val="0"/>
          <c:tx>
            <c:strRef>
              <c:f>Analysis!$B$223</c:f>
              <c:strCache>
                <c:ptCount val="1"/>
                <c:pt idx="0">
                  <c:v>Total</c:v>
                </c:pt>
              </c:strCache>
            </c:strRef>
          </c:tx>
          <c:spPr>
            <a:solidFill>
              <a:srgbClr val="2E6D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Analysis!$A$224:$A$228</c:f>
              <c:strCache>
                <c:ptCount val="5"/>
                <c:pt idx="0">
                  <c:v>1-50</c:v>
                </c:pt>
                <c:pt idx="1">
                  <c:v>51-100</c:v>
                </c:pt>
                <c:pt idx="2">
                  <c:v>101-150</c:v>
                </c:pt>
                <c:pt idx="3">
                  <c:v>151-200</c:v>
                </c:pt>
                <c:pt idx="4">
                  <c:v>201+</c:v>
                </c:pt>
              </c:strCache>
            </c:strRef>
          </c:cat>
          <c:val>
            <c:numRef>
              <c:f>Analysis!$B$224:$B$228</c:f>
              <c:numCache>
                <c:formatCode>General</c:formatCode>
                <c:ptCount val="5"/>
                <c:pt idx="0">
                  <c:v>3</c:v>
                </c:pt>
                <c:pt idx="1">
                  <c:v>8</c:v>
                </c:pt>
                <c:pt idx="2">
                  <c:v>5</c:v>
                </c:pt>
                <c:pt idx="3">
                  <c:v>3</c:v>
                </c:pt>
                <c:pt idx="4">
                  <c:v>4</c:v>
                </c:pt>
              </c:numCache>
            </c:numRef>
          </c:val>
          <c:extLst>
            <c:ext xmlns:c16="http://schemas.microsoft.com/office/drawing/2014/chart" uri="{C3380CC4-5D6E-409C-BE32-E72D297353CC}">
              <c16:uniqueId val="{00000000-9227-4C20-A78A-F2FE99DAB3E6}"/>
            </c:ext>
          </c:extLst>
        </c:ser>
        <c:dLbls>
          <c:dLblPos val="outEnd"/>
          <c:showLegendKey val="0"/>
          <c:showVal val="1"/>
          <c:showCatName val="0"/>
          <c:showSerName val="0"/>
          <c:showPercent val="0"/>
          <c:showBubbleSize val="0"/>
        </c:dLbls>
        <c:gapWidth val="70"/>
        <c:overlap val="-27"/>
        <c:axId val="1406180272"/>
        <c:axId val="2085184496"/>
      </c:barChart>
      <c:catAx>
        <c:axId val="140618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84496"/>
        <c:crosses val="autoZero"/>
        <c:auto val="1"/>
        <c:lblAlgn val="ctr"/>
        <c:lblOffset val="100"/>
        <c:noMultiLvlLbl val="0"/>
      </c:catAx>
      <c:valAx>
        <c:axId val="2085184496"/>
        <c:scaling>
          <c:orientation val="minMax"/>
        </c:scaling>
        <c:delete val="1"/>
        <c:axPos val="l"/>
        <c:numFmt formatCode="General" sourceLinked="1"/>
        <c:majorTickMark val="none"/>
        <c:minorTickMark val="none"/>
        <c:tickLblPos val="nextTo"/>
        <c:crossAx val="1406180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cs typeface="Arial" panose="020B0604020202020204" pitchFamily="34" charset="0"/>
              </a:rPr>
              <a:t>Toss Decision: Bat vs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2B134"/>
          </a:solidFill>
          <a:ln>
            <a:noFill/>
          </a:ln>
          <a:effectLst/>
        </c:spPr>
      </c:pivotFmt>
      <c:pivotFmt>
        <c:idx val="2"/>
        <c:spPr>
          <a:solidFill>
            <a:srgbClr val="2E6DB4"/>
          </a:solidFill>
          <a:ln>
            <a:noFill/>
          </a:ln>
          <a:effectLst/>
        </c:spPr>
      </c:pivotFmt>
    </c:pivotFmts>
    <c:plotArea>
      <c:layout>
        <c:manualLayout>
          <c:layoutTarget val="inner"/>
          <c:xMode val="edge"/>
          <c:yMode val="edge"/>
          <c:x val="0.30899869304948863"/>
          <c:y val="0.11680692489377735"/>
          <c:w val="0.46641666666666665"/>
          <c:h val="0.77736111111111106"/>
        </c:manualLayout>
      </c:layout>
      <c:doughnutChart>
        <c:varyColors val="1"/>
        <c:ser>
          <c:idx val="0"/>
          <c:order val="0"/>
          <c:tx>
            <c:strRef>
              <c:f>Analysis!$B$164</c:f>
              <c:strCache>
                <c:ptCount val="1"/>
                <c:pt idx="0">
                  <c:v>Total</c:v>
                </c:pt>
              </c:strCache>
            </c:strRef>
          </c:tx>
          <c:dPt>
            <c:idx val="0"/>
            <c:bubble3D val="0"/>
            <c:spPr>
              <a:solidFill>
                <a:srgbClr val="2E6DB4"/>
              </a:solidFill>
              <a:ln>
                <a:noFill/>
              </a:ln>
              <a:effectLst/>
            </c:spPr>
            <c:extLst>
              <c:ext xmlns:c16="http://schemas.microsoft.com/office/drawing/2014/chart" uri="{C3380CC4-5D6E-409C-BE32-E72D297353CC}">
                <c16:uniqueId val="{00000001-794C-47BB-9CB6-7461A082394A}"/>
              </c:ext>
            </c:extLst>
          </c:dPt>
          <c:dPt>
            <c:idx val="1"/>
            <c:bubble3D val="0"/>
            <c:spPr>
              <a:solidFill>
                <a:srgbClr val="F2B134"/>
              </a:solidFill>
              <a:ln>
                <a:noFill/>
              </a:ln>
              <a:effectLst/>
            </c:spPr>
            <c:extLst>
              <c:ext xmlns:c16="http://schemas.microsoft.com/office/drawing/2014/chart" uri="{C3380CC4-5D6E-409C-BE32-E72D297353CC}">
                <c16:uniqueId val="{00000003-794C-47BB-9CB6-7461A082394A}"/>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Analysis!$A$165:$A$166</c:f>
              <c:strCache>
                <c:ptCount val="2"/>
                <c:pt idx="0">
                  <c:v>Bat</c:v>
                </c:pt>
                <c:pt idx="1">
                  <c:v>Field</c:v>
                </c:pt>
              </c:strCache>
            </c:strRef>
          </c:cat>
          <c:val>
            <c:numRef>
              <c:f>Analysis!$B$165:$B$166</c:f>
              <c:numCache>
                <c:formatCode>General</c:formatCode>
                <c:ptCount val="2"/>
                <c:pt idx="0">
                  <c:v>22</c:v>
                </c:pt>
                <c:pt idx="1">
                  <c:v>26</c:v>
                </c:pt>
              </c:numCache>
            </c:numRef>
          </c:val>
          <c:extLst>
            <c:ext xmlns:c16="http://schemas.microsoft.com/office/drawing/2014/chart" uri="{C3380CC4-5D6E-409C-BE32-E72D297353CC}">
              <c16:uniqueId val="{00000004-C749-4081-B824-AE2EFD3F37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44871089239270029"/>
          <c:y val="0.85574805443159008"/>
          <c:w val="0.1725654278108695"/>
          <c:h val="6.78539541422085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[CWC2023.xlsx]Analysis!PivotTable11</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Wins by Wickets – Margin Distribution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Analysis!$B$238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Analysis!$A$239:$A$241</c:f>
              <c:strCache>
                <c:ptCount val="3"/>
                <c:pt idx="0">
                  <c:v>1-3</c:v>
                </c:pt>
                <c:pt idx="1">
                  <c:v>4-6</c:v>
                </c:pt>
                <c:pt idx="2">
                  <c:v>7-10</c:v>
                </c:pt>
              </c:strCache>
            </c:strRef>
          </c:cat>
          <c:val>
            <c:numRef>
              <c:f>Analysis!$B$239:$B$241</c:f>
              <c:numCache>
                <c:formatCode>General</c:formatCode>
                <c:ptCount val="3"/>
                <c:pt idx="0">
                  <c:v>4</c:v>
                </c:pt>
                <c:pt idx="1">
                  <c:v>9</c:v>
                </c:pt>
                <c:pt idx="2">
                  <c:v>11</c:v>
                </c:pt>
              </c:numCache>
            </c:numRef>
          </c:val>
          <c:extLst>
            <c:ext xmlns:c16="http://schemas.microsoft.com/office/drawing/2014/chart" uri="{C3380CC4-5D6E-409C-BE32-E72D297353CC}">
              <c16:uniqueId val="{00000001-3F38-40DB-A4EB-7FCB1EBC6299}"/>
            </c:ext>
          </c:extLst>
        </c:ser>
        <c:dLbls>
          <c:dLblPos val="outEnd"/>
          <c:showLegendKey val="0"/>
          <c:showVal val="1"/>
          <c:showCatName val="0"/>
          <c:showSerName val="0"/>
          <c:showPercent val="0"/>
          <c:showBubbleSize val="0"/>
        </c:dLbls>
        <c:gapWidth val="100"/>
        <c:axId val="204094895"/>
        <c:axId val="6365615"/>
      </c:barChart>
      <c:catAx>
        <c:axId val="20409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615"/>
        <c:crosses val="autoZero"/>
        <c:auto val="1"/>
        <c:lblAlgn val="ctr"/>
        <c:lblOffset val="100"/>
        <c:noMultiLvlLbl val="0"/>
      </c:catAx>
      <c:valAx>
        <c:axId val="6365615"/>
        <c:scaling>
          <c:orientation val="minMax"/>
        </c:scaling>
        <c:delete val="1"/>
        <c:axPos val="l"/>
        <c:numFmt formatCode="General" sourceLinked="1"/>
        <c:majorTickMark val="none"/>
        <c:minorTickMark val="none"/>
        <c:tickLblPos val="nextTo"/>
        <c:crossAx val="2040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Win Percentage by Team</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Analysis!$G$21</c:f>
              <c:strCache>
                <c:ptCount val="1"/>
                <c:pt idx="0">
                  <c:v>Wins</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B1AD-4A55-BB75-2003B93D13D1}"/>
              </c:ext>
            </c:extLst>
          </c:dPt>
          <c:dPt>
            <c:idx val="4"/>
            <c:invertIfNegative val="0"/>
            <c:bubble3D val="0"/>
            <c:spPr>
              <a:solidFill>
                <a:srgbClr val="F2B233"/>
              </a:solidFill>
              <a:ln>
                <a:noFill/>
              </a:ln>
              <a:effectLst/>
            </c:spPr>
            <c:extLst>
              <c:ext xmlns:c16="http://schemas.microsoft.com/office/drawing/2014/chart" uri="{C3380CC4-5D6E-409C-BE32-E72D297353CC}">
                <c16:uniqueId val="{00000002-F798-4435-8290-857C6CDE4D82}"/>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Analysis!$F$22:$F$31</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Analysis!$G$22:$G$31</c:f>
              <c:numCache>
                <c:formatCode>0.00%</c:formatCode>
                <c:ptCount val="10"/>
                <c:pt idx="0">
                  <c:v>0.44444444444444442</c:v>
                </c:pt>
                <c:pt idx="1">
                  <c:v>0.81818181818181823</c:v>
                </c:pt>
                <c:pt idx="2">
                  <c:v>0.22222222222222221</c:v>
                </c:pt>
                <c:pt idx="3">
                  <c:v>0.33333333333333331</c:v>
                </c:pt>
                <c:pt idx="4">
                  <c:v>0.90909090909090906</c:v>
                </c:pt>
                <c:pt idx="5">
                  <c:v>0.22222222222222221</c:v>
                </c:pt>
                <c:pt idx="6">
                  <c:v>0.5</c:v>
                </c:pt>
                <c:pt idx="7">
                  <c:v>0.44444444444444442</c:v>
                </c:pt>
                <c:pt idx="8">
                  <c:v>0.7</c:v>
                </c:pt>
                <c:pt idx="9">
                  <c:v>0.22222222222222221</c:v>
                </c:pt>
              </c:numCache>
            </c:numRef>
          </c:val>
          <c:extLst>
            <c:ext xmlns:c16="http://schemas.microsoft.com/office/drawing/2014/chart" uri="{C3380CC4-5D6E-409C-BE32-E72D297353CC}">
              <c16:uniqueId val="{00000000-B1AD-4A55-BB75-2003B93D13D1}"/>
            </c:ext>
          </c:extLst>
        </c:ser>
        <c:dLbls>
          <c:dLblPos val="outEnd"/>
          <c:showLegendKey val="0"/>
          <c:showVal val="1"/>
          <c:showCatName val="0"/>
          <c:showSerName val="0"/>
          <c:showPercent val="0"/>
          <c:showBubbleSize val="0"/>
        </c:dLbls>
        <c:gapWidth val="50"/>
        <c:axId val="584597712"/>
        <c:axId val="99221840"/>
      </c:barChart>
      <c:catAx>
        <c:axId val="5845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221840"/>
        <c:crosses val="autoZero"/>
        <c:auto val="1"/>
        <c:lblAlgn val="ctr"/>
        <c:lblOffset val="100"/>
        <c:noMultiLvlLbl val="0"/>
      </c:catAx>
      <c:valAx>
        <c:axId val="99221840"/>
        <c:scaling>
          <c:orientation val="minMax"/>
        </c:scaling>
        <c:delete val="1"/>
        <c:axPos val="l"/>
        <c:numFmt formatCode="0.00%" sourceLinked="1"/>
        <c:majorTickMark val="none"/>
        <c:minorTickMark val="none"/>
        <c:tickLblPos val="nextTo"/>
        <c:crossAx val="58459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Matches Played</a:t>
            </a:r>
            <a:r>
              <a:rPr lang="en-US" b="1" baseline="0">
                <a:solidFill>
                  <a:schemeClr val="tx1"/>
                </a:solidFill>
              </a:rPr>
              <a:t> by Team</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Analysis!$G$37</c:f>
              <c:strCache>
                <c:ptCount val="1"/>
                <c:pt idx="0">
                  <c:v>Played</c:v>
                </c:pt>
              </c:strCache>
            </c:strRef>
          </c:tx>
          <c:spPr>
            <a:solidFill>
              <a:srgbClr val="2E6DB4"/>
            </a:solidFill>
            <a:ln>
              <a:noFill/>
            </a:ln>
            <a:effectLst/>
          </c:spPr>
          <c:invertIfNegative val="0"/>
          <c:dPt>
            <c:idx val="0"/>
            <c:invertIfNegative val="0"/>
            <c:bubble3D val="0"/>
            <c:spPr>
              <a:solidFill>
                <a:srgbClr val="F2B134"/>
              </a:solidFill>
              <a:ln>
                <a:noFill/>
              </a:ln>
              <a:effectLst/>
            </c:spPr>
            <c:extLst>
              <c:ext xmlns:c16="http://schemas.microsoft.com/office/drawing/2014/chart" uri="{C3380CC4-5D6E-409C-BE32-E72D297353CC}">
                <c16:uniqueId val="{00000001-BFB5-4C68-A23F-1954ADFDA2A8}"/>
              </c:ext>
            </c:extLst>
          </c:dPt>
          <c:dPt>
            <c:idx val="1"/>
            <c:invertIfNegative val="0"/>
            <c:bubble3D val="0"/>
            <c:spPr>
              <a:solidFill>
                <a:srgbClr val="F2B134"/>
              </a:solidFill>
              <a:ln>
                <a:noFill/>
              </a:ln>
              <a:effectLst/>
            </c:spPr>
            <c:extLst>
              <c:ext xmlns:c16="http://schemas.microsoft.com/office/drawing/2014/chart" uri="{C3380CC4-5D6E-409C-BE32-E72D297353CC}">
                <c16:uniqueId val="{00000002-BFB5-4C68-A23F-1954ADFDA2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Analysis!$F$38:$F$47</c:f>
              <c:strCache>
                <c:ptCount val="10"/>
                <c:pt idx="0">
                  <c:v>Australia</c:v>
                </c:pt>
                <c:pt idx="1">
                  <c:v>India</c:v>
                </c:pt>
                <c:pt idx="2">
                  <c:v>New Zealand</c:v>
                </c:pt>
                <c:pt idx="3">
                  <c:v>South Africa</c:v>
                </c:pt>
                <c:pt idx="4">
                  <c:v>Afghanistan</c:v>
                </c:pt>
                <c:pt idx="5">
                  <c:v>Bangladesh</c:v>
                </c:pt>
                <c:pt idx="6">
                  <c:v>England</c:v>
                </c:pt>
                <c:pt idx="7">
                  <c:v>Netherlands</c:v>
                </c:pt>
                <c:pt idx="8">
                  <c:v>Pakistan</c:v>
                </c:pt>
                <c:pt idx="9">
                  <c:v>Sri Lanka</c:v>
                </c:pt>
              </c:strCache>
            </c:strRef>
          </c:cat>
          <c:val>
            <c:numRef>
              <c:f>Analysis!$G$38:$G$47</c:f>
              <c:numCache>
                <c:formatCode>General</c:formatCode>
                <c:ptCount val="10"/>
                <c:pt idx="0">
                  <c:v>11</c:v>
                </c:pt>
                <c:pt idx="1">
                  <c:v>11</c:v>
                </c:pt>
                <c:pt idx="2">
                  <c:v>10</c:v>
                </c:pt>
                <c:pt idx="3">
                  <c:v>10</c:v>
                </c:pt>
                <c:pt idx="4">
                  <c:v>9</c:v>
                </c:pt>
                <c:pt idx="5">
                  <c:v>9</c:v>
                </c:pt>
                <c:pt idx="6">
                  <c:v>9</c:v>
                </c:pt>
                <c:pt idx="7">
                  <c:v>9</c:v>
                </c:pt>
                <c:pt idx="8">
                  <c:v>9</c:v>
                </c:pt>
                <c:pt idx="9">
                  <c:v>9</c:v>
                </c:pt>
              </c:numCache>
            </c:numRef>
          </c:val>
          <c:extLst>
            <c:ext xmlns:c16="http://schemas.microsoft.com/office/drawing/2014/chart" uri="{C3380CC4-5D6E-409C-BE32-E72D297353CC}">
              <c16:uniqueId val="{00000000-BFB5-4C68-A23F-1954ADFDA2A8}"/>
            </c:ext>
          </c:extLst>
        </c:ser>
        <c:dLbls>
          <c:dLblPos val="outEnd"/>
          <c:showLegendKey val="0"/>
          <c:showVal val="1"/>
          <c:showCatName val="0"/>
          <c:showSerName val="0"/>
          <c:showPercent val="0"/>
          <c:showBubbleSize val="0"/>
        </c:dLbls>
        <c:gapWidth val="50"/>
        <c:axId val="968631616"/>
        <c:axId val="99271280"/>
      </c:barChart>
      <c:catAx>
        <c:axId val="9686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1280"/>
        <c:crosses val="autoZero"/>
        <c:auto val="1"/>
        <c:lblAlgn val="ctr"/>
        <c:lblOffset val="100"/>
        <c:noMultiLvlLbl val="0"/>
      </c:catAx>
      <c:valAx>
        <c:axId val="99271280"/>
        <c:scaling>
          <c:orientation val="minMax"/>
        </c:scaling>
        <c:delete val="1"/>
        <c:axPos val="l"/>
        <c:numFmt formatCode="General" sourceLinked="1"/>
        <c:majorTickMark val="none"/>
        <c:minorTickMark val="none"/>
        <c:tickLblPos val="nextTo"/>
        <c:crossAx val="96863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Toss Success Rate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0070C0"/>
            </a:solidFill>
            <a:ln>
              <a:noFill/>
            </a:ln>
            <a:effectLst/>
          </c:spPr>
          <c:invertIfNegative val="0"/>
          <c:dPt>
            <c:idx val="4"/>
            <c:invertIfNegative val="0"/>
            <c:bubble3D val="0"/>
            <c:spPr>
              <a:solidFill>
                <a:srgbClr val="F2B233"/>
              </a:solidFill>
              <a:ln>
                <a:noFill/>
              </a:ln>
              <a:effectLst/>
            </c:spPr>
            <c:extLst>
              <c:ext xmlns:c16="http://schemas.microsoft.com/office/drawing/2014/chart" uri="{C3380CC4-5D6E-409C-BE32-E72D297353CC}">
                <c16:uniqueId val="{00000001-3CFB-4F77-BBBC-2047C5DBD13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Analysis!$F$191:$F$200</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Analysis!$G$191:$G$200</c:f>
              <c:numCache>
                <c:formatCode>0.0%</c:formatCode>
                <c:ptCount val="10"/>
                <c:pt idx="0">
                  <c:v>0.2</c:v>
                </c:pt>
                <c:pt idx="1">
                  <c:v>0.6</c:v>
                </c:pt>
                <c:pt idx="2">
                  <c:v>0.4</c:v>
                </c:pt>
                <c:pt idx="3">
                  <c:v>0.2857142857142857</c:v>
                </c:pt>
                <c:pt idx="4">
                  <c:v>1</c:v>
                </c:pt>
                <c:pt idx="5">
                  <c:v>0.2</c:v>
                </c:pt>
                <c:pt idx="6">
                  <c:v>0.6</c:v>
                </c:pt>
                <c:pt idx="7">
                  <c:v>0.25</c:v>
                </c:pt>
                <c:pt idx="8">
                  <c:v>0.33333333333333331</c:v>
                </c:pt>
                <c:pt idx="9">
                  <c:v>0</c:v>
                </c:pt>
              </c:numCache>
            </c:numRef>
          </c:val>
          <c:extLst>
            <c:ext xmlns:c16="http://schemas.microsoft.com/office/drawing/2014/chart" uri="{C3380CC4-5D6E-409C-BE32-E72D297353CC}">
              <c16:uniqueId val="{00000000-3CFB-4F77-BBBC-2047C5DBD139}"/>
            </c:ext>
          </c:extLst>
        </c:ser>
        <c:dLbls>
          <c:dLblPos val="outEnd"/>
          <c:showLegendKey val="0"/>
          <c:showVal val="1"/>
          <c:showCatName val="0"/>
          <c:showSerName val="0"/>
          <c:showPercent val="0"/>
          <c:showBubbleSize val="0"/>
        </c:dLbls>
        <c:gapWidth val="70"/>
        <c:axId val="2094458192"/>
        <c:axId val="1338343760"/>
      </c:barChart>
      <c:catAx>
        <c:axId val="20944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38343760"/>
        <c:crosses val="autoZero"/>
        <c:auto val="1"/>
        <c:lblAlgn val="ctr"/>
        <c:lblOffset val="100"/>
        <c:noMultiLvlLbl val="0"/>
      </c:catAx>
      <c:valAx>
        <c:axId val="1338343760"/>
        <c:scaling>
          <c:orientation val="minMax"/>
        </c:scaling>
        <c:delete val="1"/>
        <c:axPos val="l"/>
        <c:numFmt formatCode="0.0%" sourceLinked="1"/>
        <c:majorTickMark val="none"/>
        <c:minorTickMark val="none"/>
        <c:tickLblPos val="nextTo"/>
        <c:crossAx val="2094458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2000" b="0"/>
            </a:pPr>
            <a:r>
              <a:rPr lang="en-US" sz="2000" b="0"/>
              <a:t>Matches Won by Team</a:t>
            </a:r>
          </a:p>
        </c:rich>
      </c:tx>
      <c:overlay val="0"/>
      <c:spPr>
        <a:noFill/>
        <a:ln w="0">
          <a:noFill/>
        </a:ln>
      </c:spPr>
    </c:title>
    <c:autoTitleDeleted val="0"/>
    <c:plotArea>
      <c:layout>
        <c:manualLayout>
          <c:layoutTarget val="inner"/>
          <c:xMode val="edge"/>
          <c:yMode val="edge"/>
          <c:x val="0.22998708628135564"/>
          <c:y val="0.18226524185008627"/>
          <c:w val="0.70359796269827757"/>
          <c:h val="0.78868850446862504"/>
        </c:manualLayout>
      </c:layout>
      <c:barChart>
        <c:barDir val="bar"/>
        <c:grouping val="clustered"/>
        <c:varyColors val="0"/>
        <c:ser>
          <c:idx val="0"/>
          <c:order val="0"/>
          <c:spPr>
            <a:solidFill>
              <a:srgbClr val="2E6DB4"/>
            </a:solidFill>
            <a:ln w="0">
              <a:solidFill>
                <a:srgbClr val="2E6DB4"/>
              </a:solidFill>
            </a:ln>
            <a:effectLst>
              <a:outerShdw blurRad="50800" dist="38100" dir="2700000" algn="tl" rotWithShape="0">
                <a:prstClr val="black">
                  <a:alpha val="40000"/>
                </a:prstClr>
              </a:outerShdw>
              <a:softEdge rad="0"/>
            </a:effectLst>
            <a:scene3d>
              <a:camera prst="orthographicFront"/>
              <a:lightRig rig="threePt" dir="t"/>
            </a:scene3d>
            <a:sp3d prstMaterial="dkEdge"/>
          </c:spPr>
          <c:invertIfNegative val="0"/>
          <c:dPt>
            <c:idx val="0"/>
            <c:invertIfNegative val="0"/>
            <c:bubble3D val="0"/>
            <c:spPr>
              <a:solidFill>
                <a:srgbClr val="F2B134"/>
              </a:solidFill>
              <a:ln w="0">
                <a:solidFill>
                  <a:srgbClr val="F2B134"/>
                </a:solidFill>
              </a:ln>
              <a:effectLst>
                <a:outerShdw blurRad="50800" dist="38100" dir="2700000" algn="tl" rotWithShape="0">
                  <a:prstClr val="black">
                    <a:alpha val="40000"/>
                  </a:prstClr>
                </a:outerShdw>
                <a:softEdge rad="0"/>
              </a:effectLst>
              <a:scene3d>
                <a:camera prst="orthographicFront"/>
                <a:lightRig rig="threePt" dir="t"/>
              </a:scene3d>
              <a:sp3d prstMaterial="dkEdge"/>
            </c:spPr>
            <c:extLst>
              <c:ext xmlns:c16="http://schemas.microsoft.com/office/drawing/2014/chart" uri="{C3380CC4-5D6E-409C-BE32-E72D297353CC}">
                <c16:uniqueId val="{00000001-7969-4423-9F7F-E3EB153D8E3D}"/>
              </c:ext>
            </c:extLst>
          </c:dPt>
          <c:dLbls>
            <c:dLbl>
              <c:idx val="0"/>
              <c:spPr/>
              <c:txPr>
                <a:bodyPr/>
                <a:lstStyle/>
                <a:p>
                  <a:pPr>
                    <a:defRPr sz="1400"/>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969-4423-9F7F-E3EB153D8E3D}"/>
                </c:ext>
              </c:extLst>
            </c:dLbl>
            <c:spPr>
              <a:noFill/>
              <a:ln>
                <a:noFill/>
              </a:ln>
              <a:effectLst/>
            </c:spPr>
            <c:txPr>
              <a:bodyPr/>
              <a:lstStyle/>
              <a:p>
                <a:pPr>
                  <a:defRPr sz="1400"/>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Analysis!$F$7:$F$16</c:f>
              <c:strCache>
                <c:ptCount val="10"/>
                <c:pt idx="0">
                  <c:v>India</c:v>
                </c:pt>
                <c:pt idx="1">
                  <c:v>Australia</c:v>
                </c:pt>
                <c:pt idx="2">
                  <c:v>South Africa</c:v>
                </c:pt>
                <c:pt idx="3">
                  <c:v>New Zealand</c:v>
                </c:pt>
                <c:pt idx="4">
                  <c:v>Afghanistan</c:v>
                </c:pt>
                <c:pt idx="5">
                  <c:v>Pakistan</c:v>
                </c:pt>
                <c:pt idx="6">
                  <c:v>England</c:v>
                </c:pt>
                <c:pt idx="7">
                  <c:v>Bangladesh</c:v>
                </c:pt>
                <c:pt idx="8">
                  <c:v>Netherlands</c:v>
                </c:pt>
                <c:pt idx="9">
                  <c:v>Sri Lanka</c:v>
                </c:pt>
              </c:strCache>
            </c:strRef>
          </c:cat>
          <c:val>
            <c:numRef>
              <c:f>Analysis!$G$7:$G$16</c:f>
              <c:numCache>
                <c:formatCode>General</c:formatCode>
                <c:ptCount val="10"/>
                <c:pt idx="0">
                  <c:v>10</c:v>
                </c:pt>
                <c:pt idx="1">
                  <c:v>9</c:v>
                </c:pt>
                <c:pt idx="2">
                  <c:v>7</c:v>
                </c:pt>
                <c:pt idx="3">
                  <c:v>5</c:v>
                </c:pt>
                <c:pt idx="4">
                  <c:v>4</c:v>
                </c:pt>
                <c:pt idx="5">
                  <c:v>4</c:v>
                </c:pt>
                <c:pt idx="6">
                  <c:v>3</c:v>
                </c:pt>
                <c:pt idx="7">
                  <c:v>2</c:v>
                </c:pt>
                <c:pt idx="8">
                  <c:v>2</c:v>
                </c:pt>
                <c:pt idx="9">
                  <c:v>2</c:v>
                </c:pt>
              </c:numCache>
            </c:numRef>
          </c:val>
          <c:extLst>
            <c:ext xmlns:c16="http://schemas.microsoft.com/office/drawing/2014/chart" uri="{C3380CC4-5D6E-409C-BE32-E72D297353CC}">
              <c16:uniqueId val="{00000002-7969-4423-9F7F-E3EB153D8E3D}"/>
            </c:ext>
          </c:extLst>
        </c:ser>
        <c:dLbls>
          <c:showLegendKey val="0"/>
          <c:showVal val="0"/>
          <c:showCatName val="0"/>
          <c:showSerName val="0"/>
          <c:showPercent val="0"/>
          <c:showBubbleSize val="0"/>
        </c:dLbls>
        <c:gapWidth val="45"/>
        <c:axId val="40237892"/>
        <c:axId val="53865601"/>
      </c:barChart>
      <c:catAx>
        <c:axId val="40237892"/>
        <c:scaling>
          <c:orientation val="maxMin"/>
        </c:scaling>
        <c:delete val="0"/>
        <c:axPos val="l"/>
        <c:numFmt formatCode="General" sourceLinked="1"/>
        <c:majorTickMark val="none"/>
        <c:minorTickMark val="none"/>
        <c:tickLblPos val="nextTo"/>
        <c:spPr>
          <a:solidFill>
            <a:schemeClr val="bg1"/>
          </a:solidFill>
          <a:ln w="12600">
            <a:solidFill>
              <a:srgbClr val="C9D1DD"/>
            </a:solidFill>
            <a:round/>
          </a:ln>
        </c:spPr>
        <c:crossAx val="53865601"/>
        <c:crosses val="autoZero"/>
        <c:auto val="1"/>
        <c:lblAlgn val="ctr"/>
        <c:lblOffset val="100"/>
        <c:noMultiLvlLbl val="0"/>
      </c:catAx>
      <c:valAx>
        <c:axId val="53865601"/>
        <c:scaling>
          <c:orientation val="minMax"/>
          <c:min val="0"/>
        </c:scaling>
        <c:delete val="1"/>
        <c:axPos val="t"/>
        <c:numFmt formatCode="General" sourceLinked="1"/>
        <c:majorTickMark val="none"/>
        <c:minorTickMark val="none"/>
        <c:tickLblPos val="nextTo"/>
        <c:crossAx val="40237892"/>
        <c:crosses val="autoZero"/>
        <c:crossBetween val="between"/>
      </c:valAx>
      <c:spPr>
        <a:noFill/>
        <a:ln w="0">
          <a:noFill/>
        </a:ln>
      </c:spPr>
    </c:plotArea>
    <c:plotVisOnly val="1"/>
    <c:dispBlanksAs val="gap"/>
    <c:showDLblsOverMax val="1"/>
  </c:chart>
  <c:spPr>
    <a:solidFill>
      <a:srgbClr val="FFFFFF"/>
    </a:solidFill>
    <a:ln w="9360">
      <a:noFill/>
    </a:ln>
  </c:spPr>
  <c:txPr>
    <a:bodyPr/>
    <a:lstStyle/>
    <a:p>
      <a:pPr>
        <a:defRPr sz="16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Win Percentage by Team</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2.3239437908364084E-2"/>
          <c:y val="0.11637802391783025"/>
          <c:w val="0.95352112418327184"/>
          <c:h val="0.62314029308721297"/>
        </c:manualLayout>
      </c:layout>
      <c:barChart>
        <c:barDir val="col"/>
        <c:grouping val="clustered"/>
        <c:varyColors val="0"/>
        <c:ser>
          <c:idx val="0"/>
          <c:order val="0"/>
          <c:tx>
            <c:strRef>
              <c:f>Analysis!$G$21</c:f>
              <c:strCache>
                <c:ptCount val="1"/>
                <c:pt idx="0">
                  <c:v>Wins</c:v>
                </c:pt>
              </c:strCache>
            </c:strRef>
          </c:tx>
          <c:spPr>
            <a:solidFill>
              <a:srgbClr val="0070C0"/>
            </a:solidFill>
            <a:ln>
              <a:noFill/>
            </a:ln>
            <a:effectLst>
              <a:innerShdw blurRad="114300">
                <a:prstClr val="black"/>
              </a:innerShdw>
            </a:effectLst>
          </c:spPr>
          <c:invertIfNegative val="0"/>
          <c:dPt>
            <c:idx val="0"/>
            <c:invertIfNegative val="0"/>
            <c:bubble3D val="0"/>
            <c:spPr>
              <a:solidFill>
                <a:srgbClr val="0070C0"/>
              </a:solidFill>
              <a:ln>
                <a:noFill/>
              </a:ln>
              <a:effectLst>
                <a:innerShdw blurRad="114300">
                  <a:prstClr val="black"/>
                </a:innerShdw>
              </a:effectLst>
            </c:spPr>
            <c:extLst>
              <c:ext xmlns:c16="http://schemas.microsoft.com/office/drawing/2014/chart" uri="{C3380CC4-5D6E-409C-BE32-E72D297353CC}">
                <c16:uniqueId val="{00000001-9944-47D8-A4E6-C799A0260F8C}"/>
              </c:ext>
            </c:extLst>
          </c:dPt>
          <c:dPt>
            <c:idx val="4"/>
            <c:invertIfNegative val="0"/>
            <c:bubble3D val="0"/>
            <c:spPr>
              <a:solidFill>
                <a:srgbClr val="F2B233"/>
              </a:solidFill>
              <a:ln>
                <a:noFill/>
              </a:ln>
              <a:effectLst>
                <a:innerShdw blurRad="114300">
                  <a:prstClr val="black"/>
                </a:innerShdw>
              </a:effectLst>
            </c:spPr>
            <c:extLst>
              <c:ext xmlns:c16="http://schemas.microsoft.com/office/drawing/2014/chart" uri="{C3380CC4-5D6E-409C-BE32-E72D297353CC}">
                <c16:uniqueId val="{00000002-50F3-49E0-9F89-04A3E48D9476}"/>
              </c:ext>
            </c:extLst>
          </c:dPt>
          <c:dLbls>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Analysis!$F$22:$F$31</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Analysis!$G$22:$G$31</c:f>
              <c:numCache>
                <c:formatCode>0.00%</c:formatCode>
                <c:ptCount val="10"/>
                <c:pt idx="0">
                  <c:v>0.44444444444444442</c:v>
                </c:pt>
                <c:pt idx="1">
                  <c:v>0.81818181818181823</c:v>
                </c:pt>
                <c:pt idx="2">
                  <c:v>0.22222222222222221</c:v>
                </c:pt>
                <c:pt idx="3">
                  <c:v>0.33333333333333331</c:v>
                </c:pt>
                <c:pt idx="4">
                  <c:v>0.90909090909090906</c:v>
                </c:pt>
                <c:pt idx="5">
                  <c:v>0.22222222222222221</c:v>
                </c:pt>
                <c:pt idx="6">
                  <c:v>0.5</c:v>
                </c:pt>
                <c:pt idx="7">
                  <c:v>0.44444444444444442</c:v>
                </c:pt>
                <c:pt idx="8">
                  <c:v>0.7</c:v>
                </c:pt>
                <c:pt idx="9">
                  <c:v>0.22222222222222221</c:v>
                </c:pt>
              </c:numCache>
            </c:numRef>
          </c:val>
          <c:extLst>
            <c:ext xmlns:c16="http://schemas.microsoft.com/office/drawing/2014/chart" uri="{C3380CC4-5D6E-409C-BE32-E72D297353CC}">
              <c16:uniqueId val="{00000002-9944-47D8-A4E6-C799A0260F8C}"/>
            </c:ext>
          </c:extLst>
        </c:ser>
        <c:dLbls>
          <c:dLblPos val="outEnd"/>
          <c:showLegendKey val="0"/>
          <c:showVal val="1"/>
          <c:showCatName val="0"/>
          <c:showSerName val="0"/>
          <c:showPercent val="0"/>
          <c:showBubbleSize val="0"/>
        </c:dLbls>
        <c:gapWidth val="50"/>
        <c:axId val="584597712"/>
        <c:axId val="99221840"/>
      </c:barChart>
      <c:catAx>
        <c:axId val="5845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221840"/>
        <c:crosses val="autoZero"/>
        <c:auto val="1"/>
        <c:lblAlgn val="ctr"/>
        <c:lblOffset val="100"/>
        <c:noMultiLvlLbl val="0"/>
      </c:catAx>
      <c:valAx>
        <c:axId val="99221840"/>
        <c:scaling>
          <c:orientation val="minMax"/>
        </c:scaling>
        <c:delete val="1"/>
        <c:axPos val="l"/>
        <c:numFmt formatCode="0.00%" sourceLinked="1"/>
        <c:majorTickMark val="none"/>
        <c:minorTickMark val="none"/>
        <c:tickLblPos val="nextTo"/>
        <c:crossAx val="58459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2000" b="0">
                <a:solidFill>
                  <a:schemeClr val="tx1"/>
                </a:solidFill>
                <a:latin typeface="Arial" panose="020B0604020202020204" pitchFamily="34" charset="0"/>
                <a:cs typeface="Arial" panose="020B0604020202020204" pitchFamily="34" charset="0"/>
              </a:rPr>
              <a:t>Matches Played</a:t>
            </a:r>
            <a:r>
              <a:rPr lang="en-US" sz="2000" b="0" baseline="0">
                <a:solidFill>
                  <a:schemeClr val="tx1"/>
                </a:solidFill>
                <a:latin typeface="Arial" panose="020B0604020202020204" pitchFamily="34" charset="0"/>
                <a:cs typeface="Arial" panose="020B0604020202020204" pitchFamily="34" charset="0"/>
              </a:rPr>
              <a:t> by Team</a:t>
            </a:r>
            <a:endParaRPr lang="en-US" sz="2000" b="0">
              <a:solidFill>
                <a:schemeClr val="tx1"/>
              </a:solidFill>
              <a:latin typeface="Arial" panose="020B0604020202020204" pitchFamily="34" charset="0"/>
              <a:cs typeface="Arial" panose="020B0604020202020204" pitchFamily="34" charset="0"/>
            </a:endParaRPr>
          </a:p>
        </c:rich>
      </c:tx>
      <c:layout>
        <c:manualLayout>
          <c:xMode val="edge"/>
          <c:yMode val="edge"/>
          <c:x val="0.38854834753600159"/>
          <c:y val="1.6434162093893416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2.738695146912613E-2"/>
          <c:y val="3.5238156267224409E-2"/>
          <c:w val="0.95911504709671469"/>
          <c:h val="0.71397117292685308"/>
        </c:manualLayout>
      </c:layout>
      <c:barChart>
        <c:barDir val="col"/>
        <c:grouping val="clustered"/>
        <c:varyColors val="0"/>
        <c:ser>
          <c:idx val="0"/>
          <c:order val="0"/>
          <c:tx>
            <c:strRef>
              <c:f>Analysis!$G$37</c:f>
              <c:strCache>
                <c:ptCount val="1"/>
                <c:pt idx="0">
                  <c:v>Played</c:v>
                </c:pt>
              </c:strCache>
            </c:strRef>
          </c:tx>
          <c:spPr>
            <a:solidFill>
              <a:srgbClr val="2E6DB4"/>
            </a:solidFill>
            <a:ln>
              <a:noFill/>
            </a:ln>
            <a:effectLst>
              <a:outerShdw blurRad="76200" dir="13500000" sy="23000" kx="1200000" algn="br" rotWithShape="0">
                <a:prstClr val="black">
                  <a:alpha val="20000"/>
                </a:prstClr>
              </a:outerShdw>
            </a:effectLst>
          </c:spPr>
          <c:invertIfNegative val="0"/>
          <c:dPt>
            <c:idx val="0"/>
            <c:invertIfNegative val="0"/>
            <c:bubble3D val="0"/>
            <c:spPr>
              <a:solidFill>
                <a:srgbClr val="F2B134"/>
              </a:soli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1-3315-405C-B14E-88E52489DDFB}"/>
              </c:ext>
            </c:extLst>
          </c:dPt>
          <c:dPt>
            <c:idx val="1"/>
            <c:invertIfNegative val="0"/>
            <c:bubble3D val="0"/>
            <c:spPr>
              <a:solidFill>
                <a:srgbClr val="F2B134"/>
              </a:soli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3-3315-405C-B14E-88E52489DDF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Analysis!$F$38:$F$47</c:f>
              <c:strCache>
                <c:ptCount val="10"/>
                <c:pt idx="0">
                  <c:v>Australia</c:v>
                </c:pt>
                <c:pt idx="1">
                  <c:v>India</c:v>
                </c:pt>
                <c:pt idx="2">
                  <c:v>New Zealand</c:v>
                </c:pt>
                <c:pt idx="3">
                  <c:v>South Africa</c:v>
                </c:pt>
                <c:pt idx="4">
                  <c:v>Afghanistan</c:v>
                </c:pt>
                <c:pt idx="5">
                  <c:v>Bangladesh</c:v>
                </c:pt>
                <c:pt idx="6">
                  <c:v>England</c:v>
                </c:pt>
                <c:pt idx="7">
                  <c:v>Netherlands</c:v>
                </c:pt>
                <c:pt idx="8">
                  <c:v>Pakistan</c:v>
                </c:pt>
                <c:pt idx="9">
                  <c:v>Sri Lanka</c:v>
                </c:pt>
              </c:strCache>
            </c:strRef>
          </c:cat>
          <c:val>
            <c:numRef>
              <c:f>Analysis!$G$38:$G$47</c:f>
              <c:numCache>
                <c:formatCode>General</c:formatCode>
                <c:ptCount val="10"/>
                <c:pt idx="0">
                  <c:v>11</c:v>
                </c:pt>
                <c:pt idx="1">
                  <c:v>11</c:v>
                </c:pt>
                <c:pt idx="2">
                  <c:v>10</c:v>
                </c:pt>
                <c:pt idx="3">
                  <c:v>10</c:v>
                </c:pt>
                <c:pt idx="4">
                  <c:v>9</c:v>
                </c:pt>
                <c:pt idx="5">
                  <c:v>9</c:v>
                </c:pt>
                <c:pt idx="6">
                  <c:v>9</c:v>
                </c:pt>
                <c:pt idx="7">
                  <c:v>9</c:v>
                </c:pt>
                <c:pt idx="8">
                  <c:v>9</c:v>
                </c:pt>
                <c:pt idx="9">
                  <c:v>9</c:v>
                </c:pt>
              </c:numCache>
            </c:numRef>
          </c:val>
          <c:extLst>
            <c:ext xmlns:c16="http://schemas.microsoft.com/office/drawing/2014/chart" uri="{C3380CC4-5D6E-409C-BE32-E72D297353CC}">
              <c16:uniqueId val="{00000004-3315-405C-B14E-88E52489DDFB}"/>
            </c:ext>
          </c:extLst>
        </c:ser>
        <c:dLbls>
          <c:dLblPos val="outEnd"/>
          <c:showLegendKey val="0"/>
          <c:showVal val="1"/>
          <c:showCatName val="0"/>
          <c:showSerName val="0"/>
          <c:showPercent val="0"/>
          <c:showBubbleSize val="0"/>
        </c:dLbls>
        <c:gapWidth val="50"/>
        <c:axId val="968631616"/>
        <c:axId val="99271280"/>
      </c:barChart>
      <c:catAx>
        <c:axId val="9686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271280"/>
        <c:crosses val="autoZero"/>
        <c:auto val="1"/>
        <c:lblAlgn val="ctr"/>
        <c:lblOffset val="100"/>
        <c:noMultiLvlLbl val="0"/>
      </c:catAx>
      <c:valAx>
        <c:axId val="99271280"/>
        <c:scaling>
          <c:orientation val="minMax"/>
        </c:scaling>
        <c:delete val="1"/>
        <c:axPos val="l"/>
        <c:numFmt formatCode="General" sourceLinked="1"/>
        <c:majorTickMark val="none"/>
        <c:minorTickMark val="none"/>
        <c:tickLblPos val="nextTo"/>
        <c:crossAx val="96863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solidFill>
                  <a:schemeClr val="tx1"/>
                </a:solidFill>
                <a:latin typeface="Arial" panose="020B0604020202020204" pitchFamily="34" charset="0"/>
                <a:cs typeface="Arial" panose="020B0604020202020204" pitchFamily="34" charset="0"/>
              </a:rPr>
              <a:t>Highest Score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tx>
            <c:strRef>
              <c:f>Analysis!$G$53</c:f>
              <c:strCache>
                <c:ptCount val="1"/>
                <c:pt idx="0">
                  <c:v>Highest Score</c:v>
                </c:pt>
              </c:strCache>
            </c:strRef>
          </c:tx>
          <c:spPr>
            <a:solidFill>
              <a:srgbClr val="2E6DB4"/>
            </a:solidFill>
            <a:ln>
              <a:noFill/>
            </a:ln>
            <a:effectLst>
              <a:outerShdw blurRad="50800" dist="38100" dir="2700000" algn="tl" rotWithShape="0">
                <a:prstClr val="black">
                  <a:alpha val="40000"/>
                </a:prstClr>
              </a:outerShdw>
            </a:effectLst>
          </c:spPr>
          <c:invertIfNegative val="1"/>
          <c:dPt>
            <c:idx val="0"/>
            <c:invertIfNegative val="1"/>
            <c:bubble3D val="0"/>
            <c:spPr>
              <a:solidFill>
                <a:srgbClr val="F2B13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E8B-4233-8B08-62C23FB0B120}"/>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Analysis!$F$54:$F$63</c:f>
              <c:strCache>
                <c:ptCount val="10"/>
                <c:pt idx="0">
                  <c:v>South Africa</c:v>
                </c:pt>
                <c:pt idx="1">
                  <c:v>India</c:v>
                </c:pt>
                <c:pt idx="2">
                  <c:v>New Zealand</c:v>
                </c:pt>
                <c:pt idx="3">
                  <c:v>Australia</c:v>
                </c:pt>
                <c:pt idx="4">
                  <c:v>England</c:v>
                </c:pt>
                <c:pt idx="5">
                  <c:v>Pakistan</c:v>
                </c:pt>
                <c:pt idx="6">
                  <c:v>Sri Lanka</c:v>
                </c:pt>
                <c:pt idx="7">
                  <c:v>Netherlands</c:v>
                </c:pt>
                <c:pt idx="8">
                  <c:v>Bangladesh</c:v>
                </c:pt>
                <c:pt idx="9">
                  <c:v>Afghanistan</c:v>
                </c:pt>
              </c:strCache>
            </c:strRef>
          </c:cat>
          <c:val>
            <c:numRef>
              <c:f>Analysis!$G$54:$G$63</c:f>
              <c:numCache>
                <c:formatCode>General</c:formatCode>
                <c:ptCount val="10"/>
                <c:pt idx="0">
                  <c:v>428</c:v>
                </c:pt>
                <c:pt idx="1">
                  <c:v>410</c:v>
                </c:pt>
                <c:pt idx="2">
                  <c:v>401</c:v>
                </c:pt>
                <c:pt idx="3">
                  <c:v>399</c:v>
                </c:pt>
                <c:pt idx="4">
                  <c:v>364</c:v>
                </c:pt>
                <c:pt idx="5">
                  <c:v>345</c:v>
                </c:pt>
                <c:pt idx="6">
                  <c:v>344</c:v>
                </c:pt>
                <c:pt idx="7">
                  <c:v>339</c:v>
                </c:pt>
                <c:pt idx="8">
                  <c:v>307</c:v>
                </c:pt>
                <c:pt idx="9">
                  <c:v>291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a:outerShdw blurRad="50800" dist="38100" dir="2700000" algn="tl" rotWithShape="0">
                      <a:prstClr val="black">
                        <a:alpha val="40000"/>
                      </a:prstClr>
                    </a:outerShdw>
                  </a:effectLst>
                </c14:spPr>
              </c14:invertSolidFillFmt>
            </c:ext>
            <c:ext xmlns:c16="http://schemas.microsoft.com/office/drawing/2014/chart" uri="{C3380CC4-5D6E-409C-BE32-E72D297353CC}">
              <c16:uniqueId val="{00000002-5E8B-4233-8B08-62C23FB0B120}"/>
            </c:ext>
          </c:extLst>
        </c:ser>
        <c:dLbls>
          <c:dLblPos val="outEnd"/>
          <c:showLegendKey val="0"/>
          <c:showVal val="1"/>
          <c:showCatName val="0"/>
          <c:showSerName val="0"/>
          <c:showPercent val="0"/>
          <c:showBubbleSize val="0"/>
        </c:dLbls>
        <c:gapWidth val="45"/>
        <c:axId val="1398303280"/>
        <c:axId val="2117848784"/>
      </c:barChart>
      <c:catAx>
        <c:axId val="13983032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117848784"/>
        <c:crosses val="autoZero"/>
        <c:auto val="1"/>
        <c:lblAlgn val="ctr"/>
        <c:lblOffset val="100"/>
        <c:noMultiLvlLbl val="0"/>
      </c:catAx>
      <c:valAx>
        <c:axId val="2117848784"/>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13983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6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solidFill>
                  <a:schemeClr val="tx1"/>
                </a:solidFill>
              </a:rPr>
              <a:t>Average Score by Team</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Analysis!$G$67</c:f>
              <c:strCache>
                <c:ptCount val="1"/>
                <c:pt idx="0">
                  <c:v>Avg Score</c:v>
                </c:pt>
              </c:strCache>
            </c:strRef>
          </c:tx>
          <c:spPr>
            <a:solidFill>
              <a:srgbClr val="2E6DB4"/>
            </a:solidFill>
            <a:ln>
              <a:noFill/>
            </a:ln>
            <a:effectLst>
              <a:innerShdw blurRad="63500" dist="50800" dir="16200000">
                <a:prstClr val="black">
                  <a:alpha val="50000"/>
                </a:prstClr>
              </a:innerShdw>
            </a:effectLst>
          </c:spPr>
          <c:invertIfNegative val="0"/>
          <c:dPt>
            <c:idx val="0"/>
            <c:invertIfNegative val="0"/>
            <c:bubble3D val="0"/>
            <c:spPr>
              <a:solidFill>
                <a:srgbClr val="F2B134"/>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1-0CA9-4DE5-9EA3-0FC9EFFA65B6}"/>
              </c:ext>
            </c:extLst>
          </c:dPt>
          <c:cat>
            <c:strRef>
              <c:f>Analysis!$F$68:$F$77</c:f>
              <c:strCache>
                <c:ptCount val="10"/>
                <c:pt idx="0">
                  <c:v>South Africa</c:v>
                </c:pt>
                <c:pt idx="1">
                  <c:v>India</c:v>
                </c:pt>
                <c:pt idx="2">
                  <c:v>New Zealand</c:v>
                </c:pt>
                <c:pt idx="3">
                  <c:v>Australia</c:v>
                </c:pt>
                <c:pt idx="4">
                  <c:v>Pakistan</c:v>
                </c:pt>
                <c:pt idx="5">
                  <c:v>Bangladesh</c:v>
                </c:pt>
                <c:pt idx="6">
                  <c:v>Afghanistan</c:v>
                </c:pt>
                <c:pt idx="7">
                  <c:v>Sri Lanka</c:v>
                </c:pt>
                <c:pt idx="8">
                  <c:v>England</c:v>
                </c:pt>
                <c:pt idx="9">
                  <c:v>Netherlands</c:v>
                </c:pt>
              </c:strCache>
            </c:strRef>
          </c:cat>
          <c:val>
            <c:numRef>
              <c:f>Analysis!$G$68:$G$77</c:f>
              <c:numCache>
                <c:formatCode>0.00</c:formatCode>
                <c:ptCount val="10"/>
                <c:pt idx="0">
                  <c:v>289.7</c:v>
                </c:pt>
                <c:pt idx="1">
                  <c:v>287.27272727272725</c:v>
                </c:pt>
                <c:pt idx="2">
                  <c:v>286.3</c:v>
                </c:pt>
                <c:pt idx="3">
                  <c:v>280.54545454545456</c:v>
                </c:pt>
                <c:pt idx="4">
                  <c:v>268.88888888888891</c:v>
                </c:pt>
                <c:pt idx="5">
                  <c:v>238</c:v>
                </c:pt>
                <c:pt idx="6">
                  <c:v>232.55555555555554</c:v>
                </c:pt>
                <c:pt idx="7">
                  <c:v>227.66666666666666</c:v>
                </c:pt>
                <c:pt idx="8">
                  <c:v>221.33333333333334</c:v>
                </c:pt>
                <c:pt idx="9">
                  <c:v>215.22222222222223</c:v>
                </c:pt>
              </c:numCache>
            </c:numRef>
          </c:val>
          <c:extLst>
            <c:ext xmlns:c16="http://schemas.microsoft.com/office/drawing/2014/chart" uri="{C3380CC4-5D6E-409C-BE32-E72D297353CC}">
              <c16:uniqueId val="{00000002-0CA9-4DE5-9EA3-0FC9EFFA65B6}"/>
            </c:ext>
          </c:extLst>
        </c:ser>
        <c:dLbls>
          <c:showLegendKey val="0"/>
          <c:showVal val="0"/>
          <c:showCatName val="0"/>
          <c:showSerName val="0"/>
          <c:showPercent val="0"/>
          <c:showBubbleSize val="0"/>
        </c:dLbls>
        <c:gapWidth val="45"/>
        <c:axId val="1398390048"/>
        <c:axId val="672611600"/>
      </c:barChart>
      <c:catAx>
        <c:axId val="13983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72611600"/>
        <c:crosses val="autoZero"/>
        <c:auto val="1"/>
        <c:lblAlgn val="ctr"/>
        <c:lblOffset val="100"/>
        <c:noMultiLvlLbl val="0"/>
      </c:catAx>
      <c:valAx>
        <c:axId val="672611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9839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sz="16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4s vs 6s by Team</a:t>
            </a:r>
          </a:p>
        </c:rich>
      </c:tx>
      <c:overlay val="0"/>
      <c:spPr>
        <a:noFill/>
        <a:ln>
          <a:noFill/>
        </a:ln>
        <a:effectLst/>
      </c:spPr>
      <c:txPr>
        <a:bodyPr rot="0" spcFirstLastPara="1" vertOverflow="ellipsis" vert="horz" wrap="square" anchor="ctr" anchorCtr="1"/>
        <a:lstStyle/>
        <a:p>
          <a:pPr algn="ctr" rtl="0">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2471502549598022E-2"/>
          <c:y val="0.17171296296296298"/>
          <c:w val="0.8895617545321538"/>
          <c:h val="0.47802529892096823"/>
        </c:manualLayout>
      </c:layout>
      <c:barChart>
        <c:barDir val="col"/>
        <c:grouping val="clustered"/>
        <c:varyColors val="0"/>
        <c:ser>
          <c:idx val="0"/>
          <c:order val="0"/>
          <c:tx>
            <c:strRef>
              <c:f>Analysis!$G$82</c:f>
              <c:strCache>
                <c:ptCount val="1"/>
                <c:pt idx="0">
                  <c:v>4s</c:v>
                </c:pt>
              </c:strCache>
            </c:strRef>
          </c:tx>
          <c:spPr>
            <a:solidFill>
              <a:schemeClr val="accent1"/>
            </a:solidFill>
            <a:ln>
              <a:noFill/>
            </a:ln>
            <a:effectLst>
              <a:outerShdw blurRad="50800" dist="38100" dir="13500000" algn="br" rotWithShape="0">
                <a:prstClr val="black">
                  <a:alpha val="40000"/>
                </a:prstClr>
              </a:outerShdw>
            </a:effectLst>
          </c:spPr>
          <c:invertIfNegative val="0"/>
          <c:cat>
            <c:strRef>
              <c:f>Analysis!$F$83:$F$92</c:f>
              <c:strCache>
                <c:ptCount val="10"/>
                <c:pt idx="0">
                  <c:v>Australia</c:v>
                </c:pt>
                <c:pt idx="1">
                  <c:v>India</c:v>
                </c:pt>
                <c:pt idx="2">
                  <c:v>New Zealand</c:v>
                </c:pt>
                <c:pt idx="3">
                  <c:v>South Africa</c:v>
                </c:pt>
                <c:pt idx="4">
                  <c:v>Pakistan</c:v>
                </c:pt>
                <c:pt idx="5">
                  <c:v>England</c:v>
                </c:pt>
                <c:pt idx="6">
                  <c:v>Sri Lanka</c:v>
                </c:pt>
                <c:pt idx="7">
                  <c:v>Bangladesh</c:v>
                </c:pt>
                <c:pt idx="8">
                  <c:v>Afghanistan</c:v>
                </c:pt>
                <c:pt idx="9">
                  <c:v>Netherlands</c:v>
                </c:pt>
              </c:strCache>
            </c:strRef>
          </c:cat>
          <c:val>
            <c:numRef>
              <c:f>Analysis!$G$83:$G$92</c:f>
              <c:numCache>
                <c:formatCode>General</c:formatCode>
                <c:ptCount val="10"/>
                <c:pt idx="0">
                  <c:v>287</c:v>
                </c:pt>
                <c:pt idx="1">
                  <c:v>277</c:v>
                </c:pt>
                <c:pt idx="2">
                  <c:v>266</c:v>
                </c:pt>
                <c:pt idx="3">
                  <c:v>242</c:v>
                </c:pt>
                <c:pt idx="4">
                  <c:v>228</c:v>
                </c:pt>
                <c:pt idx="5">
                  <c:v>208</c:v>
                </c:pt>
                <c:pt idx="6">
                  <c:v>203</c:v>
                </c:pt>
                <c:pt idx="7">
                  <c:v>188</c:v>
                </c:pt>
                <c:pt idx="8">
                  <c:v>178</c:v>
                </c:pt>
                <c:pt idx="9">
                  <c:v>164</c:v>
                </c:pt>
              </c:numCache>
            </c:numRef>
          </c:val>
          <c:extLst>
            <c:ext xmlns:c16="http://schemas.microsoft.com/office/drawing/2014/chart" uri="{C3380CC4-5D6E-409C-BE32-E72D297353CC}">
              <c16:uniqueId val="{00000000-7BDE-48D3-8491-B802C48926F6}"/>
            </c:ext>
          </c:extLst>
        </c:ser>
        <c:ser>
          <c:idx val="1"/>
          <c:order val="1"/>
          <c:tx>
            <c:strRef>
              <c:f>Analysis!$H$82</c:f>
              <c:strCache>
                <c:ptCount val="1"/>
                <c:pt idx="0">
                  <c:v>6s</c:v>
                </c:pt>
              </c:strCache>
            </c:strRef>
          </c:tx>
          <c:spPr>
            <a:solidFill>
              <a:schemeClr val="accent2"/>
            </a:solidFill>
            <a:ln>
              <a:noFill/>
            </a:ln>
            <a:effectLst>
              <a:outerShdw blurRad="50800" dist="38100" dir="13500000" algn="br" rotWithShape="0">
                <a:prstClr val="black">
                  <a:alpha val="40000"/>
                </a:prstClr>
              </a:outerShdw>
            </a:effectLst>
          </c:spPr>
          <c:invertIfNegative val="0"/>
          <c:cat>
            <c:strRef>
              <c:f>Analysis!$F$83:$F$92</c:f>
              <c:strCache>
                <c:ptCount val="10"/>
                <c:pt idx="0">
                  <c:v>Australia</c:v>
                </c:pt>
                <c:pt idx="1">
                  <c:v>India</c:v>
                </c:pt>
                <c:pt idx="2">
                  <c:v>New Zealand</c:v>
                </c:pt>
                <c:pt idx="3">
                  <c:v>South Africa</c:v>
                </c:pt>
                <c:pt idx="4">
                  <c:v>Pakistan</c:v>
                </c:pt>
                <c:pt idx="5">
                  <c:v>England</c:v>
                </c:pt>
                <c:pt idx="6">
                  <c:v>Sri Lanka</c:v>
                </c:pt>
                <c:pt idx="7">
                  <c:v>Bangladesh</c:v>
                </c:pt>
                <c:pt idx="8">
                  <c:v>Afghanistan</c:v>
                </c:pt>
                <c:pt idx="9">
                  <c:v>Netherlands</c:v>
                </c:pt>
              </c:strCache>
            </c:strRef>
          </c:cat>
          <c:val>
            <c:numRef>
              <c:f>Analysis!$H$83:$H$92</c:f>
              <c:numCache>
                <c:formatCode>General</c:formatCode>
                <c:ptCount val="10"/>
                <c:pt idx="0">
                  <c:v>97</c:v>
                </c:pt>
                <c:pt idx="1">
                  <c:v>92</c:v>
                </c:pt>
                <c:pt idx="2">
                  <c:v>82</c:v>
                </c:pt>
                <c:pt idx="3">
                  <c:v>99</c:v>
                </c:pt>
                <c:pt idx="4">
                  <c:v>62</c:v>
                </c:pt>
                <c:pt idx="5">
                  <c:v>49</c:v>
                </c:pt>
                <c:pt idx="6">
                  <c:v>45</c:v>
                </c:pt>
                <c:pt idx="7">
                  <c:v>43</c:v>
                </c:pt>
                <c:pt idx="8">
                  <c:v>42</c:v>
                </c:pt>
                <c:pt idx="9">
                  <c:v>33</c:v>
                </c:pt>
              </c:numCache>
            </c:numRef>
          </c:val>
          <c:extLst>
            <c:ext xmlns:c16="http://schemas.microsoft.com/office/drawing/2014/chart" uri="{C3380CC4-5D6E-409C-BE32-E72D297353CC}">
              <c16:uniqueId val="{00000001-7BDE-48D3-8491-B802C48926F6}"/>
            </c:ext>
          </c:extLst>
        </c:ser>
        <c:dLbls>
          <c:showLegendKey val="0"/>
          <c:showVal val="0"/>
          <c:showCatName val="0"/>
          <c:showSerName val="0"/>
          <c:showPercent val="0"/>
          <c:showBubbleSize val="0"/>
        </c:dLbls>
        <c:gapWidth val="50"/>
        <c:overlap val="-20"/>
        <c:axId val="1406329920"/>
        <c:axId val="672615440"/>
      </c:barChart>
      <c:catAx>
        <c:axId val="140632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72615440"/>
        <c:crosses val="autoZero"/>
        <c:auto val="1"/>
        <c:lblAlgn val="ctr"/>
        <c:lblOffset val="100"/>
        <c:noMultiLvlLbl val="0"/>
      </c:catAx>
      <c:valAx>
        <c:axId val="67261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0632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sz="16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solidFill>
                  <a:schemeClr val="tx1"/>
                </a:solidFill>
              </a:rPr>
              <a:t>Run Rate (runs per over)</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3.8390311021976459E-2"/>
          <c:y val="9.9312026558376537E-2"/>
          <c:w val="0.92321937795604703"/>
          <c:h val="0.63886886548581179"/>
        </c:manualLayout>
      </c:layout>
      <c:barChart>
        <c:barDir val="col"/>
        <c:grouping val="clustered"/>
        <c:varyColors val="0"/>
        <c:ser>
          <c:idx val="0"/>
          <c:order val="0"/>
          <c:spPr>
            <a:solidFill>
              <a:srgbClr val="0070C0"/>
            </a:solidFill>
            <a:ln>
              <a:noFill/>
            </a:ln>
            <a:effectLst>
              <a:innerShdw blurRad="63500" dist="50800" dir="18900000">
                <a:prstClr val="black">
                  <a:alpha val="50000"/>
                </a:prstClr>
              </a:innerShdw>
            </a:effectLst>
          </c:spPr>
          <c:invertIfNegative val="0"/>
          <c:dPt>
            <c:idx val="0"/>
            <c:invertIfNegative val="0"/>
            <c:bubble3D val="0"/>
            <c:spPr>
              <a:solidFill>
                <a:srgbClr val="0070C0"/>
              </a:solidFill>
              <a:ln w="28575" cap="rnd">
                <a:solidFill>
                  <a:schemeClr val="accent1"/>
                </a:solidFill>
                <a:round/>
              </a:ln>
              <a:effectLst>
                <a:innerShdw blurRad="63500" dist="50800" dir="18900000">
                  <a:prstClr val="black">
                    <a:alpha val="50000"/>
                  </a:prstClr>
                </a:innerShdw>
              </a:effectLst>
            </c:spPr>
            <c:extLst>
              <c:ext xmlns:c16="http://schemas.microsoft.com/office/drawing/2014/chart" uri="{C3380CC4-5D6E-409C-BE32-E72D297353CC}">
                <c16:uniqueId val="{00000001-72F8-4B2A-B05D-56376BC07D54}"/>
              </c:ext>
            </c:extLst>
          </c:dPt>
          <c:dPt>
            <c:idx val="9"/>
            <c:invertIfNegative val="0"/>
            <c:bubble3D val="0"/>
            <c:extLst>
              <c:ext xmlns:c16="http://schemas.microsoft.com/office/drawing/2014/chart" uri="{C3380CC4-5D6E-409C-BE32-E72D297353CC}">
                <c16:uniqueId val="{00000002-72F8-4B2A-B05D-56376BC07D54}"/>
              </c:ext>
            </c:extLst>
          </c:dPt>
          <c:dLbls>
            <c:dLbl>
              <c:idx val="0"/>
              <c:layout>
                <c:manualLayout>
                  <c:x val="-3.4802043510227282E-2"/>
                  <c:y val="-1.25647009700026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F8-4B2A-B05D-56376BC07D54}"/>
                </c:ext>
              </c:extLst>
            </c:dLbl>
            <c:dLbl>
              <c:idx val="1"/>
              <c:layout>
                <c:manualLayout>
                  <c:x val="-6.960408702045456E-3"/>
                  <c:y val="2.741420971309194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F8-4B2A-B05D-56376BC07D54}"/>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Analysis!$F$100:$F$109</c:f>
              <c:strCache>
                <c:ptCount val="10"/>
                <c:pt idx="0">
                  <c:v>India</c:v>
                </c:pt>
                <c:pt idx="1">
                  <c:v>New Zealand</c:v>
                </c:pt>
                <c:pt idx="2">
                  <c:v>South Africa</c:v>
                </c:pt>
                <c:pt idx="3">
                  <c:v>Australia</c:v>
                </c:pt>
                <c:pt idx="4">
                  <c:v>Pakistan</c:v>
                </c:pt>
                <c:pt idx="5">
                  <c:v>Sri Lanka</c:v>
                </c:pt>
                <c:pt idx="6">
                  <c:v>England</c:v>
                </c:pt>
                <c:pt idx="7">
                  <c:v>Bangladesh</c:v>
                </c:pt>
                <c:pt idx="8">
                  <c:v>Netherlands</c:v>
                </c:pt>
                <c:pt idx="9">
                  <c:v>Afghanistan</c:v>
                </c:pt>
              </c:strCache>
            </c:strRef>
          </c:cat>
          <c:val>
            <c:numRef>
              <c:f>Analysis!$G$100:$G$109</c:f>
              <c:numCache>
                <c:formatCode>0.0</c:formatCode>
                <c:ptCount val="10"/>
                <c:pt idx="0">
                  <c:v>6.373636363636364</c:v>
                </c:pt>
                <c:pt idx="1">
                  <c:v>6.1949999999999985</c:v>
                </c:pt>
                <c:pt idx="2">
                  <c:v>6.01</c:v>
                </c:pt>
                <c:pt idx="3">
                  <c:v>5.9899999999999984</c:v>
                </c:pt>
                <c:pt idx="4">
                  <c:v>5.9422222222222221</c:v>
                </c:pt>
                <c:pt idx="5">
                  <c:v>5.6966666666666672</c:v>
                </c:pt>
                <c:pt idx="6">
                  <c:v>5.677777777777778</c:v>
                </c:pt>
                <c:pt idx="7">
                  <c:v>5.4277777777777771</c:v>
                </c:pt>
                <c:pt idx="8">
                  <c:v>5.1244444444444452</c:v>
                </c:pt>
                <c:pt idx="9">
                  <c:v>5</c:v>
                </c:pt>
              </c:numCache>
            </c:numRef>
          </c:val>
          <c:extLst>
            <c:ext xmlns:c16="http://schemas.microsoft.com/office/drawing/2014/chart" uri="{C3380CC4-5D6E-409C-BE32-E72D297353CC}">
              <c16:uniqueId val="{00000003-72F8-4B2A-B05D-56376BC07D54}"/>
            </c:ext>
          </c:extLst>
        </c:ser>
        <c:dLbls>
          <c:dLblPos val="outEnd"/>
          <c:showLegendKey val="0"/>
          <c:showVal val="1"/>
          <c:showCatName val="0"/>
          <c:showSerName val="0"/>
          <c:showPercent val="0"/>
          <c:showBubbleSize val="0"/>
        </c:dLbls>
        <c:gapWidth val="70"/>
        <c:axId val="1406379568"/>
        <c:axId val="672586640"/>
      </c:barChart>
      <c:catAx>
        <c:axId val="140637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72586640"/>
        <c:crosses val="autoZero"/>
        <c:auto val="1"/>
        <c:lblAlgn val="ctr"/>
        <c:lblOffset val="100"/>
        <c:noMultiLvlLbl val="0"/>
      </c:catAx>
      <c:valAx>
        <c:axId val="672586640"/>
        <c:scaling>
          <c:orientation val="minMax"/>
        </c:scaling>
        <c:delete val="1"/>
        <c:axPos val="l"/>
        <c:majorGridlines>
          <c:spPr>
            <a:ln w="9525" cap="flat" cmpd="sng" algn="ctr">
              <a:noFill/>
              <a:round/>
            </a:ln>
            <a:effectLst/>
          </c:spPr>
        </c:majorGridlines>
        <c:numFmt formatCode="0.0" sourceLinked="1"/>
        <c:majorTickMark val="none"/>
        <c:minorTickMark val="none"/>
        <c:tickLblPos val="nextTo"/>
        <c:crossAx val="140637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6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0" i="0" u="none" strike="noStrike" kern="1200" spc="0" baseline="0">
                <a:solidFill>
                  <a:schemeClr val="tx1"/>
                </a:solidFill>
                <a:effectLst/>
                <a:latin typeface="Arial" panose="020B0604020202020204" pitchFamily="34" charset="0"/>
                <a:ea typeface="+mn-ea"/>
                <a:cs typeface="Arial" panose="020B0604020202020204" pitchFamily="34" charset="0"/>
              </a:defRPr>
            </a:pPr>
            <a:r>
              <a:rPr lang="en-US" sz="2000"/>
              <a:t>Wickets Taken by Team</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2E6DB4"/>
            </a:solidFill>
            <a:ln>
              <a:noFill/>
            </a:ln>
            <a:effectLst>
              <a:innerShdw blurRad="63500" dist="50800" dir="18900000">
                <a:prstClr val="black">
                  <a:alpha val="50000"/>
                </a:prstClr>
              </a:innerShdw>
            </a:effectLst>
          </c:spPr>
          <c:invertIfNegative val="0"/>
          <c:dPt>
            <c:idx val="0"/>
            <c:invertIfNegative val="0"/>
            <c:bubble3D val="0"/>
            <c:spPr>
              <a:solidFill>
                <a:srgbClr val="F2B134"/>
              </a:solidFill>
              <a:ln>
                <a:solidFill>
                  <a:srgbClr val="F2B134"/>
                </a:solidFill>
              </a:ln>
              <a:effectLst>
                <a:innerShdw blurRad="63500" dist="50800" dir="18900000">
                  <a:prstClr val="black">
                    <a:alpha val="50000"/>
                  </a:prstClr>
                </a:innerShdw>
              </a:effectLst>
            </c:spPr>
            <c:extLst>
              <c:ext xmlns:c16="http://schemas.microsoft.com/office/drawing/2014/chart" uri="{C3380CC4-5D6E-409C-BE32-E72D297353CC}">
                <c16:uniqueId val="{00000001-7793-4655-88E8-53232A060D8E}"/>
              </c:ext>
            </c:extLst>
          </c:dPt>
          <c:dLbls>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Analysis!$F$116:$F$125</c:f>
              <c:strCache>
                <c:ptCount val="10"/>
                <c:pt idx="0">
                  <c:v>India</c:v>
                </c:pt>
                <c:pt idx="1">
                  <c:v>South Africa</c:v>
                </c:pt>
                <c:pt idx="2">
                  <c:v>Australia</c:v>
                </c:pt>
                <c:pt idx="3">
                  <c:v>Netherlands</c:v>
                </c:pt>
                <c:pt idx="4">
                  <c:v>New Zealand</c:v>
                </c:pt>
                <c:pt idx="5">
                  <c:v>Bangladesh</c:v>
                </c:pt>
                <c:pt idx="6">
                  <c:v>England</c:v>
                </c:pt>
                <c:pt idx="7">
                  <c:v>Sri Lanka</c:v>
                </c:pt>
                <c:pt idx="8">
                  <c:v>Pakistan</c:v>
                </c:pt>
                <c:pt idx="9">
                  <c:v>Afghanistan</c:v>
                </c:pt>
              </c:strCache>
            </c:strRef>
          </c:cat>
          <c:val>
            <c:numRef>
              <c:f>Analysis!$G$116:$G$125</c:f>
              <c:numCache>
                <c:formatCode>General</c:formatCode>
                <c:ptCount val="10"/>
                <c:pt idx="0">
                  <c:v>100</c:v>
                </c:pt>
                <c:pt idx="1">
                  <c:v>90</c:v>
                </c:pt>
                <c:pt idx="2">
                  <c:v>87</c:v>
                </c:pt>
                <c:pt idx="3">
                  <c:v>74</c:v>
                </c:pt>
                <c:pt idx="4">
                  <c:v>68</c:v>
                </c:pt>
                <c:pt idx="5">
                  <c:v>67</c:v>
                </c:pt>
                <c:pt idx="6">
                  <c:v>67</c:v>
                </c:pt>
                <c:pt idx="7">
                  <c:v>62</c:v>
                </c:pt>
                <c:pt idx="8">
                  <c:v>61</c:v>
                </c:pt>
                <c:pt idx="9">
                  <c:v>54</c:v>
                </c:pt>
              </c:numCache>
            </c:numRef>
          </c:val>
          <c:extLst>
            <c:ext xmlns:c16="http://schemas.microsoft.com/office/drawing/2014/chart" uri="{C3380CC4-5D6E-409C-BE32-E72D297353CC}">
              <c16:uniqueId val="{00000002-7793-4655-88E8-53232A060D8E}"/>
            </c:ext>
          </c:extLst>
        </c:ser>
        <c:dLbls>
          <c:dLblPos val="outEnd"/>
          <c:showLegendKey val="0"/>
          <c:showVal val="1"/>
          <c:showCatName val="0"/>
          <c:showSerName val="0"/>
          <c:showPercent val="0"/>
          <c:showBubbleSize val="0"/>
        </c:dLbls>
        <c:gapWidth val="50"/>
        <c:axId val="812616319"/>
        <c:axId val="1849810223"/>
      </c:barChart>
      <c:catAx>
        <c:axId val="8126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crossAx val="1849810223"/>
        <c:crosses val="autoZero"/>
        <c:auto val="1"/>
        <c:lblAlgn val="ctr"/>
        <c:lblOffset val="100"/>
        <c:noMultiLvlLbl val="0"/>
      </c:catAx>
      <c:valAx>
        <c:axId val="184981022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12616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lgn="ctr" rtl="0">
        <a:defRPr lang="en-US" sz="14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0" i="0" u="none" strike="noStrike" kern="1200" spc="0" baseline="0">
                <a:solidFill>
                  <a:schemeClr val="tx1"/>
                </a:solidFill>
                <a:effectLst/>
                <a:latin typeface="Arial" panose="020B0604020202020204" pitchFamily="34" charset="0"/>
                <a:ea typeface="+mn-ea"/>
                <a:cs typeface="Arial" panose="020B0604020202020204" pitchFamily="34" charset="0"/>
              </a:defRPr>
            </a:pPr>
            <a:r>
              <a:rPr lang="en-US" sz="2000"/>
              <a:t>Wickets Lost by Team </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2E6DB4"/>
            </a:solidFill>
            <a:ln>
              <a:noFill/>
            </a:ln>
            <a:effectLst>
              <a:innerShdw blurRad="63500" dist="50800" dir="18900000">
                <a:prstClr val="black">
                  <a:alpha val="50000"/>
                </a:prstClr>
              </a:innerShdw>
            </a:effectLst>
          </c:spPr>
          <c:invertIfNegative val="0"/>
          <c:dPt>
            <c:idx val="0"/>
            <c:invertIfNegative val="0"/>
            <c:bubble3D val="0"/>
            <c:spPr>
              <a:solidFill>
                <a:srgbClr val="F2B134"/>
              </a:solidFill>
              <a:ln>
                <a:noFill/>
              </a:ln>
              <a:effectLst>
                <a:innerShdw blurRad="63500" dist="50800" dir="18900000">
                  <a:prstClr val="black">
                    <a:alpha val="50000"/>
                  </a:prstClr>
                </a:innerShdw>
              </a:effectLst>
            </c:spPr>
            <c:extLst>
              <c:ext xmlns:c16="http://schemas.microsoft.com/office/drawing/2014/chart" uri="{C3380CC4-5D6E-409C-BE32-E72D297353CC}">
                <c16:uniqueId val="{00000001-5499-4191-92BE-E4A6A4F5654A}"/>
              </c:ext>
            </c:extLst>
          </c:dPt>
          <c:dLbls>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Analysis!$F$131:$F$140</c:f>
              <c:strCache>
                <c:ptCount val="10"/>
                <c:pt idx="0">
                  <c:v>Australia</c:v>
                </c:pt>
                <c:pt idx="1">
                  <c:v>England</c:v>
                </c:pt>
                <c:pt idx="2">
                  <c:v>Netherlands</c:v>
                </c:pt>
                <c:pt idx="3">
                  <c:v>South Africa</c:v>
                </c:pt>
                <c:pt idx="4">
                  <c:v>New Zealand</c:v>
                </c:pt>
                <c:pt idx="5">
                  <c:v>Pakistan</c:v>
                </c:pt>
                <c:pt idx="6">
                  <c:v>Sri Lanka</c:v>
                </c:pt>
                <c:pt idx="7">
                  <c:v>Afghanistan</c:v>
                </c:pt>
                <c:pt idx="8">
                  <c:v>Bangladesh</c:v>
                </c:pt>
                <c:pt idx="9">
                  <c:v>India</c:v>
                </c:pt>
              </c:strCache>
            </c:strRef>
          </c:cat>
          <c:val>
            <c:numRef>
              <c:f>Analysis!$G$131:$G$140</c:f>
              <c:numCache>
                <c:formatCode>0.00</c:formatCode>
                <c:ptCount val="10"/>
                <c:pt idx="0">
                  <c:v>88</c:v>
                </c:pt>
                <c:pt idx="1">
                  <c:v>88</c:v>
                </c:pt>
                <c:pt idx="2">
                  <c:v>80</c:v>
                </c:pt>
                <c:pt idx="3">
                  <c:v>72</c:v>
                </c:pt>
                <c:pt idx="4">
                  <c:v>71</c:v>
                </c:pt>
                <c:pt idx="5">
                  <c:v>71</c:v>
                </c:pt>
                <c:pt idx="6">
                  <c:v>71</c:v>
                </c:pt>
                <c:pt idx="7">
                  <c:v>68</c:v>
                </c:pt>
                <c:pt idx="8">
                  <c:v>63</c:v>
                </c:pt>
                <c:pt idx="9">
                  <c:v>58</c:v>
                </c:pt>
              </c:numCache>
            </c:numRef>
          </c:val>
          <c:extLst>
            <c:ext xmlns:c16="http://schemas.microsoft.com/office/drawing/2014/chart" uri="{C3380CC4-5D6E-409C-BE32-E72D297353CC}">
              <c16:uniqueId val="{00000002-5499-4191-92BE-E4A6A4F5654A}"/>
            </c:ext>
          </c:extLst>
        </c:ser>
        <c:dLbls>
          <c:dLblPos val="outEnd"/>
          <c:showLegendKey val="0"/>
          <c:showVal val="1"/>
          <c:showCatName val="0"/>
          <c:showSerName val="0"/>
          <c:showPercent val="0"/>
          <c:showBubbleSize val="0"/>
        </c:dLbls>
        <c:gapWidth val="50"/>
        <c:axId val="1004343439"/>
        <c:axId val="1849737743"/>
      </c:barChart>
      <c:catAx>
        <c:axId val="100434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crossAx val="1849737743"/>
        <c:crosses val="autoZero"/>
        <c:auto val="1"/>
        <c:lblAlgn val="ctr"/>
        <c:lblOffset val="100"/>
        <c:noMultiLvlLbl val="0"/>
      </c:catAx>
      <c:valAx>
        <c:axId val="1849737743"/>
        <c:scaling>
          <c:orientation val="minMax"/>
        </c:scaling>
        <c:delete val="1"/>
        <c:axPos val="l"/>
        <c:numFmt formatCode="0.00" sourceLinked="1"/>
        <c:majorTickMark val="none"/>
        <c:minorTickMark val="none"/>
        <c:tickLblPos val="nextTo"/>
        <c:crossAx val="1004343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lgn="ctr" rtl="0">
        <a:defRPr lang="en-US" sz="14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0" i="0" u="none" strike="noStrike" kern="1200" spc="0" baseline="0">
                <a:solidFill>
                  <a:schemeClr val="tx1"/>
                </a:solidFill>
                <a:effectLst/>
                <a:latin typeface="Arial" panose="020B0604020202020204" pitchFamily="34" charset="0"/>
                <a:ea typeface="+mn-ea"/>
                <a:cs typeface="Arial" panose="020B0604020202020204" pitchFamily="34" charset="0"/>
              </a:defRPr>
            </a:pPr>
            <a:r>
              <a:rPr lang="en-US" sz="2000"/>
              <a:t>Maiden Overs Bowled by Team</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2E6DB4"/>
            </a:solidFill>
            <a:ln>
              <a:noFill/>
            </a:ln>
            <a:effectLst>
              <a:innerShdw blurRad="63500" dist="50800" dir="13500000">
                <a:prstClr val="black">
                  <a:alpha val="50000"/>
                </a:prstClr>
              </a:innerShdw>
            </a:effectLst>
          </c:spPr>
          <c:invertIfNegative val="0"/>
          <c:dPt>
            <c:idx val="0"/>
            <c:invertIfNegative val="0"/>
            <c:bubble3D val="0"/>
            <c:spPr>
              <a:solidFill>
                <a:srgbClr val="F2B134"/>
              </a:solidFill>
              <a:ln>
                <a:noFill/>
              </a:ln>
              <a:effectLst>
                <a:innerShdw blurRad="63500" dist="50800" dir="13500000">
                  <a:prstClr val="black">
                    <a:alpha val="50000"/>
                  </a:prstClr>
                </a:innerShdw>
              </a:effectLst>
            </c:spPr>
            <c:extLst>
              <c:ext xmlns:c16="http://schemas.microsoft.com/office/drawing/2014/chart" uri="{C3380CC4-5D6E-409C-BE32-E72D297353CC}">
                <c16:uniqueId val="{00000001-4B29-4FA4-A7F8-AE191FC20A06}"/>
              </c:ext>
            </c:extLst>
          </c:dPt>
          <c:dLbls>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Analysis!$F$148:$F$157</c:f>
              <c:strCache>
                <c:ptCount val="10"/>
                <c:pt idx="0">
                  <c:v>India</c:v>
                </c:pt>
                <c:pt idx="1">
                  <c:v>South Africa</c:v>
                </c:pt>
                <c:pt idx="2">
                  <c:v>New Zealand</c:v>
                </c:pt>
                <c:pt idx="3">
                  <c:v>England</c:v>
                </c:pt>
                <c:pt idx="4">
                  <c:v>Afghanistan</c:v>
                </c:pt>
                <c:pt idx="5">
                  <c:v>Australia</c:v>
                </c:pt>
                <c:pt idx="6">
                  <c:v>Bangladesh</c:v>
                </c:pt>
                <c:pt idx="7">
                  <c:v>Sri Lanka</c:v>
                </c:pt>
                <c:pt idx="8">
                  <c:v>Netherlands</c:v>
                </c:pt>
                <c:pt idx="9">
                  <c:v>Pakistan</c:v>
                </c:pt>
              </c:strCache>
            </c:strRef>
          </c:cat>
          <c:val>
            <c:numRef>
              <c:f>Analysis!$G$148:$G$157</c:f>
              <c:numCache>
                <c:formatCode>General</c:formatCode>
                <c:ptCount val="10"/>
                <c:pt idx="0">
                  <c:v>26</c:v>
                </c:pt>
                <c:pt idx="1">
                  <c:v>20</c:v>
                </c:pt>
                <c:pt idx="2">
                  <c:v>17</c:v>
                </c:pt>
                <c:pt idx="3">
                  <c:v>15</c:v>
                </c:pt>
                <c:pt idx="4">
                  <c:v>13</c:v>
                </c:pt>
                <c:pt idx="5">
                  <c:v>13</c:v>
                </c:pt>
                <c:pt idx="6">
                  <c:v>13</c:v>
                </c:pt>
                <c:pt idx="7">
                  <c:v>12</c:v>
                </c:pt>
                <c:pt idx="8">
                  <c:v>11</c:v>
                </c:pt>
                <c:pt idx="9">
                  <c:v>7</c:v>
                </c:pt>
              </c:numCache>
            </c:numRef>
          </c:val>
          <c:extLst>
            <c:ext xmlns:c16="http://schemas.microsoft.com/office/drawing/2014/chart" uri="{C3380CC4-5D6E-409C-BE32-E72D297353CC}">
              <c16:uniqueId val="{00000002-4B29-4FA4-A7F8-AE191FC20A06}"/>
            </c:ext>
          </c:extLst>
        </c:ser>
        <c:dLbls>
          <c:dLblPos val="outEnd"/>
          <c:showLegendKey val="0"/>
          <c:showVal val="1"/>
          <c:showCatName val="0"/>
          <c:showSerName val="0"/>
          <c:showPercent val="0"/>
          <c:showBubbleSize val="0"/>
        </c:dLbls>
        <c:gapWidth val="50"/>
        <c:axId val="1004339263"/>
        <c:axId val="1002684271"/>
      </c:barChart>
      <c:catAx>
        <c:axId val="100433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crossAx val="1002684271"/>
        <c:crosses val="autoZero"/>
        <c:auto val="1"/>
        <c:lblAlgn val="ctr"/>
        <c:lblOffset val="100"/>
        <c:noMultiLvlLbl val="0"/>
      </c:catAx>
      <c:valAx>
        <c:axId val="1002684271"/>
        <c:scaling>
          <c:orientation val="minMax"/>
        </c:scaling>
        <c:delete val="1"/>
        <c:axPos val="l"/>
        <c:numFmt formatCode="General" sourceLinked="1"/>
        <c:majorTickMark val="none"/>
        <c:minorTickMark val="none"/>
        <c:tickLblPos val="nextTo"/>
        <c:crossAx val="10043392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lgn="ctr" rtl="0">
        <a:defRPr lang="en-US" sz="1400" b="0" i="0" u="none" strike="noStrike" kern="1200" spc="0" baseline="0">
          <a:solidFill>
            <a:schemeClr val="tx1"/>
          </a:solidFill>
          <a:effectLst/>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[CWC2023.xlsx]Analysis!PivotTable7</c:name>
    <c:fmtId val="11"/>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2400">
                <a:solidFill>
                  <a:schemeClr val="tx1"/>
                </a:solidFill>
              </a:rPr>
              <a:t>Toss Decision:</a:t>
            </a:r>
          </a:p>
          <a:p>
            <a:pPr>
              <a:defRPr/>
            </a:pPr>
            <a:r>
              <a:rPr lang="en-US" sz="2400">
                <a:solidFill>
                  <a:schemeClr val="tx1"/>
                </a:solidFill>
              </a:rPr>
              <a:t> Bat vs Field</a:t>
            </a:r>
          </a:p>
        </c:rich>
      </c:tx>
      <c:layout>
        <c:manualLayout>
          <c:xMode val="edge"/>
          <c:yMode val="edge"/>
          <c:x val="0.66618125042622078"/>
          <c:y val="0.1291517226576564"/>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2B134"/>
          </a:solidFill>
          <a:ln>
            <a:noFill/>
          </a:ln>
          <a:effectLst/>
        </c:spPr>
      </c:pivotFmt>
      <c:pivotFmt>
        <c:idx val="2"/>
        <c:spPr>
          <a:solidFill>
            <a:srgbClr val="2E6DB4"/>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2E6DB4"/>
          </a:solidFill>
          <a:ln>
            <a:noFill/>
          </a:ln>
          <a:effectLst/>
        </c:spPr>
      </c:pivotFmt>
      <c:pivotFmt>
        <c:idx val="5"/>
        <c:spPr>
          <a:solidFill>
            <a:srgbClr val="F2B134"/>
          </a:solidFill>
          <a:ln>
            <a:noFill/>
          </a:ln>
          <a:effectLst/>
        </c:spPr>
      </c:pivotFmt>
      <c:pivotFmt>
        <c:idx val="6"/>
        <c:spPr>
          <a:solidFill>
            <a:schemeClr val="accent1"/>
          </a:solidFill>
          <a:ln>
            <a:noFill/>
          </a:ln>
          <a:effectLst>
            <a:innerShdw blurRad="63500" dist="50800" dir="5400000">
              <a:schemeClr val="accent5">
                <a:lumMod val="75000"/>
                <a:alpha val="50000"/>
              </a:schemeClr>
            </a:innerShdw>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2E6DB4"/>
          </a:solidFill>
          <a:ln>
            <a:noFill/>
          </a:ln>
          <a:effectLst>
            <a:innerShdw blurRad="63500" dist="50800" dir="5400000">
              <a:schemeClr val="accent5">
                <a:lumMod val="75000"/>
                <a:alpha val="50000"/>
              </a:schemeClr>
            </a:innerShdw>
          </a:effectLst>
        </c:spPr>
      </c:pivotFmt>
      <c:pivotFmt>
        <c:idx val="8"/>
        <c:spPr>
          <a:solidFill>
            <a:srgbClr val="F2B134"/>
          </a:solidFill>
          <a:ln>
            <a:noFill/>
          </a:ln>
          <a:effectLst>
            <a:innerShdw blurRad="63500" dist="50800" dir="5400000">
              <a:schemeClr val="accent5">
                <a:lumMod val="75000"/>
                <a:alpha val="50000"/>
              </a:schemeClr>
            </a:innerShdw>
          </a:effectLst>
        </c:spPr>
      </c:pivotFmt>
    </c:pivotFmts>
    <c:plotArea>
      <c:layout>
        <c:manualLayout>
          <c:layoutTarget val="inner"/>
          <c:xMode val="edge"/>
          <c:yMode val="edge"/>
          <c:x val="0.10343094109277561"/>
          <c:y val="0.11692179667377517"/>
          <c:w val="0.46641666666666665"/>
          <c:h val="0.77736111111111106"/>
        </c:manualLayout>
      </c:layout>
      <c:doughnutChart>
        <c:varyColors val="1"/>
        <c:ser>
          <c:idx val="0"/>
          <c:order val="0"/>
          <c:tx>
            <c:strRef>
              <c:f>Analysis!$B$164</c:f>
              <c:strCache>
                <c:ptCount val="1"/>
                <c:pt idx="0">
                  <c:v>Total</c:v>
                </c:pt>
              </c:strCache>
            </c:strRef>
          </c:tx>
          <c:spPr>
            <a:effectLst>
              <a:innerShdw blurRad="63500" dist="50800" dir="5400000">
                <a:schemeClr val="accent5">
                  <a:lumMod val="75000"/>
                  <a:alpha val="50000"/>
                </a:schemeClr>
              </a:innerShdw>
            </a:effectLst>
          </c:spPr>
          <c:dPt>
            <c:idx val="0"/>
            <c:bubble3D val="0"/>
            <c:spPr>
              <a:solidFill>
                <a:srgbClr val="2E6DB4"/>
              </a:solidFill>
              <a:ln>
                <a:noFill/>
              </a:ln>
              <a:effectLst>
                <a:innerShdw blurRad="63500" dist="50800" dir="5400000">
                  <a:schemeClr val="accent5">
                    <a:lumMod val="75000"/>
                    <a:alpha val="50000"/>
                  </a:schemeClr>
                </a:innerShdw>
              </a:effectLst>
            </c:spPr>
            <c:extLst>
              <c:ext xmlns:c16="http://schemas.microsoft.com/office/drawing/2014/chart" uri="{C3380CC4-5D6E-409C-BE32-E72D297353CC}">
                <c16:uniqueId val="{00000001-955F-4555-B342-206C18A8A3C2}"/>
              </c:ext>
            </c:extLst>
          </c:dPt>
          <c:dPt>
            <c:idx val="1"/>
            <c:bubble3D val="0"/>
            <c:spPr>
              <a:solidFill>
                <a:srgbClr val="F2B134"/>
              </a:solidFill>
              <a:ln>
                <a:noFill/>
              </a:ln>
              <a:effectLst>
                <a:innerShdw blurRad="63500" dist="50800" dir="5400000">
                  <a:schemeClr val="accent5">
                    <a:lumMod val="75000"/>
                    <a:alpha val="50000"/>
                  </a:schemeClr>
                </a:innerShdw>
              </a:effectLst>
            </c:spPr>
            <c:extLst>
              <c:ext xmlns:c16="http://schemas.microsoft.com/office/drawing/2014/chart" uri="{C3380CC4-5D6E-409C-BE32-E72D297353CC}">
                <c16:uniqueId val="{00000003-955F-4555-B342-206C18A8A3C2}"/>
              </c:ext>
            </c:extLst>
          </c:dPt>
          <c:dLbls>
            <c:spPr>
              <a:noFill/>
              <a:ln>
                <a:no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Analysis!$A$165:$A$166</c:f>
              <c:strCache>
                <c:ptCount val="2"/>
                <c:pt idx="0">
                  <c:v>Bat</c:v>
                </c:pt>
                <c:pt idx="1">
                  <c:v>Field</c:v>
                </c:pt>
              </c:strCache>
            </c:strRef>
          </c:cat>
          <c:val>
            <c:numRef>
              <c:f>Analysis!$B$165:$B$166</c:f>
              <c:numCache>
                <c:formatCode>General</c:formatCode>
                <c:ptCount val="2"/>
                <c:pt idx="0">
                  <c:v>22</c:v>
                </c:pt>
                <c:pt idx="1">
                  <c:v>26</c:v>
                </c:pt>
              </c:numCache>
            </c:numRef>
          </c:val>
          <c:extLst>
            <c:ext xmlns:c16="http://schemas.microsoft.com/office/drawing/2014/chart" uri="{C3380CC4-5D6E-409C-BE32-E72D297353CC}">
              <c16:uniqueId val="{00000004-F387-4EA9-ABFA-1C30D18C2D5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55654970947997218"/>
          <c:y val="0.79804188765336348"/>
          <c:w val="0.18913431205189485"/>
          <c:h val="6.371937069546687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[CWC2023.xlsx]Analysis!PivotTable16</c:name>
    <c:fmtId val="5"/>
  </c:pivotSource>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Toss Winner vs Match Winner</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76200" dir="13500000" sy="23000" kx="1200000" algn="b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Analysis!$B$177</c:f>
              <c:strCache>
                <c:ptCount val="1"/>
                <c:pt idx="0">
                  <c:v>Toss Win</c:v>
                </c:pt>
              </c:strCache>
            </c:strRef>
          </c:tx>
          <c:spPr>
            <a:solidFill>
              <a:schemeClr val="accent1"/>
            </a:solidFill>
            <a:ln>
              <a:noFill/>
            </a:ln>
            <a:effectLst>
              <a:outerShdw blurRad="76200" dir="13500000" sy="23000" kx="1200000" algn="br" rotWithShape="0">
                <a:prstClr val="black">
                  <a:alpha val="20000"/>
                </a:prstClr>
              </a:outerShdw>
            </a:effectLst>
          </c:spPr>
          <c:invertIfNegative val="0"/>
          <c:cat>
            <c:strRef>
              <c:f>Analysis!$A$178:$A$187</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Analysis!$B$178:$B$187</c:f>
              <c:numCache>
                <c:formatCode>General</c:formatCode>
                <c:ptCount val="10"/>
                <c:pt idx="0">
                  <c:v>5</c:v>
                </c:pt>
                <c:pt idx="1">
                  <c:v>5</c:v>
                </c:pt>
                <c:pt idx="2">
                  <c:v>5</c:v>
                </c:pt>
                <c:pt idx="3">
                  <c:v>7</c:v>
                </c:pt>
                <c:pt idx="4">
                  <c:v>5</c:v>
                </c:pt>
                <c:pt idx="5">
                  <c:v>5</c:v>
                </c:pt>
                <c:pt idx="6">
                  <c:v>5</c:v>
                </c:pt>
                <c:pt idx="7">
                  <c:v>4</c:v>
                </c:pt>
                <c:pt idx="8">
                  <c:v>3</c:v>
                </c:pt>
                <c:pt idx="9">
                  <c:v>4</c:v>
                </c:pt>
              </c:numCache>
            </c:numRef>
          </c:val>
          <c:extLst>
            <c:ext xmlns:c16="http://schemas.microsoft.com/office/drawing/2014/chart" uri="{C3380CC4-5D6E-409C-BE32-E72D297353CC}">
              <c16:uniqueId val="{00000000-CC77-468E-B4EA-0B344CA1C1F1}"/>
            </c:ext>
          </c:extLst>
        </c:ser>
        <c:ser>
          <c:idx val="1"/>
          <c:order val="1"/>
          <c:tx>
            <c:strRef>
              <c:f>Analysis!$C$177</c:f>
              <c:strCache>
                <c:ptCount val="1"/>
                <c:pt idx="0">
                  <c:v>Toss &amp; Match Win</c:v>
                </c:pt>
              </c:strCache>
            </c:strRef>
          </c:tx>
          <c:spPr>
            <a:solidFill>
              <a:schemeClr val="accent2"/>
            </a:solidFill>
            <a:ln>
              <a:noFill/>
            </a:ln>
            <a:effectLst/>
          </c:spPr>
          <c:invertIfNegative val="0"/>
          <c:cat>
            <c:strRef>
              <c:f>Analysis!$A$178:$A$187</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Analysis!$C$178:$C$187</c:f>
              <c:numCache>
                <c:formatCode>General</c:formatCode>
                <c:ptCount val="10"/>
                <c:pt idx="0">
                  <c:v>1</c:v>
                </c:pt>
                <c:pt idx="1">
                  <c:v>3</c:v>
                </c:pt>
                <c:pt idx="2">
                  <c:v>2</c:v>
                </c:pt>
                <c:pt idx="3">
                  <c:v>2</c:v>
                </c:pt>
                <c:pt idx="4">
                  <c:v>5</c:v>
                </c:pt>
                <c:pt idx="5">
                  <c:v>1</c:v>
                </c:pt>
                <c:pt idx="6">
                  <c:v>3</c:v>
                </c:pt>
                <c:pt idx="7">
                  <c:v>1</c:v>
                </c:pt>
                <c:pt idx="8">
                  <c:v>1</c:v>
                </c:pt>
                <c:pt idx="9">
                  <c:v>0</c:v>
                </c:pt>
              </c:numCache>
            </c:numRef>
          </c:val>
          <c:extLst>
            <c:ext xmlns:c16="http://schemas.microsoft.com/office/drawing/2014/chart" uri="{C3380CC4-5D6E-409C-BE32-E72D297353CC}">
              <c16:uniqueId val="{00000001-CC77-468E-B4EA-0B344CA1C1F1}"/>
            </c:ext>
          </c:extLst>
        </c:ser>
        <c:dLbls>
          <c:showLegendKey val="0"/>
          <c:showVal val="0"/>
          <c:showCatName val="0"/>
          <c:showSerName val="0"/>
          <c:showPercent val="0"/>
          <c:showBubbleSize val="0"/>
        </c:dLbls>
        <c:gapWidth val="70"/>
        <c:overlap val="-6"/>
        <c:axId val="1316601167"/>
        <c:axId val="1002745711"/>
      </c:barChart>
      <c:catAx>
        <c:axId val="131660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02745711"/>
        <c:crosses val="autoZero"/>
        <c:auto val="1"/>
        <c:lblAlgn val="ctr"/>
        <c:lblOffset val="100"/>
        <c:noMultiLvlLbl val="0"/>
      </c:catAx>
      <c:valAx>
        <c:axId val="10027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16601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[CWC2023.xlsx]Venue_Analysis!PivotTable4</c:name>
    <c:fmtId val="13"/>
  </c:pivotSource>
  <c:chart>
    <c:title>
      <c:tx>
        <c:rich>
          <a:bodyPr rot="0" spcFirstLastPara="1" vertOverflow="ellipsis" vert="horz" wrap="square" anchor="ctr" anchorCtr="1"/>
          <a:lstStyle/>
          <a:p>
            <a:pPr>
              <a:defRPr lang="en-US"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Matches by City</a:t>
            </a:r>
          </a:p>
        </c:rich>
      </c:tx>
      <c:overlay val="0"/>
      <c:spPr>
        <a:noFill/>
        <a:ln>
          <a:noFill/>
        </a:ln>
        <a:effectLst/>
      </c:spPr>
      <c:txPr>
        <a:bodyPr rot="0" spcFirstLastPara="1" vertOverflow="ellipsis" vert="horz" wrap="square" anchor="ctr" anchorCtr="1"/>
        <a:lstStyle/>
        <a:p>
          <a:pPr>
            <a:defRPr lang="en-US"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Venue_Analysis!$C$20</c:f>
              <c:strCache>
                <c:ptCount val="1"/>
                <c:pt idx="0">
                  <c:v>Total</c:v>
                </c:pt>
              </c:strCache>
            </c:strRef>
          </c:tx>
          <c:spPr>
            <a:solidFill>
              <a:schemeClr val="accent5">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Venue_Analysis!$B$21:$B$30</c:f>
              <c:strCache>
                <c:ptCount val="10"/>
                <c:pt idx="0">
                  <c:v>Pune</c:v>
                </c:pt>
                <c:pt idx="1">
                  <c:v>Mumbai</c:v>
                </c:pt>
                <c:pt idx="2">
                  <c:v>Ahmedabad</c:v>
                </c:pt>
                <c:pt idx="3">
                  <c:v>Bangalore</c:v>
                </c:pt>
                <c:pt idx="4">
                  <c:v>Chennai</c:v>
                </c:pt>
                <c:pt idx="5">
                  <c:v>Delhi</c:v>
                </c:pt>
                <c:pt idx="6">
                  <c:v>Dharamshala</c:v>
                </c:pt>
                <c:pt idx="7">
                  <c:v>Hyderabad</c:v>
                </c:pt>
                <c:pt idx="8">
                  <c:v>Kolkata</c:v>
                </c:pt>
                <c:pt idx="9">
                  <c:v>Lucknow</c:v>
                </c:pt>
              </c:strCache>
            </c:strRef>
          </c:cat>
          <c:val>
            <c:numRef>
              <c:f>Venue_Analysis!$C$21:$C$30</c:f>
              <c:numCache>
                <c:formatCode>General</c:formatCode>
                <c:ptCount val="10"/>
                <c:pt idx="0">
                  <c:v>5</c:v>
                </c:pt>
                <c:pt idx="1">
                  <c:v>5</c:v>
                </c:pt>
                <c:pt idx="2">
                  <c:v>5</c:v>
                </c:pt>
                <c:pt idx="3">
                  <c:v>5</c:v>
                </c:pt>
                <c:pt idx="4">
                  <c:v>5</c:v>
                </c:pt>
                <c:pt idx="5">
                  <c:v>5</c:v>
                </c:pt>
                <c:pt idx="6">
                  <c:v>5</c:v>
                </c:pt>
                <c:pt idx="7">
                  <c:v>3</c:v>
                </c:pt>
                <c:pt idx="8">
                  <c:v>5</c:v>
                </c:pt>
                <c:pt idx="9">
                  <c:v>5</c:v>
                </c:pt>
              </c:numCache>
            </c:numRef>
          </c:val>
          <c:extLst>
            <c:ext xmlns:c16="http://schemas.microsoft.com/office/drawing/2014/chart" uri="{C3380CC4-5D6E-409C-BE32-E72D297353CC}">
              <c16:uniqueId val="{00000000-981F-4899-97AC-0E82F5935107}"/>
            </c:ext>
          </c:extLst>
        </c:ser>
        <c:dLbls>
          <c:dLblPos val="outEnd"/>
          <c:showLegendKey val="0"/>
          <c:showVal val="1"/>
          <c:showCatName val="0"/>
          <c:showSerName val="0"/>
          <c:showPercent val="0"/>
          <c:showBubbleSize val="0"/>
        </c:dLbls>
        <c:gapWidth val="70"/>
        <c:axId val="1315436847"/>
        <c:axId val="1002680431"/>
      </c:barChart>
      <c:catAx>
        <c:axId val="13154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02680431"/>
        <c:crosses val="autoZero"/>
        <c:auto val="1"/>
        <c:lblAlgn val="ctr"/>
        <c:lblOffset val="100"/>
        <c:noMultiLvlLbl val="0"/>
      </c:catAx>
      <c:valAx>
        <c:axId val="1002680431"/>
        <c:scaling>
          <c:orientation val="minMax"/>
        </c:scaling>
        <c:delete val="1"/>
        <c:axPos val="l"/>
        <c:numFmt formatCode="General" sourceLinked="1"/>
        <c:majorTickMark val="none"/>
        <c:minorTickMark val="none"/>
        <c:tickLblPos val="nextTo"/>
        <c:crossAx val="1315436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lang="en-US"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[CWC2023.xlsx]Venue_Analysis!PivotTable3</c:name>
    <c:fmtId val="15"/>
  </c:pivotSource>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Match by Stadium</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Venue_Analysis!$C$4</c:f>
              <c:strCache>
                <c:ptCount val="1"/>
                <c:pt idx="0">
                  <c:v>Total</c:v>
                </c:pt>
              </c:strCache>
            </c:strRef>
          </c:tx>
          <c:spPr>
            <a:solidFill>
              <a:schemeClr val="accent2">
                <a:lumMod val="75000"/>
              </a:schemeClr>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Venue_Analysis!$B$5:$B$14</c:f>
              <c:strCache>
                <c:ptCount val="10"/>
                <c:pt idx="0">
                  <c:v>Arun Jaitley Stadium</c:v>
                </c:pt>
                <c:pt idx="1">
                  <c:v>BRSABV Ekana Cricket Stadium</c:v>
                </c:pt>
                <c:pt idx="2">
                  <c:v>Eden Gardens</c:v>
                </c:pt>
                <c:pt idx="3">
                  <c:v>HPCA Stadium</c:v>
                </c:pt>
                <c:pt idx="4">
                  <c:v>M. A. Chidambaram Stadium</c:v>
                </c:pt>
                <c:pt idx="5">
                  <c:v>M. Chinnaswamy Stadium</c:v>
                </c:pt>
                <c:pt idx="6">
                  <c:v>Maharashtra Cricket Association Stadium</c:v>
                </c:pt>
                <c:pt idx="7">
                  <c:v>Narendra Modi Stadium</c:v>
                </c:pt>
                <c:pt idx="8">
                  <c:v>Rajiv Gandhi International Stadium</c:v>
                </c:pt>
                <c:pt idx="9">
                  <c:v>Wankhede Stadium</c:v>
                </c:pt>
              </c:strCache>
            </c:strRef>
          </c:cat>
          <c:val>
            <c:numRef>
              <c:f>Venue_Analysis!$C$5:$C$14</c:f>
              <c:numCache>
                <c:formatCode>General</c:formatCode>
                <c:ptCount val="10"/>
                <c:pt idx="0">
                  <c:v>5</c:v>
                </c:pt>
                <c:pt idx="1">
                  <c:v>5</c:v>
                </c:pt>
                <c:pt idx="2">
                  <c:v>5</c:v>
                </c:pt>
                <c:pt idx="3">
                  <c:v>5</c:v>
                </c:pt>
                <c:pt idx="4">
                  <c:v>5</c:v>
                </c:pt>
                <c:pt idx="5">
                  <c:v>5</c:v>
                </c:pt>
                <c:pt idx="6">
                  <c:v>5</c:v>
                </c:pt>
                <c:pt idx="7">
                  <c:v>5</c:v>
                </c:pt>
                <c:pt idx="8">
                  <c:v>3</c:v>
                </c:pt>
                <c:pt idx="9">
                  <c:v>5</c:v>
                </c:pt>
              </c:numCache>
            </c:numRef>
          </c:val>
          <c:extLst>
            <c:ext xmlns:c16="http://schemas.microsoft.com/office/drawing/2014/chart" uri="{C3380CC4-5D6E-409C-BE32-E72D297353CC}">
              <c16:uniqueId val="{00000000-AAE3-4517-9E4D-662C4A9CC4F9}"/>
            </c:ext>
          </c:extLst>
        </c:ser>
        <c:dLbls>
          <c:dLblPos val="outEnd"/>
          <c:showLegendKey val="0"/>
          <c:showVal val="1"/>
          <c:showCatName val="0"/>
          <c:showSerName val="0"/>
          <c:showPercent val="0"/>
          <c:showBubbleSize val="0"/>
        </c:dLbls>
        <c:gapWidth val="70"/>
        <c:axId val="1991821344"/>
        <c:axId val="1992962512"/>
      </c:barChart>
      <c:catAx>
        <c:axId val="199182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2962512"/>
        <c:crosses val="autoZero"/>
        <c:auto val="1"/>
        <c:lblAlgn val="ctr"/>
        <c:lblOffset val="100"/>
        <c:noMultiLvlLbl val="0"/>
      </c:catAx>
      <c:valAx>
        <c:axId val="1992962512"/>
        <c:scaling>
          <c:orientation val="minMax"/>
        </c:scaling>
        <c:delete val="1"/>
        <c:axPos val="b"/>
        <c:numFmt formatCode="General" sourceLinked="1"/>
        <c:majorTickMark val="none"/>
        <c:minorTickMark val="none"/>
        <c:tickLblPos val="nextTo"/>
        <c:crossAx val="19918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[CWC2023.xlsx]Venue_Analysis!PivotTable2</c:name>
    <c:fmtId val="6"/>
  </c:pivotSource>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Highest Score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B134"/>
          </a:solidFill>
          <a:ln>
            <a:noFill/>
          </a:ln>
          <a:effectLst/>
        </c:spPr>
      </c:pivotFmt>
      <c:pivotFmt>
        <c:idx val="2"/>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B134"/>
          </a:solidFill>
          <a:ln>
            <a:noFill/>
          </a:ln>
          <a:effectLst/>
        </c:spPr>
      </c:pivotFmt>
      <c:pivotFmt>
        <c:idx val="4"/>
        <c:spPr>
          <a:solidFill>
            <a:srgbClr val="2E6DB4"/>
          </a:solidFill>
          <a:ln>
            <a:no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B134"/>
          </a:solidFill>
          <a:ln>
            <a:noFill/>
          </a:ln>
          <a:effectLst>
            <a:outerShdw blurRad="50800" dist="38100" dir="13500000" algn="br" rotWithShape="0">
              <a:prstClr val="black">
                <a:alpha val="40000"/>
              </a:prstClr>
            </a:outerShdw>
          </a:effectLst>
        </c:spPr>
      </c:pivotFmt>
    </c:pivotFmts>
    <c:plotArea>
      <c:layout/>
      <c:barChart>
        <c:barDir val="col"/>
        <c:grouping val="clustered"/>
        <c:varyColors val="0"/>
        <c:ser>
          <c:idx val="0"/>
          <c:order val="0"/>
          <c:tx>
            <c:strRef>
              <c:f>Venue_Analysis!$J$4</c:f>
              <c:strCache>
                <c:ptCount val="1"/>
                <c:pt idx="0">
                  <c:v>Total</c:v>
                </c:pt>
              </c:strCache>
            </c:strRef>
          </c:tx>
          <c:spPr>
            <a:solidFill>
              <a:srgbClr val="2E6DB4"/>
            </a:solidFill>
            <a:ln>
              <a:noFill/>
            </a:ln>
            <a:effectLst>
              <a:outerShdw blurRad="50800" dist="38100" dir="13500000" algn="br" rotWithShape="0">
                <a:prstClr val="black">
                  <a:alpha val="40000"/>
                </a:prstClr>
              </a:outerShdw>
            </a:effectLst>
          </c:spPr>
          <c:invertIfNegative val="0"/>
          <c:dPt>
            <c:idx val="0"/>
            <c:invertIfNegative val="0"/>
            <c:bubble3D val="0"/>
            <c:spPr>
              <a:solidFill>
                <a:srgbClr val="F2B134"/>
              </a:solidFill>
              <a:ln>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D1E6-42D8-A5BE-D146F28DB100}"/>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Venue_Analysis!$I$5:$I$14</c:f>
              <c:strCache>
                <c:ptCount val="10"/>
                <c:pt idx="0">
                  <c:v>Arun Jaitley Stadium</c:v>
                </c:pt>
                <c:pt idx="1">
                  <c:v>BRSABV Ekana Cricket Stadium</c:v>
                </c:pt>
                <c:pt idx="2">
                  <c:v>Eden Gardens</c:v>
                </c:pt>
                <c:pt idx="3">
                  <c:v>HPCA Stadium</c:v>
                </c:pt>
                <c:pt idx="4">
                  <c:v>M. A. Chidambaram Stadium</c:v>
                </c:pt>
                <c:pt idx="5">
                  <c:v>M. Chinnaswamy Stadium</c:v>
                </c:pt>
                <c:pt idx="6">
                  <c:v>Maharashtra Cricket Association Stadium</c:v>
                </c:pt>
                <c:pt idx="7">
                  <c:v>Narendra Modi Stadium</c:v>
                </c:pt>
                <c:pt idx="8">
                  <c:v>Rajiv Gandhi International Stadium</c:v>
                </c:pt>
                <c:pt idx="9">
                  <c:v>Wankhede Stadium</c:v>
                </c:pt>
              </c:strCache>
            </c:strRef>
          </c:cat>
          <c:val>
            <c:numRef>
              <c:f>Venue_Analysis!$J$5:$J$14</c:f>
              <c:numCache>
                <c:formatCode>General</c:formatCode>
                <c:ptCount val="10"/>
                <c:pt idx="0">
                  <c:v>428</c:v>
                </c:pt>
                <c:pt idx="1">
                  <c:v>311</c:v>
                </c:pt>
                <c:pt idx="2">
                  <c:v>337</c:v>
                </c:pt>
                <c:pt idx="3">
                  <c:v>388</c:v>
                </c:pt>
                <c:pt idx="4">
                  <c:v>288</c:v>
                </c:pt>
                <c:pt idx="5">
                  <c:v>410</c:v>
                </c:pt>
                <c:pt idx="6">
                  <c:v>357</c:v>
                </c:pt>
                <c:pt idx="7">
                  <c:v>286</c:v>
                </c:pt>
                <c:pt idx="8">
                  <c:v>345</c:v>
                </c:pt>
                <c:pt idx="9">
                  <c:v>399</c:v>
                </c:pt>
              </c:numCache>
            </c:numRef>
          </c:val>
          <c:extLst>
            <c:ext xmlns:c16="http://schemas.microsoft.com/office/drawing/2014/chart" uri="{C3380CC4-5D6E-409C-BE32-E72D297353CC}">
              <c16:uniqueId val="{00000002-D1E6-42D8-A5BE-D146F28DB100}"/>
            </c:ext>
          </c:extLst>
        </c:ser>
        <c:dLbls>
          <c:dLblPos val="outEnd"/>
          <c:showLegendKey val="0"/>
          <c:showVal val="1"/>
          <c:showCatName val="0"/>
          <c:showSerName val="0"/>
          <c:showPercent val="0"/>
          <c:showBubbleSize val="0"/>
        </c:dLbls>
        <c:gapWidth val="70"/>
        <c:axId val="1991877024"/>
        <c:axId val="1992921712"/>
      </c:barChart>
      <c:catAx>
        <c:axId val="19918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2921712"/>
        <c:crosses val="autoZero"/>
        <c:auto val="1"/>
        <c:lblAlgn val="ctr"/>
        <c:lblOffset val="100"/>
        <c:noMultiLvlLbl val="0"/>
      </c:catAx>
      <c:valAx>
        <c:axId val="1992921712"/>
        <c:scaling>
          <c:orientation val="minMax"/>
        </c:scaling>
        <c:delete val="1"/>
        <c:axPos val="l"/>
        <c:numFmt formatCode="General" sourceLinked="1"/>
        <c:majorTickMark val="none"/>
        <c:minorTickMark val="none"/>
        <c:tickLblPos val="nextTo"/>
        <c:crossAx val="199187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[CWC2023.xlsx]Analysis!PivotTable8</c:name>
    <c:fmtId val="7"/>
  </c:pivotSource>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Wins by Team: Runs vs Wickets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B1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B1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B1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2B1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6DB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2B13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Analysis!$B$207:$B$208</c:f>
              <c:strCache>
                <c:ptCount val="1"/>
                <c:pt idx="0">
                  <c:v>Runs</c:v>
                </c:pt>
              </c:strCache>
            </c:strRef>
          </c:tx>
          <c:spPr>
            <a:solidFill>
              <a:srgbClr val="2E6DB4"/>
            </a:solidFill>
            <a:ln>
              <a:noFill/>
            </a:ln>
            <a:effectLst>
              <a:outerShdw blurRad="50800" dist="38100" dir="2700000" algn="tl" rotWithShape="0">
                <a:prstClr val="black">
                  <a:alpha val="40000"/>
                </a:prstClr>
              </a:outerShdw>
            </a:effectLst>
          </c:spPr>
          <c:invertIfNegative val="0"/>
          <c:cat>
            <c:strRef>
              <c:f>Analysis!$A$209:$A$218</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Analysis!$B$209:$B$218</c:f>
              <c:numCache>
                <c:formatCode>General</c:formatCode>
                <c:ptCount val="10"/>
                <c:pt idx="0">
                  <c:v>1</c:v>
                </c:pt>
                <c:pt idx="1">
                  <c:v>4</c:v>
                </c:pt>
                <c:pt idx="2">
                  <c:v>0</c:v>
                </c:pt>
                <c:pt idx="3">
                  <c:v>3</c:v>
                </c:pt>
                <c:pt idx="4">
                  <c:v>5</c:v>
                </c:pt>
                <c:pt idx="5">
                  <c:v>2</c:v>
                </c:pt>
                <c:pt idx="6">
                  <c:v>2</c:v>
                </c:pt>
                <c:pt idx="7">
                  <c:v>1</c:v>
                </c:pt>
                <c:pt idx="8">
                  <c:v>5</c:v>
                </c:pt>
                <c:pt idx="9">
                  <c:v>0</c:v>
                </c:pt>
              </c:numCache>
            </c:numRef>
          </c:val>
          <c:extLst>
            <c:ext xmlns:c16="http://schemas.microsoft.com/office/drawing/2014/chart" uri="{C3380CC4-5D6E-409C-BE32-E72D297353CC}">
              <c16:uniqueId val="{00000000-9F27-4527-9F9F-18BC8820C807}"/>
            </c:ext>
          </c:extLst>
        </c:ser>
        <c:ser>
          <c:idx val="1"/>
          <c:order val="1"/>
          <c:tx>
            <c:strRef>
              <c:f>Analysis!$C$207:$C$208</c:f>
              <c:strCache>
                <c:ptCount val="1"/>
                <c:pt idx="0">
                  <c:v>Runs (DLS) Method</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cat>
            <c:strRef>
              <c:f>Analysis!$A$209:$A$218</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Analysis!$C$209:$C$218</c:f>
              <c:numCache>
                <c:formatCode>General</c:formatCode>
                <c:ptCount val="10"/>
                <c:pt idx="6">
                  <c:v>0</c:v>
                </c:pt>
                <c:pt idx="7">
                  <c:v>1</c:v>
                </c:pt>
              </c:numCache>
            </c:numRef>
          </c:val>
          <c:extLst>
            <c:ext xmlns:c16="http://schemas.microsoft.com/office/drawing/2014/chart" uri="{C3380CC4-5D6E-409C-BE32-E72D297353CC}">
              <c16:uniqueId val="{00000003-BFD4-4C78-8965-E098EEF36F80}"/>
            </c:ext>
          </c:extLst>
        </c:ser>
        <c:ser>
          <c:idx val="2"/>
          <c:order val="2"/>
          <c:tx>
            <c:strRef>
              <c:f>Analysis!$D$207:$D$208</c:f>
              <c:strCache>
                <c:ptCount val="1"/>
                <c:pt idx="0">
                  <c:v>Wickets</c:v>
                </c:pt>
              </c:strCache>
            </c:strRef>
          </c:tx>
          <c:spPr>
            <a:solidFill>
              <a:srgbClr val="F2B134"/>
            </a:solidFill>
            <a:ln>
              <a:noFill/>
            </a:ln>
            <a:effectLst>
              <a:outerShdw blurRad="50800" dist="38100" dir="2700000" algn="tl" rotWithShape="0">
                <a:prstClr val="black">
                  <a:alpha val="40000"/>
                </a:prstClr>
              </a:outerShdw>
            </a:effectLst>
          </c:spPr>
          <c:invertIfNegative val="0"/>
          <c:cat>
            <c:strRef>
              <c:f>Analysis!$A$209:$A$218</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Analysis!$D$209:$D$218</c:f>
              <c:numCache>
                <c:formatCode>General</c:formatCode>
                <c:ptCount val="10"/>
                <c:pt idx="0">
                  <c:v>3</c:v>
                </c:pt>
                <c:pt idx="1">
                  <c:v>5</c:v>
                </c:pt>
                <c:pt idx="2">
                  <c:v>2</c:v>
                </c:pt>
                <c:pt idx="3">
                  <c:v>0</c:v>
                </c:pt>
                <c:pt idx="4">
                  <c:v>5</c:v>
                </c:pt>
                <c:pt idx="5">
                  <c:v>0</c:v>
                </c:pt>
                <c:pt idx="6">
                  <c:v>3</c:v>
                </c:pt>
                <c:pt idx="7">
                  <c:v>2</c:v>
                </c:pt>
                <c:pt idx="8">
                  <c:v>2</c:v>
                </c:pt>
                <c:pt idx="9">
                  <c:v>2</c:v>
                </c:pt>
              </c:numCache>
            </c:numRef>
          </c:val>
          <c:extLst>
            <c:ext xmlns:c16="http://schemas.microsoft.com/office/drawing/2014/chart" uri="{C3380CC4-5D6E-409C-BE32-E72D297353CC}">
              <c16:uniqueId val="{00000003-C5CF-4204-B784-8EA07E128019}"/>
            </c:ext>
          </c:extLst>
        </c:ser>
        <c:dLbls>
          <c:showLegendKey val="0"/>
          <c:showVal val="0"/>
          <c:showCatName val="0"/>
          <c:showSerName val="0"/>
          <c:showPercent val="0"/>
          <c:showBubbleSize val="0"/>
        </c:dLbls>
        <c:gapWidth val="50"/>
        <c:overlap val="100"/>
        <c:axId val="2084337840"/>
        <c:axId val="2085012176"/>
      </c:barChart>
      <c:catAx>
        <c:axId val="20843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5012176"/>
        <c:crosses val="autoZero"/>
        <c:auto val="1"/>
        <c:lblAlgn val="ctr"/>
        <c:lblOffset val="100"/>
        <c:noMultiLvlLbl val="0"/>
      </c:catAx>
      <c:valAx>
        <c:axId val="208501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4337840"/>
        <c:crosses val="autoZero"/>
        <c:crossBetween val="between"/>
      </c:valAx>
      <c:spPr>
        <a:no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[CWC2023.xlsx]Analysis!PivotTable9</c:name>
    <c:fmtId val="10"/>
  </c:pivotSource>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Winning Margin Distribution -Runs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6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196B1"/>
          </a:solidFill>
          <a:ln>
            <a:noFill/>
          </a:ln>
          <a:effectLst>
            <a:innerShdw blurRad="114300">
              <a:prstClr val="black"/>
            </a:inn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72609007197164E-2"/>
          <c:y val="0.1651556827126536"/>
          <c:w val="0.93905478198560566"/>
          <c:h val="0.73190246536342329"/>
        </c:manualLayout>
      </c:layout>
      <c:barChart>
        <c:barDir val="col"/>
        <c:grouping val="clustered"/>
        <c:varyColors val="0"/>
        <c:ser>
          <c:idx val="0"/>
          <c:order val="0"/>
          <c:tx>
            <c:strRef>
              <c:f>Analysis!$B$223</c:f>
              <c:strCache>
                <c:ptCount val="1"/>
                <c:pt idx="0">
                  <c:v>Total</c:v>
                </c:pt>
              </c:strCache>
            </c:strRef>
          </c:tx>
          <c:spPr>
            <a:solidFill>
              <a:srgbClr val="3196B1"/>
            </a:solidFill>
            <a:ln>
              <a:noFill/>
            </a:ln>
            <a:effectLst>
              <a:innerShdw blurRad="114300">
                <a:prstClr val="black"/>
              </a:innerShdw>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Analysis!$A$224:$A$228</c:f>
              <c:strCache>
                <c:ptCount val="5"/>
                <c:pt idx="0">
                  <c:v>1-50</c:v>
                </c:pt>
                <c:pt idx="1">
                  <c:v>51-100</c:v>
                </c:pt>
                <c:pt idx="2">
                  <c:v>101-150</c:v>
                </c:pt>
                <c:pt idx="3">
                  <c:v>151-200</c:v>
                </c:pt>
                <c:pt idx="4">
                  <c:v>201+</c:v>
                </c:pt>
              </c:strCache>
            </c:strRef>
          </c:cat>
          <c:val>
            <c:numRef>
              <c:f>Analysis!$B$224:$B$228</c:f>
              <c:numCache>
                <c:formatCode>General</c:formatCode>
                <c:ptCount val="5"/>
                <c:pt idx="0">
                  <c:v>3</c:v>
                </c:pt>
                <c:pt idx="1">
                  <c:v>8</c:v>
                </c:pt>
                <c:pt idx="2">
                  <c:v>5</c:v>
                </c:pt>
                <c:pt idx="3">
                  <c:v>3</c:v>
                </c:pt>
                <c:pt idx="4">
                  <c:v>4</c:v>
                </c:pt>
              </c:numCache>
            </c:numRef>
          </c:val>
          <c:extLst>
            <c:ext xmlns:c16="http://schemas.microsoft.com/office/drawing/2014/chart" uri="{C3380CC4-5D6E-409C-BE32-E72D297353CC}">
              <c16:uniqueId val="{00000000-DC36-4F26-B8AD-783410E6D182}"/>
            </c:ext>
          </c:extLst>
        </c:ser>
        <c:dLbls>
          <c:dLblPos val="outEnd"/>
          <c:showLegendKey val="0"/>
          <c:showVal val="1"/>
          <c:showCatName val="0"/>
          <c:showSerName val="0"/>
          <c:showPercent val="0"/>
          <c:showBubbleSize val="0"/>
        </c:dLbls>
        <c:gapWidth val="70"/>
        <c:overlap val="-27"/>
        <c:axId val="1406180272"/>
        <c:axId val="2085184496"/>
      </c:barChart>
      <c:catAx>
        <c:axId val="140618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5184496"/>
        <c:crosses val="autoZero"/>
        <c:auto val="1"/>
        <c:lblAlgn val="ctr"/>
        <c:lblOffset val="100"/>
        <c:noMultiLvlLbl val="0"/>
      </c:catAx>
      <c:valAx>
        <c:axId val="2085184496"/>
        <c:scaling>
          <c:orientation val="minMax"/>
        </c:scaling>
        <c:delete val="1"/>
        <c:axPos val="l"/>
        <c:numFmt formatCode="General" sourceLinked="1"/>
        <c:majorTickMark val="none"/>
        <c:minorTickMark val="none"/>
        <c:tickLblPos val="nextTo"/>
        <c:crossAx val="1406180272"/>
        <c:crosses val="autoZero"/>
        <c:crossBetween val="between"/>
      </c:valAx>
      <c:spPr>
        <a:noFill/>
        <a:ln>
          <a:solidFill>
            <a:schemeClr val="bg1"/>
          </a:solid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[CWC2023.xlsx]Analysis!PivotTable11</c:name>
    <c:fmtId val="13"/>
  </c:pivotSource>
  <c:chart>
    <c:title>
      <c:tx>
        <c:rich>
          <a:bodyPr rot="0" spcFirstLastPara="1" vertOverflow="ellipsis" vert="horz" wrap="square" anchor="ctr" anchorCtr="1"/>
          <a:lstStyle/>
          <a:p>
            <a:pPr algn="ctr" rtl="0">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Wins by Wickets – Margin Distribution</a:t>
            </a:r>
          </a:p>
          <a:p>
            <a:pPr algn="ctr" rtl="0">
              <a:defRPr sz="2000"/>
            </a:pPr>
            <a:endParaRPr lang="en-US" sz="2000"/>
          </a:p>
        </c:rich>
      </c:tx>
      <c:overlay val="0"/>
      <c:spPr>
        <a:noFill/>
        <a:ln>
          <a:noFill/>
        </a:ln>
        <a:effectLst/>
      </c:spPr>
      <c:txPr>
        <a:bodyPr rot="0" spcFirstLastPara="1" vertOverflow="ellipsis" vert="horz" wrap="square" anchor="ctr" anchorCtr="1"/>
        <a:lstStyle/>
        <a:p>
          <a:pPr algn="ctr" rtl="0">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Analysis!$B$238</c:f>
              <c:strCache>
                <c:ptCount val="1"/>
                <c:pt idx="0">
                  <c:v>Total</c:v>
                </c:pt>
              </c:strCache>
            </c:strRef>
          </c:tx>
          <c:spPr>
            <a:solidFill>
              <a:schemeClr val="accent6">
                <a:lumMod val="75000"/>
              </a:schemeClr>
            </a:solidFill>
            <a:ln>
              <a:noFill/>
            </a:ln>
            <a:effectLst>
              <a:innerShdw blurRad="63500" dist="50800" dir="16200000">
                <a:prstClr val="black">
                  <a:alpha val="50000"/>
                </a:prstClr>
              </a:innerShdw>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Analysis!$A$239:$A$241</c:f>
              <c:strCache>
                <c:ptCount val="3"/>
                <c:pt idx="0">
                  <c:v>1-3</c:v>
                </c:pt>
                <c:pt idx="1">
                  <c:v>4-6</c:v>
                </c:pt>
                <c:pt idx="2">
                  <c:v>7-10</c:v>
                </c:pt>
              </c:strCache>
            </c:strRef>
          </c:cat>
          <c:val>
            <c:numRef>
              <c:f>Analysis!$B$239:$B$241</c:f>
              <c:numCache>
                <c:formatCode>General</c:formatCode>
                <c:ptCount val="3"/>
                <c:pt idx="0">
                  <c:v>4</c:v>
                </c:pt>
                <c:pt idx="1">
                  <c:v>9</c:v>
                </c:pt>
                <c:pt idx="2">
                  <c:v>11</c:v>
                </c:pt>
              </c:numCache>
            </c:numRef>
          </c:val>
          <c:extLst>
            <c:ext xmlns:c16="http://schemas.microsoft.com/office/drawing/2014/chart" uri="{C3380CC4-5D6E-409C-BE32-E72D297353CC}">
              <c16:uniqueId val="{00000001-150E-4525-99C2-841FFE750F97}"/>
            </c:ext>
          </c:extLst>
        </c:ser>
        <c:dLbls>
          <c:dLblPos val="outEnd"/>
          <c:showLegendKey val="0"/>
          <c:showVal val="1"/>
          <c:showCatName val="0"/>
          <c:showSerName val="0"/>
          <c:showPercent val="0"/>
          <c:showBubbleSize val="0"/>
        </c:dLbls>
        <c:gapWidth val="100"/>
        <c:axId val="204094895"/>
        <c:axId val="6365615"/>
      </c:barChart>
      <c:catAx>
        <c:axId val="20409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65615"/>
        <c:crosses val="autoZero"/>
        <c:auto val="1"/>
        <c:lblAlgn val="ctr"/>
        <c:lblOffset val="100"/>
        <c:noMultiLvlLbl val="0"/>
      </c:catAx>
      <c:valAx>
        <c:axId val="6365615"/>
        <c:scaling>
          <c:orientation val="minMax"/>
        </c:scaling>
        <c:delete val="1"/>
        <c:axPos val="l"/>
        <c:numFmt formatCode="General" sourceLinked="1"/>
        <c:majorTickMark val="none"/>
        <c:minorTickMark val="none"/>
        <c:tickLblPos val="nextTo"/>
        <c:crossAx val="2040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2000"/>
              <a:t>Toss Success Rate by Team</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0070C0"/>
            </a:solidFill>
            <a:ln>
              <a:noFill/>
            </a:ln>
            <a:effectLst>
              <a:innerShdw blurRad="63500" dist="50800" dir="10800000">
                <a:prstClr val="black">
                  <a:alpha val="50000"/>
                </a:prstClr>
              </a:innerShdw>
            </a:effectLst>
          </c:spPr>
          <c:invertIfNegative val="0"/>
          <c:dPt>
            <c:idx val="4"/>
            <c:invertIfNegative val="0"/>
            <c:bubble3D val="0"/>
            <c:spPr>
              <a:solidFill>
                <a:srgbClr val="F2B233"/>
              </a:solidFill>
              <a:ln>
                <a:noFill/>
              </a:ln>
              <a:effectLst>
                <a:innerShdw blurRad="63500" dist="50800" dir="10800000">
                  <a:prstClr val="black">
                    <a:alpha val="50000"/>
                  </a:prstClr>
                </a:innerShdw>
              </a:effectLst>
            </c:spPr>
            <c:extLst>
              <c:ext xmlns:c16="http://schemas.microsoft.com/office/drawing/2014/chart" uri="{C3380CC4-5D6E-409C-BE32-E72D297353CC}">
                <c16:uniqueId val="{00000001-C07E-4F85-BB77-D37B28F7BDAA}"/>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Analysis!$F$191:$F$200</c:f>
              <c:strCache>
                <c:ptCount val="10"/>
                <c:pt idx="0">
                  <c:v>Afghanistan</c:v>
                </c:pt>
                <c:pt idx="1">
                  <c:v>Australia</c:v>
                </c:pt>
                <c:pt idx="2">
                  <c:v>Bangladesh</c:v>
                </c:pt>
                <c:pt idx="3">
                  <c:v>England</c:v>
                </c:pt>
                <c:pt idx="4">
                  <c:v>India</c:v>
                </c:pt>
                <c:pt idx="5">
                  <c:v>Netherlands</c:v>
                </c:pt>
                <c:pt idx="6">
                  <c:v>New Zealand</c:v>
                </c:pt>
                <c:pt idx="7">
                  <c:v>Pakistan</c:v>
                </c:pt>
                <c:pt idx="8">
                  <c:v>South Africa</c:v>
                </c:pt>
                <c:pt idx="9">
                  <c:v>Sri Lanka</c:v>
                </c:pt>
              </c:strCache>
            </c:strRef>
          </c:cat>
          <c:val>
            <c:numRef>
              <c:f>Analysis!$G$191:$G$200</c:f>
              <c:numCache>
                <c:formatCode>0.0%</c:formatCode>
                <c:ptCount val="10"/>
                <c:pt idx="0">
                  <c:v>0.2</c:v>
                </c:pt>
                <c:pt idx="1">
                  <c:v>0.6</c:v>
                </c:pt>
                <c:pt idx="2">
                  <c:v>0.4</c:v>
                </c:pt>
                <c:pt idx="3">
                  <c:v>0.2857142857142857</c:v>
                </c:pt>
                <c:pt idx="4">
                  <c:v>1</c:v>
                </c:pt>
                <c:pt idx="5">
                  <c:v>0.2</c:v>
                </c:pt>
                <c:pt idx="6">
                  <c:v>0.6</c:v>
                </c:pt>
                <c:pt idx="7">
                  <c:v>0.25</c:v>
                </c:pt>
                <c:pt idx="8">
                  <c:v>0.33333333333333331</c:v>
                </c:pt>
                <c:pt idx="9">
                  <c:v>0</c:v>
                </c:pt>
              </c:numCache>
            </c:numRef>
          </c:val>
          <c:extLst>
            <c:ext xmlns:c16="http://schemas.microsoft.com/office/drawing/2014/chart" uri="{C3380CC4-5D6E-409C-BE32-E72D297353CC}">
              <c16:uniqueId val="{00000002-C07E-4F85-BB77-D37B28F7BDAA}"/>
            </c:ext>
          </c:extLst>
        </c:ser>
        <c:dLbls>
          <c:dLblPos val="outEnd"/>
          <c:showLegendKey val="0"/>
          <c:showVal val="1"/>
          <c:showCatName val="0"/>
          <c:showSerName val="0"/>
          <c:showPercent val="0"/>
          <c:showBubbleSize val="0"/>
        </c:dLbls>
        <c:gapWidth val="70"/>
        <c:axId val="2094458192"/>
        <c:axId val="1338343760"/>
      </c:barChart>
      <c:catAx>
        <c:axId val="20944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38343760"/>
        <c:crosses val="autoZero"/>
        <c:auto val="1"/>
        <c:lblAlgn val="ctr"/>
        <c:lblOffset val="100"/>
        <c:noMultiLvlLbl val="0"/>
      </c:catAx>
      <c:valAx>
        <c:axId val="1338343760"/>
        <c:scaling>
          <c:orientation val="minMax"/>
        </c:scaling>
        <c:delete val="1"/>
        <c:axPos val="l"/>
        <c:numFmt formatCode="0.0%" sourceLinked="1"/>
        <c:majorTickMark val="none"/>
        <c:minorTickMark val="none"/>
        <c:tickLblPos val="nextTo"/>
        <c:crossAx val="2094458192"/>
        <c:crosses val="autoZero"/>
        <c:crossBetween val="between"/>
      </c:valAx>
      <c:spPr>
        <a:noFill/>
        <a:ln>
          <a:solidFill>
            <a:schemeClr val="bg1"/>
          </a:solid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sz="16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6" Type="http://schemas.openxmlformats.org/officeDocument/2006/relationships/chart" Target="../charts/chart19.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13" Type="http://schemas.openxmlformats.org/officeDocument/2006/relationships/chart" Target="../charts/chart32.xml"/><Relationship Id="rId18" Type="http://schemas.openxmlformats.org/officeDocument/2006/relationships/chart" Target="../charts/chart37.xml"/><Relationship Id="rId3" Type="http://schemas.openxmlformats.org/officeDocument/2006/relationships/chart" Target="../charts/chart22.xml"/><Relationship Id="rId21" Type="http://schemas.openxmlformats.org/officeDocument/2006/relationships/chart" Target="../charts/chart38.xml"/><Relationship Id="rId7" Type="http://schemas.openxmlformats.org/officeDocument/2006/relationships/chart" Target="../charts/chart26.xml"/><Relationship Id="rId12" Type="http://schemas.openxmlformats.org/officeDocument/2006/relationships/chart" Target="../charts/chart31.xml"/><Relationship Id="rId17" Type="http://schemas.openxmlformats.org/officeDocument/2006/relationships/chart" Target="../charts/chart36.xml"/><Relationship Id="rId2" Type="http://schemas.openxmlformats.org/officeDocument/2006/relationships/chart" Target="../charts/chart21.xml"/><Relationship Id="rId16" Type="http://schemas.openxmlformats.org/officeDocument/2006/relationships/chart" Target="../charts/chart35.xml"/><Relationship Id="rId20" Type="http://schemas.openxmlformats.org/officeDocument/2006/relationships/image" Target="../media/image2.svg"/><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5" Type="http://schemas.openxmlformats.org/officeDocument/2006/relationships/chart" Target="../charts/chart34.xml"/><Relationship Id="rId10" Type="http://schemas.openxmlformats.org/officeDocument/2006/relationships/chart" Target="../charts/chart29.xml"/><Relationship Id="rId19" Type="http://schemas.openxmlformats.org/officeDocument/2006/relationships/image" Target="../media/image1.png"/><Relationship Id="rId4" Type="http://schemas.openxmlformats.org/officeDocument/2006/relationships/chart" Target="../charts/chart23.xml"/><Relationship Id="rId9" Type="http://schemas.openxmlformats.org/officeDocument/2006/relationships/chart" Target="../charts/chart28.xml"/><Relationship Id="rId14" Type="http://schemas.openxmlformats.org/officeDocument/2006/relationships/chart" Target="../charts/chart33.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29973</xdr:colOff>
      <xdr:row>34</xdr:row>
      <xdr:rowOff>63177</xdr:rowOff>
    </xdr:from>
    <xdr:to>
      <xdr:col>5</xdr:col>
      <xdr:colOff>532482</xdr:colOff>
      <xdr:row>53</xdr:row>
      <xdr:rowOff>86591</xdr:rowOff>
    </xdr:to>
    <xdr:graphicFrame macro="">
      <xdr:nvGraphicFramePr>
        <xdr:cNvPr id="2" name="Chart 1">
          <a:extLst>
            <a:ext uri="{FF2B5EF4-FFF2-40B4-BE49-F238E27FC236}">
              <a16:creationId xmlns:a16="http://schemas.microsoft.com/office/drawing/2014/main" id="{12205EEF-4F48-CFC4-016A-7F618A463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8282</xdr:colOff>
      <xdr:row>34</xdr:row>
      <xdr:rowOff>32302</xdr:rowOff>
    </xdr:from>
    <xdr:to>
      <xdr:col>12</xdr:col>
      <xdr:colOff>149087</xdr:colOff>
      <xdr:row>53</xdr:row>
      <xdr:rowOff>51955</xdr:rowOff>
    </xdr:to>
    <xdr:graphicFrame macro="">
      <xdr:nvGraphicFramePr>
        <xdr:cNvPr id="5" name="Chart 4">
          <a:extLst>
            <a:ext uri="{FF2B5EF4-FFF2-40B4-BE49-F238E27FC236}">
              <a16:creationId xmlns:a16="http://schemas.microsoft.com/office/drawing/2014/main" id="{1E92A2B5-3935-5321-B82B-D2571B49E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326038</xdr:colOff>
      <xdr:row>33</xdr:row>
      <xdr:rowOff>234505</xdr:rowOff>
    </xdr:from>
    <xdr:to>
      <xdr:col>20</xdr:col>
      <xdr:colOff>157202</xdr:colOff>
      <xdr:row>53</xdr:row>
      <xdr:rowOff>109694</xdr:rowOff>
    </xdr:to>
    <xdr:graphicFrame macro="">
      <xdr:nvGraphicFramePr>
        <xdr:cNvPr id="6" name="Chart 5">
          <a:extLst>
            <a:ext uri="{FF2B5EF4-FFF2-40B4-BE49-F238E27FC236}">
              <a16:creationId xmlns:a16="http://schemas.microsoft.com/office/drawing/2014/main" id="{62C0EAAC-2A42-9B35-4594-039663311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9</xdr:col>
      <xdr:colOff>475902</xdr:colOff>
      <xdr:row>4</xdr:row>
      <xdr:rowOff>1756</xdr:rowOff>
    </xdr:from>
    <xdr:ext cx="4378083" cy="2667216"/>
    <xdr:graphicFrame macro="">
      <xdr:nvGraphicFramePr>
        <xdr:cNvPr id="3" name="Chart 2">
          <a:extLst>
            <a:ext uri="{FF2B5EF4-FFF2-40B4-BE49-F238E27FC236}">
              <a16:creationId xmlns:a16="http://schemas.microsoft.com/office/drawing/2014/main" id="{1E77C601-2D58-4280-B230-A8A357B67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9</xdr:col>
      <xdr:colOff>383435</xdr:colOff>
      <xdr:row>49</xdr:row>
      <xdr:rowOff>93679</xdr:rowOff>
    </xdr:from>
    <xdr:to>
      <xdr:col>15</xdr:col>
      <xdr:colOff>389466</xdr:colOff>
      <xdr:row>64</xdr:row>
      <xdr:rowOff>75991</xdr:rowOff>
    </xdr:to>
    <xdr:graphicFrame macro="">
      <xdr:nvGraphicFramePr>
        <xdr:cNvPr id="5" name="Chart 4">
          <a:extLst>
            <a:ext uri="{FF2B5EF4-FFF2-40B4-BE49-F238E27FC236}">
              <a16:creationId xmlns:a16="http://schemas.microsoft.com/office/drawing/2014/main" id="{54C2D1F1-73AF-8A9D-B3C9-CFCA164BE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375557</xdr:colOff>
      <xdr:row>64</xdr:row>
      <xdr:rowOff>29331</xdr:rowOff>
    </xdr:from>
    <xdr:to>
      <xdr:col>15</xdr:col>
      <xdr:colOff>389466</xdr:colOff>
      <xdr:row>79</xdr:row>
      <xdr:rowOff>51102</xdr:rowOff>
    </xdr:to>
    <xdr:graphicFrame macro="">
      <xdr:nvGraphicFramePr>
        <xdr:cNvPr id="6" name="Chart 5">
          <a:extLst>
            <a:ext uri="{FF2B5EF4-FFF2-40B4-BE49-F238E27FC236}">
              <a16:creationId xmlns:a16="http://schemas.microsoft.com/office/drawing/2014/main" id="{963977AA-24C4-13E3-F898-4B7521958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364297</xdr:colOff>
      <xdr:row>79</xdr:row>
      <xdr:rowOff>158740</xdr:rowOff>
    </xdr:from>
    <xdr:to>
      <xdr:col>15</xdr:col>
      <xdr:colOff>372533</xdr:colOff>
      <xdr:row>94</xdr:row>
      <xdr:rowOff>129290</xdr:rowOff>
    </xdr:to>
    <xdr:graphicFrame macro="">
      <xdr:nvGraphicFramePr>
        <xdr:cNvPr id="8" name="Chart 7">
          <a:extLst>
            <a:ext uri="{FF2B5EF4-FFF2-40B4-BE49-F238E27FC236}">
              <a16:creationId xmlns:a16="http://schemas.microsoft.com/office/drawing/2014/main" id="{42570CAF-9B15-605E-E358-623BB0436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341327</xdr:colOff>
      <xdr:row>95</xdr:row>
      <xdr:rowOff>72656</xdr:rowOff>
    </xdr:from>
    <xdr:to>
      <xdr:col>15</xdr:col>
      <xdr:colOff>338667</xdr:colOff>
      <xdr:row>110</xdr:row>
      <xdr:rowOff>24809</xdr:rowOff>
    </xdr:to>
    <xdr:graphicFrame macro="">
      <xdr:nvGraphicFramePr>
        <xdr:cNvPr id="9" name="Chart 8">
          <a:extLst>
            <a:ext uri="{FF2B5EF4-FFF2-40B4-BE49-F238E27FC236}">
              <a16:creationId xmlns:a16="http://schemas.microsoft.com/office/drawing/2014/main" id="{03E591A8-45FD-6347-DD1C-76900B210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413350</xdr:colOff>
      <xdr:row>110</xdr:row>
      <xdr:rowOff>134836</xdr:rowOff>
    </xdr:from>
    <xdr:to>
      <xdr:col>16</xdr:col>
      <xdr:colOff>567772</xdr:colOff>
      <xdr:row>125</xdr:row>
      <xdr:rowOff>165416</xdr:rowOff>
    </xdr:to>
    <xdr:graphicFrame macro="">
      <xdr:nvGraphicFramePr>
        <xdr:cNvPr id="2" name="Chart 1">
          <a:extLst>
            <a:ext uri="{FF2B5EF4-FFF2-40B4-BE49-F238E27FC236}">
              <a16:creationId xmlns:a16="http://schemas.microsoft.com/office/drawing/2014/main" id="{BB44DC91-3D58-8747-655A-36C8F5887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373923</xdr:colOff>
      <xdr:row>126</xdr:row>
      <xdr:rowOff>106276</xdr:rowOff>
    </xdr:from>
    <xdr:to>
      <xdr:col>16</xdr:col>
      <xdr:colOff>528346</xdr:colOff>
      <xdr:row>141</xdr:row>
      <xdr:rowOff>131296</xdr:rowOff>
    </xdr:to>
    <xdr:graphicFrame macro="">
      <xdr:nvGraphicFramePr>
        <xdr:cNvPr id="7" name="Chart 6">
          <a:extLst>
            <a:ext uri="{FF2B5EF4-FFF2-40B4-BE49-F238E27FC236}">
              <a16:creationId xmlns:a16="http://schemas.microsoft.com/office/drawing/2014/main" id="{873BAE28-51D8-E6BF-8EEF-6F38DFA90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362802</xdr:colOff>
      <xdr:row>142</xdr:row>
      <xdr:rowOff>89341</xdr:rowOff>
    </xdr:from>
    <xdr:to>
      <xdr:col>16</xdr:col>
      <xdr:colOff>517224</xdr:colOff>
      <xdr:row>157</xdr:row>
      <xdr:rowOff>165416</xdr:rowOff>
    </xdr:to>
    <xdr:graphicFrame macro="">
      <xdr:nvGraphicFramePr>
        <xdr:cNvPr id="10" name="Chart 9">
          <a:extLst>
            <a:ext uri="{FF2B5EF4-FFF2-40B4-BE49-F238E27FC236}">
              <a16:creationId xmlns:a16="http://schemas.microsoft.com/office/drawing/2014/main" id="{0E0E3BDC-A9BF-B76E-F4EF-8B5240212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357908</xdr:colOff>
      <xdr:row>173</xdr:row>
      <xdr:rowOff>103707</xdr:rowOff>
    </xdr:from>
    <xdr:to>
      <xdr:col>16</xdr:col>
      <xdr:colOff>372534</xdr:colOff>
      <xdr:row>187</xdr:row>
      <xdr:rowOff>30291</xdr:rowOff>
    </xdr:to>
    <xdr:graphicFrame macro="">
      <xdr:nvGraphicFramePr>
        <xdr:cNvPr id="12" name="Chart 11">
          <a:extLst>
            <a:ext uri="{FF2B5EF4-FFF2-40B4-BE49-F238E27FC236}">
              <a16:creationId xmlns:a16="http://schemas.microsoft.com/office/drawing/2014/main" id="{1E87650E-951E-D122-A6EB-1A54B3CFE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1182158</xdr:colOff>
      <xdr:row>205</xdr:row>
      <xdr:rowOff>45833</xdr:rowOff>
    </xdr:from>
    <xdr:to>
      <xdr:col>11</xdr:col>
      <xdr:colOff>271992</xdr:colOff>
      <xdr:row>220</xdr:row>
      <xdr:rowOff>92067</xdr:rowOff>
    </xdr:to>
    <xdr:graphicFrame macro="">
      <xdr:nvGraphicFramePr>
        <xdr:cNvPr id="14" name="Chart 13">
          <a:extLst>
            <a:ext uri="{FF2B5EF4-FFF2-40B4-BE49-F238E27FC236}">
              <a16:creationId xmlns:a16="http://schemas.microsoft.com/office/drawing/2014/main" id="{65DD6706-AAFA-A4BC-A27C-269B92429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1150800</xdr:colOff>
      <xdr:row>220</xdr:row>
      <xdr:rowOff>179727</xdr:rowOff>
    </xdr:from>
    <xdr:to>
      <xdr:col>11</xdr:col>
      <xdr:colOff>303742</xdr:colOff>
      <xdr:row>236</xdr:row>
      <xdr:rowOff>60017</xdr:rowOff>
    </xdr:to>
    <xdr:graphicFrame macro="">
      <xdr:nvGraphicFramePr>
        <xdr:cNvPr id="15" name="Chart 14">
          <a:extLst>
            <a:ext uri="{FF2B5EF4-FFF2-40B4-BE49-F238E27FC236}">
              <a16:creationId xmlns:a16="http://schemas.microsoft.com/office/drawing/2014/main" id="{CD7196B4-DF17-9FA5-BE1C-15BE8CA3B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369529</xdr:colOff>
      <xdr:row>158</xdr:row>
      <xdr:rowOff>69077</xdr:rowOff>
    </xdr:from>
    <xdr:to>
      <xdr:col>16</xdr:col>
      <xdr:colOff>508000</xdr:colOff>
      <xdr:row>173</xdr:row>
      <xdr:rowOff>0</xdr:rowOff>
    </xdr:to>
    <xdr:graphicFrame macro="">
      <xdr:nvGraphicFramePr>
        <xdr:cNvPr id="13" name="Chart 12">
          <a:extLst>
            <a:ext uri="{FF2B5EF4-FFF2-40B4-BE49-F238E27FC236}">
              <a16:creationId xmlns:a16="http://schemas.microsoft.com/office/drawing/2014/main" id="{46F6F449-20F4-7A8B-7AA6-6C00E555E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1040739</xdr:colOff>
      <xdr:row>237</xdr:row>
      <xdr:rowOff>35237</xdr:rowOff>
    </xdr:from>
    <xdr:to>
      <xdr:col>11</xdr:col>
      <xdr:colOff>204258</xdr:colOff>
      <xdr:row>251</xdr:row>
      <xdr:rowOff>148756</xdr:rowOff>
    </xdr:to>
    <xdr:graphicFrame macro="">
      <xdr:nvGraphicFramePr>
        <xdr:cNvPr id="17" name="Chart 16">
          <a:extLst>
            <a:ext uri="{FF2B5EF4-FFF2-40B4-BE49-F238E27FC236}">
              <a16:creationId xmlns:a16="http://schemas.microsoft.com/office/drawing/2014/main" id="{536B7D56-9A0C-18CD-41FA-E361A49AC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489466</xdr:colOff>
      <xdr:row>19</xdr:row>
      <xdr:rowOff>84666</xdr:rowOff>
    </xdr:from>
    <xdr:to>
      <xdr:col>15</xdr:col>
      <xdr:colOff>453311</xdr:colOff>
      <xdr:row>34</xdr:row>
      <xdr:rowOff>85124</xdr:rowOff>
    </xdr:to>
    <xdr:graphicFrame macro="">
      <xdr:nvGraphicFramePr>
        <xdr:cNvPr id="16" name="Chart 15">
          <a:extLst>
            <a:ext uri="{FF2B5EF4-FFF2-40B4-BE49-F238E27FC236}">
              <a16:creationId xmlns:a16="http://schemas.microsoft.com/office/drawing/2014/main" id="{1777F1AE-AA5E-6C25-F0C3-25DC7D429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422417</xdr:colOff>
      <xdr:row>34</xdr:row>
      <xdr:rowOff>139128</xdr:rowOff>
    </xdr:from>
    <xdr:to>
      <xdr:col>15</xdr:col>
      <xdr:colOff>386261</xdr:colOff>
      <xdr:row>49</xdr:row>
      <xdr:rowOff>69106</xdr:rowOff>
    </xdr:to>
    <xdr:graphicFrame macro="">
      <xdr:nvGraphicFramePr>
        <xdr:cNvPr id="18" name="Chart 17">
          <a:extLst>
            <a:ext uri="{FF2B5EF4-FFF2-40B4-BE49-F238E27FC236}">
              <a16:creationId xmlns:a16="http://schemas.microsoft.com/office/drawing/2014/main" id="{01AA7570-086F-0BCC-371D-E955CAF89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628773</xdr:colOff>
      <xdr:row>4</xdr:row>
      <xdr:rowOff>16234</xdr:rowOff>
    </xdr:from>
    <xdr:to>
      <xdr:col>17</xdr:col>
      <xdr:colOff>1450644</xdr:colOff>
      <xdr:row>18</xdr:row>
      <xdr:rowOff>119194</xdr:rowOff>
    </xdr:to>
    <mc:AlternateContent xmlns:mc="http://schemas.openxmlformats.org/markup-compatibility/2006" xmlns:a14="http://schemas.microsoft.com/office/drawing/2010/main">
      <mc:Choice Requires="a14">
        <xdr:graphicFrame macro="">
          <xdr:nvGraphicFramePr>
            <xdr:cNvPr id="20" name="Team">
              <a:extLst>
                <a:ext uri="{FF2B5EF4-FFF2-40B4-BE49-F238E27FC236}">
                  <a16:creationId xmlns:a16="http://schemas.microsoft.com/office/drawing/2014/main" id="{79A43E73-D525-410F-BB64-7F99CDB83D21}"/>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6308044" y="778234"/>
              <a:ext cx="1834882" cy="2613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108858</xdr:colOff>
      <xdr:row>3</xdr:row>
      <xdr:rowOff>109945</xdr:rowOff>
    </xdr:from>
    <xdr:to>
      <xdr:col>21</xdr:col>
      <xdr:colOff>359230</xdr:colOff>
      <xdr:row>25</xdr:row>
      <xdr:rowOff>97972</xdr:rowOff>
    </xdr:to>
    <mc:AlternateContent xmlns:mc="http://schemas.openxmlformats.org/markup-compatibility/2006" xmlns:a14="http://schemas.microsoft.com/office/drawing/2010/main">
      <mc:Choice Requires="a14">
        <xdr:graphicFrame macro="">
          <xdr:nvGraphicFramePr>
            <xdr:cNvPr id="23" name="City">
              <a:extLst>
                <a:ext uri="{FF2B5EF4-FFF2-40B4-BE49-F238E27FC236}">
                  <a16:creationId xmlns:a16="http://schemas.microsoft.com/office/drawing/2014/main" id="{7EA4C755-9221-D903-9DD3-BE3ABDFE65B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667515" y="686888"/>
              <a:ext cx="1828800" cy="4048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1492432</xdr:colOff>
      <xdr:row>4</xdr:row>
      <xdr:rowOff>13062</xdr:rowOff>
    </xdr:from>
    <xdr:to>
      <xdr:col>18</xdr:col>
      <xdr:colOff>1198520</xdr:colOff>
      <xdr:row>26</xdr:row>
      <xdr:rowOff>54429</xdr:rowOff>
    </xdr:to>
    <mc:AlternateContent xmlns:mc="http://schemas.openxmlformats.org/markup-compatibility/2006" xmlns:a14="http://schemas.microsoft.com/office/drawing/2010/main">
      <mc:Choice Requires="a14">
        <xdr:graphicFrame macro="">
          <xdr:nvGraphicFramePr>
            <xdr:cNvPr id="24" name="Stadium">
              <a:extLst>
                <a:ext uri="{FF2B5EF4-FFF2-40B4-BE49-F238E27FC236}">
                  <a16:creationId xmlns:a16="http://schemas.microsoft.com/office/drawing/2014/main" id="{27340D2C-18E0-A203-E9A5-C25405723478}"/>
                </a:ext>
              </a:extLst>
            </xdr:cNvPr>
            <xdr:cNvGraphicFramePr/>
          </xdr:nvGraphicFramePr>
          <xdr:xfrm>
            <a:off x="0" y="0"/>
            <a:ext cx="0" cy="0"/>
          </xdr:xfrm>
          <a:graphic>
            <a:graphicData uri="http://schemas.microsoft.com/office/drawing/2010/slicer">
              <sle:slicer xmlns:sle="http://schemas.microsoft.com/office/drawing/2010/slicer" name="Stadium"/>
            </a:graphicData>
          </a:graphic>
        </xdr:graphicFrame>
      </mc:Choice>
      <mc:Fallback xmlns="">
        <xdr:sp macro="" textlink="">
          <xdr:nvSpPr>
            <xdr:cNvPr id="0" name=""/>
            <xdr:cNvSpPr>
              <a:spLocks noTextEdit="1"/>
            </xdr:cNvSpPr>
          </xdr:nvSpPr>
          <xdr:spPr>
            <a:xfrm>
              <a:off x="15589432" y="764176"/>
              <a:ext cx="1828800" cy="4112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350519</xdr:colOff>
      <xdr:row>26</xdr:row>
      <xdr:rowOff>155666</xdr:rowOff>
    </xdr:from>
    <xdr:to>
      <xdr:col>22</xdr:col>
      <xdr:colOff>67489</xdr:colOff>
      <xdr:row>33</xdr:row>
      <xdr:rowOff>0</xdr:rowOff>
    </xdr:to>
    <mc:AlternateContent xmlns:mc="http://schemas.openxmlformats.org/markup-compatibility/2006" xmlns:a14="http://schemas.microsoft.com/office/drawing/2010/main">
      <mc:Choice Requires="a14">
        <xdr:graphicFrame macro="">
          <xdr:nvGraphicFramePr>
            <xdr:cNvPr id="25" name="Toss Decision">
              <a:extLst>
                <a:ext uri="{FF2B5EF4-FFF2-40B4-BE49-F238E27FC236}">
                  <a16:creationId xmlns:a16="http://schemas.microsoft.com/office/drawing/2014/main" id="{92870AE4-98D8-B72E-0176-06B45077BFD0}"/>
                </a:ext>
              </a:extLst>
            </xdr:cNvPr>
            <xdr:cNvGraphicFramePr/>
          </xdr:nvGraphicFramePr>
          <xdr:xfrm>
            <a:off x="0" y="0"/>
            <a:ext cx="0" cy="0"/>
          </xdr:xfrm>
          <a:graphic>
            <a:graphicData uri="http://schemas.microsoft.com/office/drawing/2010/slicer">
              <sle:slicer xmlns:sle="http://schemas.microsoft.com/office/drawing/2010/slicer" name="Toss Decision"/>
            </a:graphicData>
          </a:graphic>
        </xdr:graphicFrame>
      </mc:Choice>
      <mc:Fallback xmlns="">
        <xdr:sp macro="" textlink="">
          <xdr:nvSpPr>
            <xdr:cNvPr id="0" name=""/>
            <xdr:cNvSpPr>
              <a:spLocks noTextEdit="1"/>
            </xdr:cNvSpPr>
          </xdr:nvSpPr>
          <xdr:spPr>
            <a:xfrm>
              <a:off x="17909176" y="4978037"/>
              <a:ext cx="1828800" cy="1117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483211</xdr:colOff>
      <xdr:row>3</xdr:row>
      <xdr:rowOff>81185</xdr:rowOff>
    </xdr:from>
    <xdr:to>
      <xdr:col>24</xdr:col>
      <xdr:colOff>259483</xdr:colOff>
      <xdr:row>17</xdr:row>
      <xdr:rowOff>144901</xdr:rowOff>
    </xdr:to>
    <mc:AlternateContent xmlns:mc="http://schemas.openxmlformats.org/markup-compatibility/2006" xmlns:a14="http://schemas.microsoft.com/office/drawing/2010/main">
      <mc:Choice Requires="a14">
        <xdr:graphicFrame macro="">
          <xdr:nvGraphicFramePr>
            <xdr:cNvPr id="27" name="Winning Team">
              <a:extLst>
                <a:ext uri="{FF2B5EF4-FFF2-40B4-BE49-F238E27FC236}">
                  <a16:creationId xmlns:a16="http://schemas.microsoft.com/office/drawing/2014/main" id="{81453517-E4AA-DFCE-0154-37D1494E02AC}"/>
                </a:ext>
              </a:extLst>
            </xdr:cNvPr>
            <xdr:cNvGraphicFramePr/>
          </xdr:nvGraphicFramePr>
          <xdr:xfrm>
            <a:off x="0" y="0"/>
            <a:ext cx="0" cy="0"/>
          </xdr:xfrm>
          <a:graphic>
            <a:graphicData uri="http://schemas.microsoft.com/office/drawing/2010/slicer">
              <sle:slicer xmlns:sle="http://schemas.microsoft.com/office/drawing/2010/slicer" name="Winning Team"/>
            </a:graphicData>
          </a:graphic>
        </xdr:graphicFrame>
      </mc:Choice>
      <mc:Fallback xmlns="">
        <xdr:sp macro="" textlink="">
          <xdr:nvSpPr>
            <xdr:cNvPr id="0" name=""/>
            <xdr:cNvSpPr>
              <a:spLocks noTextEdit="1"/>
            </xdr:cNvSpPr>
          </xdr:nvSpPr>
          <xdr:spPr>
            <a:xfrm>
              <a:off x="22204693" y="663891"/>
              <a:ext cx="1829190" cy="2573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352728</xdr:colOff>
      <xdr:row>188</xdr:row>
      <xdr:rowOff>15269</xdr:rowOff>
    </xdr:from>
    <xdr:to>
      <xdr:col>16</xdr:col>
      <xdr:colOff>460375</xdr:colOff>
      <xdr:row>203</xdr:row>
      <xdr:rowOff>3023</xdr:rowOff>
    </xdr:to>
    <xdr:graphicFrame macro="">
      <xdr:nvGraphicFramePr>
        <xdr:cNvPr id="4" name="Chart 3">
          <a:extLst>
            <a:ext uri="{FF2B5EF4-FFF2-40B4-BE49-F238E27FC236}">
              <a16:creationId xmlns:a16="http://schemas.microsoft.com/office/drawing/2014/main" id="{986341AB-B3CC-806D-5996-0984B64A5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152400</xdr:rowOff>
    </xdr:from>
    <xdr:to>
      <xdr:col>38</xdr:col>
      <xdr:colOff>592667</xdr:colOff>
      <xdr:row>200</xdr:row>
      <xdr:rowOff>155223</xdr:rowOff>
    </xdr:to>
    <xdr:sp macro="" textlink="">
      <xdr:nvSpPr>
        <xdr:cNvPr id="89" name="Rectangle 88">
          <a:extLst>
            <a:ext uri="{FF2B5EF4-FFF2-40B4-BE49-F238E27FC236}">
              <a16:creationId xmlns:a16="http://schemas.microsoft.com/office/drawing/2014/main" id="{F07DFBA7-6D69-B9A7-8662-BA69DB95B37F}"/>
            </a:ext>
          </a:extLst>
        </xdr:cNvPr>
        <xdr:cNvSpPr/>
      </xdr:nvSpPr>
      <xdr:spPr>
        <a:xfrm>
          <a:off x="616085" y="509081"/>
          <a:ext cx="23355391" cy="38881036"/>
        </a:xfrm>
        <a:prstGeom prst="rect">
          <a:avLst/>
        </a:prstGeom>
        <a:noFill/>
        <a:ln>
          <a:solidFill>
            <a:schemeClr val="accent5">
              <a:lumMod val="75000"/>
            </a:schemeClr>
          </a:solidFill>
        </a:ln>
        <a:effectLst>
          <a:glow rad="63500">
            <a:schemeClr val="accent5">
              <a:satMod val="175000"/>
              <a:alpha val="40000"/>
            </a:schemeClr>
          </a:glow>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14111</xdr:colOff>
      <xdr:row>11</xdr:row>
      <xdr:rowOff>0</xdr:rowOff>
    </xdr:from>
    <xdr:to>
      <xdr:col>4</xdr:col>
      <xdr:colOff>592666</xdr:colOff>
      <xdr:row>15</xdr:row>
      <xdr:rowOff>14111</xdr:rowOff>
    </xdr:to>
    <xdr:sp macro="" textlink="">
      <xdr:nvSpPr>
        <xdr:cNvPr id="78" name="Rectangle: Rounded Corners 77">
          <a:extLst>
            <a:ext uri="{FF2B5EF4-FFF2-40B4-BE49-F238E27FC236}">
              <a16:creationId xmlns:a16="http://schemas.microsoft.com/office/drawing/2014/main" id="{7BE2D029-CEBA-62D7-A36D-EF57ADF209A0}"/>
            </a:ext>
          </a:extLst>
        </xdr:cNvPr>
        <xdr:cNvSpPr/>
      </xdr:nvSpPr>
      <xdr:spPr>
        <a:xfrm>
          <a:off x="620889" y="1425222"/>
          <a:ext cx="2398888" cy="1298222"/>
        </a:xfrm>
        <a:prstGeom prst="roundRect">
          <a:avLst/>
        </a:prstGeom>
        <a:noFill/>
        <a:ln w="28575">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1</xdr:col>
      <xdr:colOff>15552</xdr:colOff>
      <xdr:row>28</xdr:row>
      <xdr:rowOff>16771</xdr:rowOff>
    </xdr:from>
    <xdr:to>
      <xdr:col>13</xdr:col>
      <xdr:colOff>171787</xdr:colOff>
      <xdr:row>52</xdr:row>
      <xdr:rowOff>33130</xdr:rowOff>
    </xdr:to>
    <xdr:graphicFrame macro="">
      <xdr:nvGraphicFramePr>
        <xdr:cNvPr id="4" name="Chart 3">
          <a:extLst>
            <a:ext uri="{FF2B5EF4-FFF2-40B4-BE49-F238E27FC236}">
              <a16:creationId xmlns:a16="http://schemas.microsoft.com/office/drawing/2014/main" id="{9A57538D-E535-45C2-BA96-6DA38D17E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5443</xdr:colOff>
      <xdr:row>26</xdr:row>
      <xdr:rowOff>5443</xdr:rowOff>
    </xdr:from>
    <xdr:to>
      <xdr:col>1</xdr:col>
      <xdr:colOff>478972</xdr:colOff>
      <xdr:row>27</xdr:row>
      <xdr:rowOff>168729</xdr:rowOff>
    </xdr:to>
    <xdr:sp macro="" textlink="">
      <xdr:nvSpPr>
        <xdr:cNvPr id="5" name="Rectangle 4">
          <a:extLst>
            <a:ext uri="{FF2B5EF4-FFF2-40B4-BE49-F238E27FC236}">
              <a16:creationId xmlns:a16="http://schemas.microsoft.com/office/drawing/2014/main" id="{826FC33C-A616-308B-9AFF-59C621E66EE7}"/>
            </a:ext>
          </a:extLst>
        </xdr:cNvPr>
        <xdr:cNvSpPr/>
      </xdr:nvSpPr>
      <xdr:spPr>
        <a:xfrm>
          <a:off x="615043" y="3766457"/>
          <a:ext cx="473529" cy="429986"/>
        </a:xfrm>
        <a:prstGeom prst="rect">
          <a:avLst/>
        </a:prstGeom>
        <a:solidFill>
          <a:srgbClr val="F2B2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165652</xdr:colOff>
      <xdr:row>28</xdr:row>
      <xdr:rowOff>16565</xdr:rowOff>
    </xdr:from>
    <xdr:to>
      <xdr:col>25</xdr:col>
      <xdr:colOff>609231</xdr:colOff>
      <xdr:row>51</xdr:row>
      <xdr:rowOff>165652</xdr:rowOff>
    </xdr:to>
    <xdr:graphicFrame macro="">
      <xdr:nvGraphicFramePr>
        <xdr:cNvPr id="2" name="Chart 1">
          <a:extLst>
            <a:ext uri="{FF2B5EF4-FFF2-40B4-BE49-F238E27FC236}">
              <a16:creationId xmlns:a16="http://schemas.microsoft.com/office/drawing/2014/main" id="{09E3B5E7-5A5E-4A7A-861A-DF372E9C8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1576</xdr:colOff>
      <xdr:row>28</xdr:row>
      <xdr:rowOff>19720</xdr:rowOff>
    </xdr:from>
    <xdr:to>
      <xdr:col>38</xdr:col>
      <xdr:colOff>581187</xdr:colOff>
      <xdr:row>52</xdr:row>
      <xdr:rowOff>1577</xdr:rowOff>
    </xdr:to>
    <xdr:graphicFrame macro="">
      <xdr:nvGraphicFramePr>
        <xdr:cNvPr id="6" name="Chart 5">
          <a:extLst>
            <a:ext uri="{FF2B5EF4-FFF2-40B4-BE49-F238E27FC236}">
              <a16:creationId xmlns:a16="http://schemas.microsoft.com/office/drawing/2014/main" id="{951466D3-FFE2-4B9B-91E7-26A6946E4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5443</xdr:colOff>
      <xdr:row>53</xdr:row>
      <xdr:rowOff>5443</xdr:rowOff>
    </xdr:from>
    <xdr:to>
      <xdr:col>1</xdr:col>
      <xdr:colOff>478972</xdr:colOff>
      <xdr:row>54</xdr:row>
      <xdr:rowOff>168729</xdr:rowOff>
    </xdr:to>
    <xdr:sp macro="" textlink="">
      <xdr:nvSpPr>
        <xdr:cNvPr id="8" name="Rectangle 7">
          <a:extLst>
            <a:ext uri="{FF2B5EF4-FFF2-40B4-BE49-F238E27FC236}">
              <a16:creationId xmlns:a16="http://schemas.microsoft.com/office/drawing/2014/main" id="{C898EAA2-1235-4C34-A397-46A3FF0E51A6}"/>
            </a:ext>
          </a:extLst>
        </xdr:cNvPr>
        <xdr:cNvSpPr/>
      </xdr:nvSpPr>
      <xdr:spPr>
        <a:xfrm>
          <a:off x="618356" y="3765747"/>
          <a:ext cx="473529" cy="428330"/>
        </a:xfrm>
        <a:prstGeom prst="rect">
          <a:avLst/>
        </a:prstGeom>
        <a:solidFill>
          <a:srgbClr val="F2B1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20969</xdr:colOff>
      <xdr:row>55</xdr:row>
      <xdr:rowOff>15551</xdr:rowOff>
    </xdr:from>
    <xdr:to>
      <xdr:col>10</xdr:col>
      <xdr:colOff>267369</xdr:colOff>
      <xdr:row>80</xdr:row>
      <xdr:rowOff>50187</xdr:rowOff>
    </xdr:to>
    <xdr:graphicFrame macro="">
      <xdr:nvGraphicFramePr>
        <xdr:cNvPr id="9" name="Chart 8">
          <a:extLst>
            <a:ext uri="{FF2B5EF4-FFF2-40B4-BE49-F238E27FC236}">
              <a16:creationId xmlns:a16="http://schemas.microsoft.com/office/drawing/2014/main" id="{CA5D1DAF-A58D-43CB-96BB-104A07E2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350308</xdr:colOff>
      <xdr:row>55</xdr:row>
      <xdr:rowOff>16565</xdr:rowOff>
    </xdr:from>
    <xdr:to>
      <xdr:col>20</xdr:col>
      <xdr:colOff>210348</xdr:colOff>
      <xdr:row>80</xdr:row>
      <xdr:rowOff>47667</xdr:rowOff>
    </xdr:to>
    <xdr:graphicFrame macro="">
      <xdr:nvGraphicFramePr>
        <xdr:cNvPr id="11" name="Chart 10">
          <a:extLst>
            <a:ext uri="{FF2B5EF4-FFF2-40B4-BE49-F238E27FC236}">
              <a16:creationId xmlns:a16="http://schemas.microsoft.com/office/drawing/2014/main" id="{98EE1F40-70F6-480C-B9C5-8A754946D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288922</xdr:colOff>
      <xdr:row>55</xdr:row>
      <xdr:rowOff>17734</xdr:rowOff>
    </xdr:from>
    <xdr:to>
      <xdr:col>30</xdr:col>
      <xdr:colOff>382227</xdr:colOff>
      <xdr:row>80</xdr:row>
      <xdr:rowOff>17734</xdr:rowOff>
    </xdr:to>
    <xdr:graphicFrame macro="">
      <xdr:nvGraphicFramePr>
        <xdr:cNvPr id="12" name="Chart 11">
          <a:extLst>
            <a:ext uri="{FF2B5EF4-FFF2-40B4-BE49-F238E27FC236}">
              <a16:creationId xmlns:a16="http://schemas.microsoft.com/office/drawing/2014/main" id="{90C1CECB-3378-405B-959B-DFB1D8DB1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472452</xdr:colOff>
      <xdr:row>55</xdr:row>
      <xdr:rowOff>13885</xdr:rowOff>
    </xdr:from>
    <xdr:to>
      <xdr:col>38</xdr:col>
      <xdr:colOff>555357</xdr:colOff>
      <xdr:row>80</xdr:row>
      <xdr:rowOff>63218</xdr:rowOff>
    </xdr:to>
    <xdr:graphicFrame macro="">
      <xdr:nvGraphicFramePr>
        <xdr:cNvPr id="3" name="Chart 2">
          <a:extLst>
            <a:ext uri="{FF2B5EF4-FFF2-40B4-BE49-F238E27FC236}">
              <a16:creationId xmlns:a16="http://schemas.microsoft.com/office/drawing/2014/main" id="{0C560350-1615-4816-A13C-BD895B207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5443</xdr:colOff>
      <xdr:row>81</xdr:row>
      <xdr:rowOff>5443</xdr:rowOff>
    </xdr:from>
    <xdr:to>
      <xdr:col>1</xdr:col>
      <xdr:colOff>478972</xdr:colOff>
      <xdr:row>82</xdr:row>
      <xdr:rowOff>168729</xdr:rowOff>
    </xdr:to>
    <xdr:sp macro="" textlink="">
      <xdr:nvSpPr>
        <xdr:cNvPr id="10" name="Rectangle 9">
          <a:extLst>
            <a:ext uri="{FF2B5EF4-FFF2-40B4-BE49-F238E27FC236}">
              <a16:creationId xmlns:a16="http://schemas.microsoft.com/office/drawing/2014/main" id="{DD79B438-2060-4BD1-A7B6-60F6E8DF32E2}"/>
            </a:ext>
          </a:extLst>
        </xdr:cNvPr>
        <xdr:cNvSpPr/>
      </xdr:nvSpPr>
      <xdr:spPr>
        <a:xfrm>
          <a:off x="618356" y="9911443"/>
          <a:ext cx="473529" cy="428329"/>
        </a:xfrm>
        <a:prstGeom prst="rect">
          <a:avLst/>
        </a:prstGeom>
        <a:solidFill>
          <a:srgbClr val="F2B1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64576</xdr:colOff>
      <xdr:row>83</xdr:row>
      <xdr:rowOff>0</xdr:rowOff>
    </xdr:from>
    <xdr:to>
      <xdr:col>12</xdr:col>
      <xdr:colOff>596348</xdr:colOff>
      <xdr:row>108</xdr:row>
      <xdr:rowOff>99391</xdr:rowOff>
    </xdr:to>
    <xdr:graphicFrame macro="">
      <xdr:nvGraphicFramePr>
        <xdr:cNvPr id="13" name="Chart 12">
          <a:extLst>
            <a:ext uri="{FF2B5EF4-FFF2-40B4-BE49-F238E27FC236}">
              <a16:creationId xmlns:a16="http://schemas.microsoft.com/office/drawing/2014/main" id="{DD25867E-A6CD-4ADB-ACF6-8CCFD6141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149087</xdr:colOff>
      <xdr:row>83</xdr:row>
      <xdr:rowOff>0</xdr:rowOff>
    </xdr:from>
    <xdr:to>
      <xdr:col>25</xdr:col>
      <xdr:colOff>596347</xdr:colOff>
      <xdr:row>108</xdr:row>
      <xdr:rowOff>99391</xdr:rowOff>
    </xdr:to>
    <xdr:graphicFrame macro="">
      <xdr:nvGraphicFramePr>
        <xdr:cNvPr id="15" name="Chart 14">
          <a:extLst>
            <a:ext uri="{FF2B5EF4-FFF2-40B4-BE49-F238E27FC236}">
              <a16:creationId xmlns:a16="http://schemas.microsoft.com/office/drawing/2014/main" id="{EA72E0E6-A2CA-4BD5-8D48-FC6AB5659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1</xdr:colOff>
      <xdr:row>83</xdr:row>
      <xdr:rowOff>0</xdr:rowOff>
    </xdr:from>
    <xdr:to>
      <xdr:col>38</xdr:col>
      <xdr:colOff>568273</xdr:colOff>
      <xdr:row>108</xdr:row>
      <xdr:rowOff>66261</xdr:rowOff>
    </xdr:to>
    <xdr:graphicFrame macro="">
      <xdr:nvGraphicFramePr>
        <xdr:cNvPr id="16" name="Chart 15">
          <a:extLst>
            <a:ext uri="{FF2B5EF4-FFF2-40B4-BE49-F238E27FC236}">
              <a16:creationId xmlns:a16="http://schemas.microsoft.com/office/drawing/2014/main" id="{28BD860B-31A4-47C2-937C-C2F342168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5443</xdr:colOff>
      <xdr:row>109</xdr:row>
      <xdr:rowOff>5443</xdr:rowOff>
    </xdr:from>
    <xdr:to>
      <xdr:col>1</xdr:col>
      <xdr:colOff>478972</xdr:colOff>
      <xdr:row>110</xdr:row>
      <xdr:rowOff>168729</xdr:rowOff>
    </xdr:to>
    <xdr:sp macro="" textlink="">
      <xdr:nvSpPr>
        <xdr:cNvPr id="17" name="Rectangle 16">
          <a:extLst>
            <a:ext uri="{FF2B5EF4-FFF2-40B4-BE49-F238E27FC236}">
              <a16:creationId xmlns:a16="http://schemas.microsoft.com/office/drawing/2014/main" id="{36A4700A-5573-4FC4-A7D6-7AB6182A78C8}"/>
            </a:ext>
          </a:extLst>
        </xdr:cNvPr>
        <xdr:cNvSpPr/>
      </xdr:nvSpPr>
      <xdr:spPr>
        <a:xfrm>
          <a:off x="618356" y="15129486"/>
          <a:ext cx="473529" cy="428330"/>
        </a:xfrm>
        <a:prstGeom prst="rect">
          <a:avLst/>
        </a:prstGeom>
        <a:solidFill>
          <a:srgbClr val="F2B1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25830</xdr:colOff>
      <xdr:row>111</xdr:row>
      <xdr:rowOff>0</xdr:rowOff>
    </xdr:from>
    <xdr:to>
      <xdr:col>13</xdr:col>
      <xdr:colOff>33130</xdr:colOff>
      <xdr:row>136</xdr:row>
      <xdr:rowOff>66261</xdr:rowOff>
    </xdr:to>
    <xdr:graphicFrame macro="">
      <xdr:nvGraphicFramePr>
        <xdr:cNvPr id="18" name="Chart 17">
          <a:extLst>
            <a:ext uri="{FF2B5EF4-FFF2-40B4-BE49-F238E27FC236}">
              <a16:creationId xmlns:a16="http://schemas.microsoft.com/office/drawing/2014/main" id="{EFC0BF8A-EE58-4AF1-AD86-A019579F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182217</xdr:colOff>
      <xdr:row>111</xdr:row>
      <xdr:rowOff>0</xdr:rowOff>
    </xdr:from>
    <xdr:to>
      <xdr:col>26</xdr:col>
      <xdr:colOff>16564</xdr:colOff>
      <xdr:row>136</xdr:row>
      <xdr:rowOff>99391</xdr:rowOff>
    </xdr:to>
    <xdr:graphicFrame macro="">
      <xdr:nvGraphicFramePr>
        <xdr:cNvPr id="19" name="Chart 18">
          <a:extLst>
            <a:ext uri="{FF2B5EF4-FFF2-40B4-BE49-F238E27FC236}">
              <a16:creationId xmlns:a16="http://schemas.microsoft.com/office/drawing/2014/main" id="{A0661E93-C1A6-43CF-AC58-69B6FBA87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5443</xdr:colOff>
      <xdr:row>137</xdr:row>
      <xdr:rowOff>5443</xdr:rowOff>
    </xdr:from>
    <xdr:to>
      <xdr:col>1</xdr:col>
      <xdr:colOff>478972</xdr:colOff>
      <xdr:row>138</xdr:row>
      <xdr:rowOff>168729</xdr:rowOff>
    </xdr:to>
    <xdr:sp macro="" textlink="">
      <xdr:nvSpPr>
        <xdr:cNvPr id="21" name="Rectangle 20">
          <a:extLst>
            <a:ext uri="{FF2B5EF4-FFF2-40B4-BE49-F238E27FC236}">
              <a16:creationId xmlns:a16="http://schemas.microsoft.com/office/drawing/2014/main" id="{BB18CA28-7E99-4961-B3C6-6B0D331D2D5C}"/>
            </a:ext>
          </a:extLst>
        </xdr:cNvPr>
        <xdr:cNvSpPr/>
      </xdr:nvSpPr>
      <xdr:spPr>
        <a:xfrm>
          <a:off x="609292" y="20723217"/>
          <a:ext cx="473529" cy="436455"/>
        </a:xfrm>
        <a:prstGeom prst="rect">
          <a:avLst/>
        </a:prstGeom>
        <a:solidFill>
          <a:srgbClr val="F2B1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12915</xdr:colOff>
      <xdr:row>139</xdr:row>
      <xdr:rowOff>0</xdr:rowOff>
    </xdr:from>
    <xdr:to>
      <xdr:col>13</xdr:col>
      <xdr:colOff>14375</xdr:colOff>
      <xdr:row>164</xdr:row>
      <xdr:rowOff>86264</xdr:rowOff>
    </xdr:to>
    <xdr:graphicFrame macro="">
      <xdr:nvGraphicFramePr>
        <xdr:cNvPr id="23" name="Chart 22">
          <a:extLst>
            <a:ext uri="{FF2B5EF4-FFF2-40B4-BE49-F238E27FC236}">
              <a16:creationId xmlns:a16="http://schemas.microsoft.com/office/drawing/2014/main" id="{E95D9A69-72A5-4EDA-844D-5CFDDA597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xdr:colOff>
      <xdr:row>139</xdr:row>
      <xdr:rowOff>-1</xdr:rowOff>
    </xdr:from>
    <xdr:to>
      <xdr:col>25</xdr:col>
      <xdr:colOff>589471</xdr:colOff>
      <xdr:row>164</xdr:row>
      <xdr:rowOff>86263</xdr:rowOff>
    </xdr:to>
    <xdr:graphicFrame macro="">
      <xdr:nvGraphicFramePr>
        <xdr:cNvPr id="24" name="Chart 23">
          <a:extLst>
            <a:ext uri="{FF2B5EF4-FFF2-40B4-BE49-F238E27FC236}">
              <a16:creationId xmlns:a16="http://schemas.microsoft.com/office/drawing/2014/main" id="{383973B2-5D65-43E0-9CFB-CDFEA90E5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27</xdr:col>
      <xdr:colOff>1</xdr:colOff>
      <xdr:row>139</xdr:row>
      <xdr:rowOff>-1</xdr:rowOff>
    </xdr:from>
    <xdr:to>
      <xdr:col>38</xdr:col>
      <xdr:colOff>555357</xdr:colOff>
      <xdr:row>164</xdr:row>
      <xdr:rowOff>86263</xdr:rowOff>
    </xdr:to>
    <xdr:graphicFrame macro="">
      <xdr:nvGraphicFramePr>
        <xdr:cNvPr id="28" name="Chart 27">
          <a:extLst>
            <a:ext uri="{FF2B5EF4-FFF2-40B4-BE49-F238E27FC236}">
              <a16:creationId xmlns:a16="http://schemas.microsoft.com/office/drawing/2014/main" id="{22AADD27-7376-46B8-8FD1-40FC607FF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5443</xdr:colOff>
      <xdr:row>165</xdr:row>
      <xdr:rowOff>5443</xdr:rowOff>
    </xdr:from>
    <xdr:to>
      <xdr:col>1</xdr:col>
      <xdr:colOff>478972</xdr:colOff>
      <xdr:row>166</xdr:row>
      <xdr:rowOff>168729</xdr:rowOff>
    </xdr:to>
    <xdr:sp macro="" textlink="">
      <xdr:nvSpPr>
        <xdr:cNvPr id="29" name="Rectangle 28">
          <a:extLst>
            <a:ext uri="{FF2B5EF4-FFF2-40B4-BE49-F238E27FC236}">
              <a16:creationId xmlns:a16="http://schemas.microsoft.com/office/drawing/2014/main" id="{81FC3CE8-0693-4B1D-B1A4-8FB0E6B91A2E}"/>
            </a:ext>
          </a:extLst>
        </xdr:cNvPr>
        <xdr:cNvSpPr/>
      </xdr:nvSpPr>
      <xdr:spPr>
        <a:xfrm>
          <a:off x="609292" y="26042839"/>
          <a:ext cx="473529" cy="436456"/>
        </a:xfrm>
        <a:prstGeom prst="rect">
          <a:avLst/>
        </a:prstGeom>
        <a:solidFill>
          <a:srgbClr val="F2B13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38746</xdr:colOff>
      <xdr:row>167</xdr:row>
      <xdr:rowOff>0</xdr:rowOff>
    </xdr:from>
    <xdr:to>
      <xdr:col>13</xdr:col>
      <xdr:colOff>28754</xdr:colOff>
      <xdr:row>192</xdr:row>
      <xdr:rowOff>86264</xdr:rowOff>
    </xdr:to>
    <xdr:graphicFrame macro="">
      <xdr:nvGraphicFramePr>
        <xdr:cNvPr id="30" name="Chart 29">
          <a:extLst>
            <a:ext uri="{FF2B5EF4-FFF2-40B4-BE49-F238E27FC236}">
              <a16:creationId xmlns:a16="http://schemas.microsoft.com/office/drawing/2014/main" id="{6B7AB790-BCAA-448F-BA63-3D51DBDF9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0</xdr:colOff>
      <xdr:row>167</xdr:row>
      <xdr:rowOff>0</xdr:rowOff>
    </xdr:from>
    <xdr:to>
      <xdr:col>26</xdr:col>
      <xdr:colOff>0</xdr:colOff>
      <xdr:row>192</xdr:row>
      <xdr:rowOff>86264</xdr:rowOff>
    </xdr:to>
    <xdr:graphicFrame macro="">
      <xdr:nvGraphicFramePr>
        <xdr:cNvPr id="31" name="Chart 30">
          <a:extLst>
            <a:ext uri="{FF2B5EF4-FFF2-40B4-BE49-F238E27FC236}">
              <a16:creationId xmlns:a16="http://schemas.microsoft.com/office/drawing/2014/main" id="{87A9D292-7E0A-4326-9265-87F4B0312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5896</xdr:colOff>
      <xdr:row>167</xdr:row>
      <xdr:rowOff>0</xdr:rowOff>
    </xdr:from>
    <xdr:to>
      <xdr:col>38</xdr:col>
      <xdr:colOff>542442</xdr:colOff>
      <xdr:row>192</xdr:row>
      <xdr:rowOff>99392</xdr:rowOff>
    </xdr:to>
    <xdr:graphicFrame macro="">
      <xdr:nvGraphicFramePr>
        <xdr:cNvPr id="33" name="Chart 32">
          <a:extLst>
            <a:ext uri="{FF2B5EF4-FFF2-40B4-BE49-F238E27FC236}">
              <a16:creationId xmlns:a16="http://schemas.microsoft.com/office/drawing/2014/main" id="{12037A16-FF3A-4785-B881-67054A7A6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31102</xdr:colOff>
      <xdr:row>16</xdr:row>
      <xdr:rowOff>291141</xdr:rowOff>
    </xdr:from>
    <xdr:to>
      <xdr:col>17</xdr:col>
      <xdr:colOff>338667</xdr:colOff>
      <xdr:row>19</xdr:row>
      <xdr:rowOff>110066</xdr:rowOff>
    </xdr:to>
    <mc:AlternateContent xmlns:mc="http://schemas.openxmlformats.org/markup-compatibility/2006" xmlns:a14="http://schemas.microsoft.com/office/drawing/2010/main">
      <mc:Choice Requires="a14">
        <xdr:graphicFrame macro="">
          <xdr:nvGraphicFramePr>
            <xdr:cNvPr id="22" name="Team 1">
              <a:extLst>
                <a:ext uri="{FF2B5EF4-FFF2-40B4-BE49-F238E27FC236}">
                  <a16:creationId xmlns:a16="http://schemas.microsoft.com/office/drawing/2014/main" id="{FDD1FEF5-15BA-44A7-8948-D43DDF4A80E6}"/>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636794" y="3651756"/>
              <a:ext cx="9979104" cy="1108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15185</xdr:colOff>
      <xdr:row>19</xdr:row>
      <xdr:rowOff>88655</xdr:rowOff>
    </xdr:from>
    <xdr:to>
      <xdr:col>25</xdr:col>
      <xdr:colOff>150919</xdr:colOff>
      <xdr:row>24</xdr:row>
      <xdr:rowOff>156173</xdr:rowOff>
    </xdr:to>
    <mc:AlternateContent xmlns:mc="http://schemas.openxmlformats.org/markup-compatibility/2006" xmlns:a14="http://schemas.microsoft.com/office/drawing/2010/main">
      <mc:Choice Requires="a14">
        <xdr:graphicFrame macro="">
          <xdr:nvGraphicFramePr>
            <xdr:cNvPr id="25" name="Stadium 1">
              <a:extLst>
                <a:ext uri="{FF2B5EF4-FFF2-40B4-BE49-F238E27FC236}">
                  <a16:creationId xmlns:a16="http://schemas.microsoft.com/office/drawing/2014/main" id="{C7042C31-BFB9-4E3D-A278-ED8C4FD8804D}"/>
                </a:ext>
              </a:extLst>
            </xdr:cNvPr>
            <xdr:cNvGraphicFramePr/>
          </xdr:nvGraphicFramePr>
          <xdr:xfrm>
            <a:off x="0" y="0"/>
            <a:ext cx="0" cy="0"/>
          </xdr:xfrm>
          <a:graphic>
            <a:graphicData uri="http://schemas.microsoft.com/office/drawing/2010/slicer">
              <sle:slicer xmlns:sle="http://schemas.microsoft.com/office/drawing/2010/slicer" name="Stadium 1"/>
            </a:graphicData>
          </a:graphic>
        </xdr:graphicFrame>
      </mc:Choice>
      <mc:Fallback xmlns="">
        <xdr:sp macro="" textlink="">
          <xdr:nvSpPr>
            <xdr:cNvPr id="0" name=""/>
            <xdr:cNvSpPr>
              <a:spLocks noTextEdit="1"/>
            </xdr:cNvSpPr>
          </xdr:nvSpPr>
          <xdr:spPr>
            <a:xfrm>
              <a:off x="628098" y="5372959"/>
              <a:ext cx="14812517" cy="1574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325827</xdr:colOff>
      <xdr:row>19</xdr:row>
      <xdr:rowOff>177466</xdr:rowOff>
    </xdr:from>
    <xdr:to>
      <xdr:col>38</xdr:col>
      <xdr:colOff>254000</xdr:colOff>
      <xdr:row>22</xdr:row>
      <xdr:rowOff>107496</xdr:rowOff>
    </xdr:to>
    <mc:AlternateContent xmlns:mc="http://schemas.openxmlformats.org/markup-compatibility/2006" xmlns:a14="http://schemas.microsoft.com/office/drawing/2010/main">
      <mc:Choice Requires="a14">
        <xdr:graphicFrame macro="">
          <xdr:nvGraphicFramePr>
            <xdr:cNvPr id="26" name="City 1">
              <a:extLst>
                <a:ext uri="{FF2B5EF4-FFF2-40B4-BE49-F238E27FC236}">
                  <a16:creationId xmlns:a16="http://schemas.microsoft.com/office/drawing/2014/main" id="{5B384519-5FD4-4E3C-869F-73DB7874CBB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48596" y="4827620"/>
              <a:ext cx="7860789" cy="1004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522817</xdr:colOff>
      <xdr:row>16</xdr:row>
      <xdr:rowOff>266871</xdr:rowOff>
    </xdr:from>
    <xdr:to>
      <xdr:col>34</xdr:col>
      <xdr:colOff>149938</xdr:colOff>
      <xdr:row>18</xdr:row>
      <xdr:rowOff>393700</xdr:rowOff>
    </xdr:to>
    <mc:AlternateContent xmlns:mc="http://schemas.openxmlformats.org/markup-compatibility/2006" xmlns:a14="http://schemas.microsoft.com/office/drawing/2010/main">
      <mc:Choice Requires="a14">
        <xdr:graphicFrame macro="">
          <xdr:nvGraphicFramePr>
            <xdr:cNvPr id="32" name="Winning Team 1">
              <a:extLst>
                <a:ext uri="{FF2B5EF4-FFF2-40B4-BE49-F238E27FC236}">
                  <a16:creationId xmlns:a16="http://schemas.microsoft.com/office/drawing/2014/main" id="{8E9262E7-0967-4F87-9BB4-18A5BA64A2A9}"/>
                </a:ext>
              </a:extLst>
            </xdr:cNvPr>
            <xdr:cNvGraphicFramePr/>
          </xdr:nvGraphicFramePr>
          <xdr:xfrm>
            <a:off x="0" y="0"/>
            <a:ext cx="0" cy="0"/>
          </xdr:xfrm>
          <a:graphic>
            <a:graphicData uri="http://schemas.microsoft.com/office/drawing/2010/slicer">
              <sle:slicer xmlns:sle="http://schemas.microsoft.com/office/drawing/2010/slicer" name="Winning Team 1"/>
            </a:graphicData>
          </a:graphic>
        </xdr:graphicFrame>
      </mc:Choice>
      <mc:Fallback xmlns="">
        <xdr:sp macro="" textlink="">
          <xdr:nvSpPr>
            <xdr:cNvPr id="0" name=""/>
            <xdr:cNvSpPr>
              <a:spLocks noTextEdit="1"/>
            </xdr:cNvSpPr>
          </xdr:nvSpPr>
          <xdr:spPr>
            <a:xfrm>
              <a:off x="10800048" y="3627486"/>
              <a:ext cx="9982505" cy="986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354550</xdr:colOff>
      <xdr:row>16</xdr:row>
      <xdr:rowOff>305749</xdr:rowOff>
    </xdr:from>
    <xdr:to>
      <xdr:col>38</xdr:col>
      <xdr:colOff>147288</xdr:colOff>
      <xdr:row>18</xdr:row>
      <xdr:rowOff>306953</xdr:rowOff>
    </xdr:to>
    <mc:AlternateContent xmlns:mc="http://schemas.openxmlformats.org/markup-compatibility/2006" xmlns:a14="http://schemas.microsoft.com/office/drawing/2010/main">
      <mc:Choice Requires="a14">
        <xdr:graphicFrame macro="">
          <xdr:nvGraphicFramePr>
            <xdr:cNvPr id="34" name="Toss Decision 1">
              <a:extLst>
                <a:ext uri="{FF2B5EF4-FFF2-40B4-BE49-F238E27FC236}">
                  <a16:creationId xmlns:a16="http://schemas.microsoft.com/office/drawing/2014/main" id="{A80B93C1-D8AC-47B8-A4FF-7E83F71283DC}"/>
                </a:ext>
              </a:extLst>
            </xdr:cNvPr>
            <xdr:cNvGraphicFramePr/>
          </xdr:nvGraphicFramePr>
          <xdr:xfrm>
            <a:off x="0" y="0"/>
            <a:ext cx="0" cy="0"/>
          </xdr:xfrm>
          <a:graphic>
            <a:graphicData uri="http://schemas.microsoft.com/office/drawing/2010/slicer">
              <sle:slicer xmlns:sle="http://schemas.microsoft.com/office/drawing/2010/slicer" name="Toss Decision 1"/>
            </a:graphicData>
          </a:graphic>
        </xdr:graphicFrame>
      </mc:Choice>
      <mc:Fallback xmlns="">
        <xdr:sp macro="" textlink="">
          <xdr:nvSpPr>
            <xdr:cNvPr id="0" name=""/>
            <xdr:cNvSpPr>
              <a:spLocks noTextEdit="1"/>
            </xdr:cNvSpPr>
          </xdr:nvSpPr>
          <xdr:spPr>
            <a:xfrm>
              <a:off x="20987165" y="3666364"/>
              <a:ext cx="2215508" cy="860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14113</xdr:colOff>
      <xdr:row>2</xdr:row>
      <xdr:rowOff>169333</xdr:rowOff>
    </xdr:from>
    <xdr:to>
      <xdr:col>38</xdr:col>
      <xdr:colOff>592668</xdr:colOff>
      <xdr:row>10</xdr:row>
      <xdr:rowOff>0</xdr:rowOff>
    </xdr:to>
    <xdr:sp macro="" textlink="">
      <xdr:nvSpPr>
        <xdr:cNvPr id="77" name="Rectangle 76">
          <a:extLst>
            <a:ext uri="{FF2B5EF4-FFF2-40B4-BE49-F238E27FC236}">
              <a16:creationId xmlns:a16="http://schemas.microsoft.com/office/drawing/2014/main" id="{3320668D-38AF-57C8-5345-BCE117B7B3A4}"/>
            </a:ext>
          </a:extLst>
        </xdr:cNvPr>
        <xdr:cNvSpPr/>
      </xdr:nvSpPr>
      <xdr:spPr>
        <a:xfrm>
          <a:off x="21997813" y="169333"/>
          <a:ext cx="1797755" cy="131656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36</xdr:col>
      <xdr:colOff>28222</xdr:colOff>
      <xdr:row>3</xdr:row>
      <xdr:rowOff>14111</xdr:rowOff>
    </xdr:from>
    <xdr:to>
      <xdr:col>38</xdr:col>
      <xdr:colOff>592667</xdr:colOff>
      <xdr:row>9</xdr:row>
      <xdr:rowOff>79612</xdr:rowOff>
    </xdr:to>
    <xdr:pic>
      <xdr:nvPicPr>
        <xdr:cNvPr id="38" name="Graphic 37">
          <a:extLst>
            <a:ext uri="{FF2B5EF4-FFF2-40B4-BE49-F238E27FC236}">
              <a16:creationId xmlns:a16="http://schemas.microsoft.com/office/drawing/2014/main" id="{524A20B3-846A-E8F4-7BF5-63CF3EC5179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942778" y="197555"/>
          <a:ext cx="1778000" cy="1227667"/>
        </a:xfrm>
        <a:prstGeom prst="rect">
          <a:avLst/>
        </a:prstGeom>
      </xdr:spPr>
    </xdr:pic>
    <xdr:clientData/>
  </xdr:twoCellAnchor>
  <xdr:twoCellAnchor>
    <xdr:from>
      <xdr:col>1</xdr:col>
      <xdr:colOff>14111</xdr:colOff>
      <xdr:row>2</xdr:row>
      <xdr:rowOff>169333</xdr:rowOff>
    </xdr:from>
    <xdr:to>
      <xdr:col>3</xdr:col>
      <xdr:colOff>592668</xdr:colOff>
      <xdr:row>10</xdr:row>
      <xdr:rowOff>19050</xdr:rowOff>
    </xdr:to>
    <xdr:sp macro="" textlink="">
      <xdr:nvSpPr>
        <xdr:cNvPr id="76" name="Rectangle 75">
          <a:extLst>
            <a:ext uri="{FF2B5EF4-FFF2-40B4-BE49-F238E27FC236}">
              <a16:creationId xmlns:a16="http://schemas.microsoft.com/office/drawing/2014/main" id="{7FD558E0-2B7B-0AFC-7808-C0544D367826}"/>
            </a:ext>
          </a:extLst>
        </xdr:cNvPr>
        <xdr:cNvSpPr/>
      </xdr:nvSpPr>
      <xdr:spPr>
        <a:xfrm>
          <a:off x="623711" y="169333"/>
          <a:ext cx="1797757" cy="133561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0</xdr:colOff>
      <xdr:row>3</xdr:row>
      <xdr:rowOff>0</xdr:rowOff>
    </xdr:from>
    <xdr:to>
      <xdr:col>4</xdr:col>
      <xdr:colOff>1</xdr:colOff>
      <xdr:row>9</xdr:row>
      <xdr:rowOff>57919</xdr:rowOff>
    </xdr:to>
    <xdr:pic>
      <xdr:nvPicPr>
        <xdr:cNvPr id="39" name="Graphic 38">
          <a:extLst>
            <a:ext uri="{FF2B5EF4-FFF2-40B4-BE49-F238E27FC236}">
              <a16:creationId xmlns:a16="http://schemas.microsoft.com/office/drawing/2014/main" id="{82B4DE97-2268-4BCE-B75C-3E6EA3EA431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06778" y="183444"/>
          <a:ext cx="1820334" cy="1227667"/>
        </a:xfrm>
        <a:prstGeom prst="rect">
          <a:avLst/>
        </a:prstGeom>
      </xdr:spPr>
    </xdr:pic>
    <xdr:clientData/>
  </xdr:twoCellAnchor>
  <xdr:twoCellAnchor>
    <xdr:from>
      <xdr:col>6</xdr:col>
      <xdr:colOff>0</xdr:colOff>
      <xdr:row>11</xdr:row>
      <xdr:rowOff>0</xdr:rowOff>
    </xdr:from>
    <xdr:to>
      <xdr:col>10</xdr:col>
      <xdr:colOff>0</xdr:colOff>
      <xdr:row>15</xdr:row>
      <xdr:rowOff>14111</xdr:rowOff>
    </xdr:to>
    <xdr:sp macro="" textlink="">
      <xdr:nvSpPr>
        <xdr:cNvPr id="79" name="Rectangle: Rounded Corners 78">
          <a:extLst>
            <a:ext uri="{FF2B5EF4-FFF2-40B4-BE49-F238E27FC236}">
              <a16:creationId xmlns:a16="http://schemas.microsoft.com/office/drawing/2014/main" id="{4625D3B0-3F2C-499B-9E3A-2D6D0885F31F}"/>
            </a:ext>
          </a:extLst>
        </xdr:cNvPr>
        <xdr:cNvSpPr/>
      </xdr:nvSpPr>
      <xdr:spPr>
        <a:xfrm>
          <a:off x="3640667" y="1425222"/>
          <a:ext cx="2638777" cy="1298222"/>
        </a:xfrm>
        <a:prstGeom prst="roundRect">
          <a:avLst/>
        </a:prstGeom>
        <a:noFill/>
        <a:ln w="28575">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14110</xdr:colOff>
      <xdr:row>11</xdr:row>
      <xdr:rowOff>0</xdr:rowOff>
    </xdr:from>
    <xdr:to>
      <xdr:col>14</xdr:col>
      <xdr:colOff>592666</xdr:colOff>
      <xdr:row>15</xdr:row>
      <xdr:rowOff>14111</xdr:rowOff>
    </xdr:to>
    <xdr:sp macro="" textlink="">
      <xdr:nvSpPr>
        <xdr:cNvPr id="80" name="Rectangle: Rounded Corners 79">
          <a:extLst>
            <a:ext uri="{FF2B5EF4-FFF2-40B4-BE49-F238E27FC236}">
              <a16:creationId xmlns:a16="http://schemas.microsoft.com/office/drawing/2014/main" id="{89B72C73-AE3B-4D4E-9416-C9A1780192A5}"/>
            </a:ext>
          </a:extLst>
        </xdr:cNvPr>
        <xdr:cNvSpPr/>
      </xdr:nvSpPr>
      <xdr:spPr>
        <a:xfrm>
          <a:off x="6688666" y="1425222"/>
          <a:ext cx="2398889" cy="1298222"/>
        </a:xfrm>
        <a:prstGeom prst="roundRect">
          <a:avLst/>
        </a:prstGeom>
        <a:noFill/>
        <a:ln w="28575">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0</xdr:colOff>
      <xdr:row>11</xdr:row>
      <xdr:rowOff>0</xdr:rowOff>
    </xdr:from>
    <xdr:to>
      <xdr:col>19</xdr:col>
      <xdr:colOff>592666</xdr:colOff>
      <xdr:row>15</xdr:row>
      <xdr:rowOff>14111</xdr:rowOff>
    </xdr:to>
    <xdr:sp macro="" textlink="">
      <xdr:nvSpPr>
        <xdr:cNvPr id="81" name="Rectangle: Rounded Corners 80">
          <a:extLst>
            <a:ext uri="{FF2B5EF4-FFF2-40B4-BE49-F238E27FC236}">
              <a16:creationId xmlns:a16="http://schemas.microsoft.com/office/drawing/2014/main" id="{855E3B11-FAC1-4488-9AAD-F5EDD8715539}"/>
            </a:ext>
          </a:extLst>
        </xdr:cNvPr>
        <xdr:cNvSpPr/>
      </xdr:nvSpPr>
      <xdr:spPr>
        <a:xfrm>
          <a:off x="9734550" y="1752600"/>
          <a:ext cx="2421466" cy="1309511"/>
        </a:xfrm>
        <a:prstGeom prst="roundRect">
          <a:avLst/>
        </a:prstGeom>
        <a:noFill/>
        <a:ln w="28575">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0</xdr:colOff>
      <xdr:row>11</xdr:row>
      <xdr:rowOff>0</xdr:rowOff>
    </xdr:from>
    <xdr:to>
      <xdr:col>25</xdr:col>
      <xdr:colOff>14112</xdr:colOff>
      <xdr:row>15</xdr:row>
      <xdr:rowOff>14111</xdr:rowOff>
    </xdr:to>
    <xdr:sp macro="" textlink="">
      <xdr:nvSpPr>
        <xdr:cNvPr id="82" name="Rectangle: Rounded Corners 81">
          <a:extLst>
            <a:ext uri="{FF2B5EF4-FFF2-40B4-BE49-F238E27FC236}">
              <a16:creationId xmlns:a16="http://schemas.microsoft.com/office/drawing/2014/main" id="{4A1132F4-512F-4338-B4EA-F404BD7234CF}"/>
            </a:ext>
          </a:extLst>
        </xdr:cNvPr>
        <xdr:cNvSpPr/>
      </xdr:nvSpPr>
      <xdr:spPr>
        <a:xfrm>
          <a:off x="12742333" y="1425222"/>
          <a:ext cx="2441223" cy="1298222"/>
        </a:xfrm>
        <a:prstGeom prst="roundRect">
          <a:avLst/>
        </a:prstGeom>
        <a:noFill/>
        <a:ln w="28575">
          <a:solidFill>
            <a:srgbClr val="5E155D"/>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0</xdr:colOff>
      <xdr:row>11</xdr:row>
      <xdr:rowOff>0</xdr:rowOff>
    </xdr:from>
    <xdr:to>
      <xdr:col>30</xdr:col>
      <xdr:colOff>0</xdr:colOff>
      <xdr:row>15</xdr:row>
      <xdr:rowOff>14111</xdr:rowOff>
    </xdr:to>
    <xdr:sp macro="" textlink="">
      <xdr:nvSpPr>
        <xdr:cNvPr id="83" name="Rectangle: Rounded Corners 82">
          <a:extLst>
            <a:ext uri="{FF2B5EF4-FFF2-40B4-BE49-F238E27FC236}">
              <a16:creationId xmlns:a16="http://schemas.microsoft.com/office/drawing/2014/main" id="{127109CD-8F13-41C9-A8BE-F6AE74B94203}"/>
            </a:ext>
          </a:extLst>
        </xdr:cNvPr>
        <xdr:cNvSpPr/>
      </xdr:nvSpPr>
      <xdr:spPr>
        <a:xfrm>
          <a:off x="15821891" y="2230582"/>
          <a:ext cx="2479964" cy="1316438"/>
        </a:xfrm>
        <a:prstGeom prst="roundRect">
          <a:avLst/>
        </a:prstGeom>
        <a:noFill/>
        <a:ln w="28575">
          <a:solidFill>
            <a:srgbClr val="5E155D"/>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31</xdr:col>
      <xdr:colOff>0</xdr:colOff>
      <xdr:row>11</xdr:row>
      <xdr:rowOff>0</xdr:rowOff>
    </xdr:from>
    <xdr:to>
      <xdr:col>34</xdr:col>
      <xdr:colOff>14111</xdr:colOff>
      <xdr:row>15</xdr:row>
      <xdr:rowOff>14111</xdr:rowOff>
    </xdr:to>
    <xdr:sp macro="" textlink="">
      <xdr:nvSpPr>
        <xdr:cNvPr id="84" name="Rectangle: Rounded Corners 83">
          <a:extLst>
            <a:ext uri="{FF2B5EF4-FFF2-40B4-BE49-F238E27FC236}">
              <a16:creationId xmlns:a16="http://schemas.microsoft.com/office/drawing/2014/main" id="{B443364F-2D6A-44B7-BD14-8FD4EC935B02}"/>
            </a:ext>
          </a:extLst>
        </xdr:cNvPr>
        <xdr:cNvSpPr/>
      </xdr:nvSpPr>
      <xdr:spPr>
        <a:xfrm>
          <a:off x="18880667" y="1425222"/>
          <a:ext cx="1834444" cy="1298222"/>
        </a:xfrm>
        <a:prstGeom prst="roundRect">
          <a:avLst/>
        </a:prstGeom>
        <a:noFill/>
        <a:ln w="28575">
          <a:solidFill>
            <a:srgbClr val="5E155D"/>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35</xdr:col>
      <xdr:colOff>-1</xdr:colOff>
      <xdr:row>11</xdr:row>
      <xdr:rowOff>0</xdr:rowOff>
    </xdr:from>
    <xdr:to>
      <xdr:col>38</xdr:col>
      <xdr:colOff>15551</xdr:colOff>
      <xdr:row>15</xdr:row>
      <xdr:rowOff>14111</xdr:rowOff>
    </xdr:to>
    <xdr:sp macro="" textlink="">
      <xdr:nvSpPr>
        <xdr:cNvPr id="85" name="Rectangle: Rounded Corners 84">
          <a:extLst>
            <a:ext uri="{FF2B5EF4-FFF2-40B4-BE49-F238E27FC236}">
              <a16:creationId xmlns:a16="http://schemas.microsoft.com/office/drawing/2014/main" id="{1FE298D8-256D-4769-A734-895297242875}"/>
            </a:ext>
          </a:extLst>
        </xdr:cNvPr>
        <xdr:cNvSpPr/>
      </xdr:nvSpPr>
      <xdr:spPr>
        <a:xfrm>
          <a:off x="21289346" y="1461796"/>
          <a:ext cx="1835021" cy="1304846"/>
        </a:xfrm>
        <a:prstGeom prst="roundRect">
          <a:avLst/>
        </a:prstGeom>
        <a:noFill/>
        <a:ln w="28575">
          <a:solidFill>
            <a:srgbClr val="5E155D"/>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27</xdr:col>
      <xdr:colOff>0</xdr:colOff>
      <xdr:row>111</xdr:row>
      <xdr:rowOff>0</xdr:rowOff>
    </xdr:from>
    <xdr:to>
      <xdr:col>38</xdr:col>
      <xdr:colOff>571500</xdr:colOff>
      <xdr:row>136</xdr:row>
      <xdr:rowOff>14654</xdr:rowOff>
    </xdr:to>
    <xdr:graphicFrame macro="">
      <xdr:nvGraphicFramePr>
        <xdr:cNvPr id="20" name="Chart 19">
          <a:extLst>
            <a:ext uri="{FF2B5EF4-FFF2-40B4-BE49-F238E27FC236}">
              <a16:creationId xmlns:a16="http://schemas.microsoft.com/office/drawing/2014/main" id="{B13E9279-5ED0-494E-B135-E3FAE498F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0</xdr:colOff>
      <xdr:row>193</xdr:row>
      <xdr:rowOff>166254</xdr:rowOff>
    </xdr:from>
    <xdr:to>
      <xdr:col>38</xdr:col>
      <xdr:colOff>595745</xdr:colOff>
      <xdr:row>194</xdr:row>
      <xdr:rowOff>13854</xdr:rowOff>
    </xdr:to>
    <xdr:cxnSp macro="">
      <xdr:nvCxnSpPr>
        <xdr:cNvPr id="14" name="Straight Connector 13">
          <a:extLst>
            <a:ext uri="{FF2B5EF4-FFF2-40B4-BE49-F238E27FC236}">
              <a16:creationId xmlns:a16="http://schemas.microsoft.com/office/drawing/2014/main" id="{9B183859-7745-5D22-F434-C9A1BEA5FEE9}"/>
            </a:ext>
          </a:extLst>
        </xdr:cNvPr>
        <xdr:cNvCxnSpPr/>
      </xdr:nvCxnSpPr>
      <xdr:spPr>
        <a:xfrm flipV="1">
          <a:off x="609600" y="38210836"/>
          <a:ext cx="23164800" cy="27709"/>
        </a:xfrm>
        <a:prstGeom prst="line">
          <a:avLst/>
        </a:prstGeom>
        <a:ln w="19050"/>
      </xdr:spPr>
      <xdr:style>
        <a:lnRef idx="2">
          <a:schemeClr val="dk1"/>
        </a:lnRef>
        <a:fillRef idx="0">
          <a:schemeClr val="dk1"/>
        </a:fillRef>
        <a:effectRef idx="1">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2334386</xdr:colOff>
      <xdr:row>0</xdr:row>
      <xdr:rowOff>176464</xdr:rowOff>
    </xdr:from>
    <xdr:to>
      <xdr:col>0</xdr:col>
      <xdr:colOff>3048000</xdr:colOff>
      <xdr:row>3</xdr:row>
      <xdr:rowOff>104275</xdr:rowOff>
    </xdr:to>
    <xdr:pic>
      <xdr:nvPicPr>
        <xdr:cNvPr id="13" name="Graphic 12">
          <a:extLst>
            <a:ext uri="{FF2B5EF4-FFF2-40B4-BE49-F238E27FC236}">
              <a16:creationId xmlns:a16="http://schemas.microsoft.com/office/drawing/2014/main" id="{4E70E9E6-F1D1-1B34-CC32-BF523F6B28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4386" y="176464"/>
          <a:ext cx="713614" cy="593558"/>
        </a:xfrm>
        <a:prstGeom prst="rect">
          <a:avLst/>
        </a:prstGeom>
      </xdr:spPr>
    </xdr:pic>
    <xdr:clientData/>
  </xdr:twoCellAnchor>
  <xdr:twoCellAnchor editAs="oneCell">
    <xdr:from>
      <xdr:col>5</xdr:col>
      <xdr:colOff>50917</xdr:colOff>
      <xdr:row>6</xdr:row>
      <xdr:rowOff>1849</xdr:rowOff>
    </xdr:from>
    <xdr:to>
      <xdr:col>6</xdr:col>
      <xdr:colOff>10040</xdr:colOff>
      <xdr:row>6</xdr:row>
      <xdr:rowOff>1982678</xdr:rowOff>
    </xdr:to>
    <xdr:pic>
      <xdr:nvPicPr>
        <xdr:cNvPr id="3" name="Picture 2">
          <a:extLst>
            <a:ext uri="{FF2B5EF4-FFF2-40B4-BE49-F238E27FC236}">
              <a16:creationId xmlns:a16="http://schemas.microsoft.com/office/drawing/2014/main" id="{413D73B2-3C6E-854E-B17B-DBD97BDEA9E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38988" y="1208349"/>
          <a:ext cx="2970838" cy="1980829"/>
        </a:xfrm>
        <a:prstGeom prst="rect">
          <a:avLst/>
        </a:prstGeom>
      </xdr:spPr>
    </xdr:pic>
    <xdr:clientData/>
  </xdr:twoCellAnchor>
  <xdr:twoCellAnchor editAs="oneCell">
    <xdr:from>
      <xdr:col>5</xdr:col>
      <xdr:colOff>36992</xdr:colOff>
      <xdr:row>8</xdr:row>
      <xdr:rowOff>29594</xdr:rowOff>
    </xdr:from>
    <xdr:to>
      <xdr:col>5</xdr:col>
      <xdr:colOff>2988816</xdr:colOff>
      <xdr:row>8</xdr:row>
      <xdr:rowOff>1975282</xdr:rowOff>
    </xdr:to>
    <xdr:pic>
      <xdr:nvPicPr>
        <xdr:cNvPr id="5" name="Picture 4">
          <a:extLst>
            <a:ext uri="{FF2B5EF4-FFF2-40B4-BE49-F238E27FC236}">
              <a16:creationId xmlns:a16="http://schemas.microsoft.com/office/drawing/2014/main" id="{AD5D3612-535D-3CED-5651-4CD680BF32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832021" y="4860526"/>
          <a:ext cx="2951824" cy="1945688"/>
        </a:xfrm>
        <a:prstGeom prst="rect">
          <a:avLst/>
        </a:prstGeom>
      </xdr:spPr>
    </xdr:pic>
    <xdr:clientData/>
  </xdr:twoCellAnchor>
  <xdr:twoCellAnchor editAs="oneCell">
    <xdr:from>
      <xdr:col>5</xdr:col>
      <xdr:colOff>46652</xdr:colOff>
      <xdr:row>9</xdr:row>
      <xdr:rowOff>21592</xdr:rowOff>
    </xdr:from>
    <xdr:to>
      <xdr:col>5</xdr:col>
      <xdr:colOff>3001348</xdr:colOff>
      <xdr:row>9</xdr:row>
      <xdr:rowOff>2006082</xdr:rowOff>
    </xdr:to>
    <xdr:pic>
      <xdr:nvPicPr>
        <xdr:cNvPr id="7" name="Picture 6">
          <a:extLst>
            <a:ext uri="{FF2B5EF4-FFF2-40B4-BE49-F238E27FC236}">
              <a16:creationId xmlns:a16="http://schemas.microsoft.com/office/drawing/2014/main" id="{7ABE5FAF-187E-5C86-CB11-28929CD8D69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36019" y="6856265"/>
          <a:ext cx="2954696" cy="1984490"/>
        </a:xfrm>
        <a:prstGeom prst="rect">
          <a:avLst/>
        </a:prstGeom>
      </xdr:spPr>
    </xdr:pic>
    <xdr:clientData/>
  </xdr:twoCellAnchor>
  <xdr:twoCellAnchor editAs="oneCell">
    <xdr:from>
      <xdr:col>5</xdr:col>
      <xdr:colOff>44824</xdr:colOff>
      <xdr:row>10</xdr:row>
      <xdr:rowOff>8966</xdr:rowOff>
    </xdr:from>
    <xdr:to>
      <xdr:col>6</xdr:col>
      <xdr:colOff>17930</xdr:colOff>
      <xdr:row>10</xdr:row>
      <xdr:rowOff>2079812</xdr:rowOff>
    </xdr:to>
    <xdr:pic>
      <xdr:nvPicPr>
        <xdr:cNvPr id="9" name="Picture 8">
          <a:extLst>
            <a:ext uri="{FF2B5EF4-FFF2-40B4-BE49-F238E27FC236}">
              <a16:creationId xmlns:a16="http://schemas.microsoft.com/office/drawing/2014/main" id="{A04A5535-7F9D-0164-DEF5-92FE40244F3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843248" y="9565342"/>
          <a:ext cx="2985247" cy="2070846"/>
        </a:xfrm>
        <a:prstGeom prst="rect">
          <a:avLst/>
        </a:prstGeom>
      </xdr:spPr>
    </xdr:pic>
    <xdr:clientData/>
  </xdr:twoCellAnchor>
  <xdr:twoCellAnchor editAs="oneCell">
    <xdr:from>
      <xdr:col>5</xdr:col>
      <xdr:colOff>25400</xdr:colOff>
      <xdr:row>7</xdr:row>
      <xdr:rowOff>1</xdr:rowOff>
    </xdr:from>
    <xdr:to>
      <xdr:col>5</xdr:col>
      <xdr:colOff>2990850</xdr:colOff>
      <xdr:row>8</xdr:row>
      <xdr:rowOff>0</xdr:rowOff>
    </xdr:to>
    <xdr:pic>
      <xdr:nvPicPr>
        <xdr:cNvPr id="11" name="Picture 10">
          <a:extLst>
            <a:ext uri="{FF2B5EF4-FFF2-40B4-BE49-F238E27FC236}">
              <a16:creationId xmlns:a16="http://schemas.microsoft.com/office/drawing/2014/main" id="{A45D08C0-FB51-677A-78E1-4898DBA8854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821333" y="2861734"/>
          <a:ext cx="2965450" cy="19727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Jadhav" refreshedDate="46303.972266203702" createdVersion="8" refreshedVersion="8" minRefreshableVersion="3" recordCount="96" xr:uid="{6145C946-3B5E-41CB-B465-ADD9F1DB4290}">
  <cacheSource type="worksheet">
    <worksheetSource ref="A1:BB97" sheet="Calculations"/>
  </cacheSource>
  <cacheFields count="55">
    <cacheField name="Match ID" numFmtId="0">
      <sharedItems containsString="0" containsBlank="1" containsNumber="1" containsInteger="1" minValue="1" maxValue="48"/>
    </cacheField>
    <cacheField name="Match Date" numFmtId="0">
      <sharedItems containsNonDate="0" containsDate="1" containsString="0" containsBlank="1" minDate="2023-10-05T00:00:00" maxDate="2023-11-20T00:00:00"/>
    </cacheField>
    <cacheField name="City" numFmtId="0">
      <sharedItems containsBlank="1"/>
    </cacheField>
    <cacheField name="Stadium" numFmtId="0">
      <sharedItems containsBlank="1"/>
    </cacheField>
    <cacheField name="Team A" numFmtId="0">
      <sharedItems containsBlank="1"/>
    </cacheField>
    <cacheField name="Team B" numFmtId="0">
      <sharedItems containsBlank="1"/>
    </cacheField>
    <cacheField name="Toss Winner" numFmtId="0">
      <sharedItems containsBlank="1"/>
    </cacheField>
    <cacheField name="Winning Team" numFmtId="0">
      <sharedItems containsBlank="1"/>
    </cacheField>
    <cacheField name="Toss Decision" numFmtId="0">
      <sharedItems containsBlank="1"/>
    </cacheField>
    <cacheField name="Score A" numFmtId="0">
      <sharedItems containsString="0" containsBlank="1" containsNumber="1" containsInteger="1" minValue="142" maxValue="428"/>
    </cacheField>
    <cacheField name="Score B" numFmtId="0">
      <sharedItems containsString="0" containsBlank="1" containsNumber="1" containsInteger="1" minValue="55" maxValue="383"/>
    </cacheField>
    <cacheField name="Total Runs (match) " numFmtId="0">
      <sharedItems containsString="0" containsBlank="1" containsNumber="1" containsInteger="1" minValue="314" maxValue="771"/>
    </cacheField>
    <cacheField name="Total Wickets (match)" numFmtId="0">
      <sharedItems containsString="0" containsBlank="1" containsNumber="1" containsInteger="1" minValue="7" maxValue="20"/>
    </cacheField>
    <cacheField name="Total 4s (match)" numFmtId="0">
      <sharedItems containsString="0" containsBlank="1" containsNumber="1" containsInteger="1" minValue="28" maxValue="76"/>
    </cacheField>
    <cacheField name="Total 6s (match)" numFmtId="0">
      <sharedItems containsString="0" containsBlank="1" containsNumber="1" containsInteger="1" minValue="0" maxValue="32"/>
    </cacheField>
    <cacheField name="Total Boundaries (match)" numFmtId="0">
      <sharedItems containsString="0" containsBlank="1" containsNumber="1" containsInteger="1" minValue="31" maxValue="107"/>
    </cacheField>
    <cacheField name="Margin (text)" numFmtId="0">
      <sharedItems containsBlank="1"/>
    </cacheField>
    <cacheField name="Margin Value" numFmtId="0">
      <sharedItems containsString="0" containsBlank="1" containsNumber="1" containsInteger="1" minValue="1" maxValue="309"/>
    </cacheField>
    <cacheField name="Winning Margin Type" numFmtId="0">
      <sharedItems containsBlank="1"/>
    </cacheField>
    <cacheField name="Match Result" numFmtId="0">
      <sharedItems containsBlank="1"/>
    </cacheField>
    <cacheField name="Toss Winner Won Match (1/0)" numFmtId="0">
      <sharedItems containsString="0" containsBlank="1" containsNumber="1" containsInteger="1" minValue="0" maxValue="1"/>
    </cacheField>
    <cacheField name="Match Result by Toss" numFmtId="0">
      <sharedItems containsBlank="1"/>
    </cacheField>
    <cacheField name="Man of the Match" numFmtId="0">
      <sharedItems containsBlank="1"/>
    </cacheField>
    <cacheField name="Winning Runs Range" numFmtId="0">
      <sharedItems containsBlank="1"/>
    </cacheField>
    <cacheField name="Winning Wickets Range" numFmtId="0">
      <sharedItems containsBlank="1"/>
    </cacheField>
    <cacheField name="Field26" caption="Field26" numFmtId="0">
      <sharedItems containsNonDate="0" containsString="0" containsBlank="1"/>
    </cacheField>
    <cacheField name="Match ID2" numFmtId="0">
      <sharedItems containsSemiMixedTypes="0" containsString="0" containsNumber="1" containsInteger="1" minValue="1" maxValue="48"/>
    </cacheField>
    <cacheField name="Match Date2" numFmtId="164">
      <sharedItems containsSemiMixedTypes="0" containsNonDate="0" containsDate="1" containsString="0" minDate="2023-10-05T00:00:00" maxDate="2023-11-20T00:00:00"/>
    </cacheField>
    <cacheField name="Team" numFmtId="0">
      <sharedItems count="10">
        <s v="England"/>
        <s v="New Zealand"/>
        <s v="Pakistan"/>
        <s v="Netherlands"/>
        <s v="Afghanistan"/>
        <s v="Bangladesh"/>
        <s v="South Africa"/>
        <s v="Sri Lanka"/>
        <s v="Australia"/>
        <s v="India"/>
      </sharedItems>
    </cacheField>
    <cacheField name="Opponent" numFmtId="0">
      <sharedItems/>
    </cacheField>
    <cacheField name="City2" numFmtId="0">
      <sharedItems/>
    </cacheField>
    <cacheField name="Stadium2" numFmtId="0">
      <sharedItems/>
    </cacheField>
    <cacheField name="Winning Margin Type2" numFmtId="0">
      <sharedItems/>
    </cacheField>
    <cacheField name="Match Result2" numFmtId="0">
      <sharedItems/>
    </cacheField>
    <cacheField name="Score" numFmtId="0">
      <sharedItems containsSemiMixedTypes="0" containsString="0" containsNumber="1" containsInteger="1" minValue="55" maxValue="428"/>
    </cacheField>
    <cacheField name="Wickets Taken (bowling)" numFmtId="1">
      <sharedItems containsSemiMixedTypes="0" containsString="0" containsNumber="1" containsInteger="1" minValue="1" maxValue="10"/>
    </cacheField>
    <cacheField name="Wickets Lost (batting)" numFmtId="0">
      <sharedItems containsSemiMixedTypes="0" containsString="0" containsNumber="1" containsInteger="1" minValue="1" maxValue="10"/>
    </cacheField>
    <cacheField name="Overs Played" numFmtId="0">
      <sharedItems containsSemiMixedTypes="0" containsString="0" containsNumber="1" minValue="9" maxValue="50"/>
    </cacheField>
    <cacheField name="Maiden Overs" numFmtId="0">
      <sharedItems containsSemiMixedTypes="0" containsString="0" containsNumber="1" containsInteger="1" minValue="0" maxValue="7"/>
    </cacheField>
    <cacheField name="4s" numFmtId="0">
      <sharedItems containsSemiMixedTypes="0" containsString="0" containsNumber="1" containsInteger="1" minValue="6" maxValue="46"/>
    </cacheField>
    <cacheField name="6s" numFmtId="0">
      <sharedItems containsSemiMixedTypes="0" containsString="0" containsNumber="1" containsInteger="1" minValue="0" maxValue="20"/>
    </cacheField>
    <cacheField name="Total Boundaries (4s+6s)" numFmtId="0">
      <sharedItems containsSemiMixedTypes="0" containsString="0" containsNumber="1" containsInteger="1" minValue="6" maxValue="59"/>
    </cacheField>
    <cacheField name="Runrate" numFmtId="0">
      <sharedItems containsSemiMixedTypes="0" containsString="0" containsNumber="1" minValue="2.79" maxValue="8.56"/>
    </cacheField>
    <cacheField name="Winning Team2" numFmtId="0">
      <sharedItems/>
    </cacheField>
    <cacheField name="Byes" numFmtId="0">
      <sharedItems containsSemiMixedTypes="0" containsString="0" containsNumber="1" containsInteger="1" minValue="0" maxValue="13"/>
    </cacheField>
    <cacheField name="Wides" numFmtId="0">
      <sharedItems containsSemiMixedTypes="0" containsString="0" containsNumber="1" containsInteger="1" minValue="1" maxValue="26"/>
    </cacheField>
    <cacheField name="No Balls" numFmtId="0">
      <sharedItems containsSemiMixedTypes="0" containsString="0" containsNumber="1" containsInteger="1" minValue="0" maxValue="4"/>
    </cacheField>
    <cacheField name="Extras" numFmtId="0">
      <sharedItems containsSemiMixedTypes="0" containsString="0" containsNumber="1" containsInteger="1" minValue="2" maxValue="33"/>
    </cacheField>
    <cacheField name="Match Played" numFmtId="0">
      <sharedItems containsSemiMixedTypes="0" containsString="0" containsNumber="1" containsInteger="1" minValue="1" maxValue="1"/>
    </cacheField>
    <cacheField name="Win(1/0)" numFmtId="0">
      <sharedItems containsSemiMixedTypes="0" containsString="0" containsNumber="1" containsInteger="1" minValue="0" maxValue="1"/>
    </cacheField>
    <cacheField name="Loss(1/0)" numFmtId="0">
      <sharedItems containsSemiMixedTypes="0" containsString="0" containsNumber="1" containsInteger="1" minValue="0" maxValue="1"/>
    </cacheField>
    <cacheField name="Win/Loss" numFmtId="0">
      <sharedItems/>
    </cacheField>
    <cacheField name="Toss Won (1/0)" numFmtId="0">
      <sharedItems containsSemiMixedTypes="0" containsString="0" containsNumber="1" containsInteger="1" minValue="0" maxValue="1"/>
    </cacheField>
    <cacheField name="Toss Won &amp; Match Won" numFmtId="0">
      <sharedItems containsSemiMixedTypes="0" containsString="0" containsNumber="1" containsInteger="1" minValue="0" maxValue="1"/>
    </cacheField>
    <cacheField name="Win %" numFmtId="0" formula="'Match ID'/'Toss Winner Won Match (1/0)'" databaseField="0"/>
  </cacheFields>
  <extLst>
    <ext xmlns:x14="http://schemas.microsoft.com/office/spreadsheetml/2009/9/main" uri="{725AE2AE-9491-48be-B2B4-4EB974FC3084}">
      <x14:pivotCacheDefinition pivotCacheId="13696935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Jadhav" refreshedDate="46303.972266550925" createdVersion="8" refreshedVersion="8" minRefreshableVersion="3" recordCount="96" xr:uid="{95DDB660-73CF-404F-AFAE-D93603DB4921}">
  <cacheSource type="worksheet">
    <worksheetSource ref="A1:BC97" sheet="Calculations"/>
  </cacheSource>
  <cacheFields count="55">
    <cacheField name="Match ID" numFmtId="0">
      <sharedItems containsString="0" containsBlank="1" containsNumber="1" containsInteger="1" minValue="1" maxValue="48"/>
    </cacheField>
    <cacheField name="Match Date" numFmtId="0">
      <sharedItems containsNonDate="0" containsDate="1" containsString="0" containsBlank="1" minDate="2023-10-05T00:00:00" maxDate="2023-11-20T00:00:00"/>
    </cacheField>
    <cacheField name="City" numFmtId="0">
      <sharedItems containsBlank="1"/>
    </cacheField>
    <cacheField name="Stadium" numFmtId="0">
      <sharedItems containsBlank="1"/>
    </cacheField>
    <cacheField name="Team A" numFmtId="0">
      <sharedItems containsBlank="1"/>
    </cacheField>
    <cacheField name="Team B" numFmtId="0">
      <sharedItems containsBlank="1"/>
    </cacheField>
    <cacheField name="Toss Winner" numFmtId="0">
      <sharedItems containsBlank="1"/>
    </cacheField>
    <cacheField name="Winning Team" numFmtId="0">
      <sharedItems containsBlank="1"/>
    </cacheField>
    <cacheField name="Toss Decision" numFmtId="0">
      <sharedItems containsBlank="1" count="3">
        <s v="Field"/>
        <s v="Bat"/>
        <m/>
      </sharedItems>
    </cacheField>
    <cacheField name="Score A" numFmtId="0">
      <sharedItems containsString="0" containsBlank="1" containsNumber="1" containsInteger="1" minValue="142" maxValue="428"/>
    </cacheField>
    <cacheField name="Score B" numFmtId="0">
      <sharedItems containsString="0" containsBlank="1" containsNumber="1" containsInteger="1" minValue="55" maxValue="383"/>
    </cacheField>
    <cacheField name="Total Runs (match) " numFmtId="0">
      <sharedItems containsString="0" containsBlank="1" containsNumber="1" containsInteger="1" minValue="314" maxValue="771"/>
    </cacheField>
    <cacheField name="Total Wickets (match)" numFmtId="0">
      <sharedItems containsString="0" containsBlank="1" containsNumber="1" containsInteger="1" minValue="7" maxValue="20"/>
    </cacheField>
    <cacheField name="Total 4s (match)" numFmtId="0">
      <sharedItems containsString="0" containsBlank="1" containsNumber="1" containsInteger="1" minValue="28" maxValue="76"/>
    </cacheField>
    <cacheField name="Total 6s (match)" numFmtId="0">
      <sharedItems containsString="0" containsBlank="1" containsNumber="1" containsInteger="1" minValue="0" maxValue="32"/>
    </cacheField>
    <cacheField name="Total Boundaries (match)" numFmtId="0">
      <sharedItems containsString="0" containsBlank="1" containsNumber="1" containsInteger="1" minValue="31" maxValue="107"/>
    </cacheField>
    <cacheField name="Margin (text)" numFmtId="0">
      <sharedItems containsBlank="1"/>
    </cacheField>
    <cacheField name="Margin Value" numFmtId="0">
      <sharedItems containsString="0" containsBlank="1" containsNumber="1" containsInteger="1" minValue="1" maxValue="309"/>
    </cacheField>
    <cacheField name="Winning Margin Type" numFmtId="0">
      <sharedItems containsBlank="1"/>
    </cacheField>
    <cacheField name="Match Result" numFmtId="0">
      <sharedItems containsBlank="1"/>
    </cacheField>
    <cacheField name="Toss Winner Won Match (1/0)" numFmtId="0">
      <sharedItems containsString="0" containsBlank="1" containsNumber="1" containsInteger="1" minValue="0" maxValue="1"/>
    </cacheField>
    <cacheField name="Match Result by Toss" numFmtId="0">
      <sharedItems containsBlank="1"/>
    </cacheField>
    <cacheField name="Man of the Match" numFmtId="0">
      <sharedItems containsBlank="1"/>
    </cacheField>
    <cacheField name="Winning Runs Range" numFmtId="0">
      <sharedItems containsBlank="1" count="7">
        <s v=""/>
        <s v="51-100"/>
        <s v="101-150"/>
        <s v="1-50"/>
        <s v="201+"/>
        <s v="151-200"/>
        <m/>
      </sharedItems>
    </cacheField>
    <cacheField name="Winning Wickets Range" numFmtId="0">
      <sharedItems containsBlank="1" count="5">
        <s v="7-10"/>
        <s v=""/>
        <s v="4-6"/>
        <s v="1-3"/>
        <m/>
      </sharedItems>
    </cacheField>
    <cacheField name="Field26" caption="Field26" numFmtId="0">
      <sharedItems containsNonDate="0" containsString="0" containsBlank="1"/>
    </cacheField>
    <cacheField name="Match ID2" numFmtId="0">
      <sharedItems containsSemiMixedTypes="0" containsString="0" containsNumber="1" containsInteger="1" minValue="1" maxValue="48"/>
    </cacheField>
    <cacheField name="Match Date2" numFmtId="164">
      <sharedItems containsSemiMixedTypes="0" containsNonDate="0" containsDate="1" containsString="0" minDate="2023-10-05T00:00:00" maxDate="2023-11-20T00:00:00"/>
    </cacheField>
    <cacheField name="Team" numFmtId="0">
      <sharedItems count="10">
        <s v="England"/>
        <s v="New Zealand"/>
        <s v="Pakistan"/>
        <s v="Netherlands"/>
        <s v="Afghanistan"/>
        <s v="Bangladesh"/>
        <s v="South Africa"/>
        <s v="Sri Lanka"/>
        <s v="Australia"/>
        <s v="India"/>
      </sharedItems>
    </cacheField>
    <cacheField name="Opponent" numFmtId="0">
      <sharedItems/>
    </cacheField>
    <cacheField name="City2" numFmtId="0">
      <sharedItems count="10">
        <s v="Ahmedabad"/>
        <s v="Hyderabad"/>
        <s v="Dharamshala"/>
        <s v="Delhi"/>
        <s v="Chennai"/>
        <s v="Lucknow"/>
        <s v="Pune"/>
        <s v="Bangalore"/>
        <s v="Mumbai"/>
        <s v="Kolkata"/>
      </sharedItems>
    </cacheField>
    <cacheField name="Stadium2" numFmtId="0">
      <sharedItems count="10">
        <s v="Narendra Modi Stadium"/>
        <s v="Rajiv Gandhi International Stadium"/>
        <s v="HPCA Stadium"/>
        <s v="Arun Jaitley Stadium"/>
        <s v="M. A. Chidambaram Stadium"/>
        <s v="BRSABV Ekana Cricket Stadium"/>
        <s v="Maharashtra Cricket Association Stadium"/>
        <s v="M. Chinnaswamy Stadium"/>
        <s v="Wankhede Stadium"/>
        <s v="Eden Gardens"/>
      </sharedItems>
    </cacheField>
    <cacheField name="Winning Margin Type2" numFmtId="0">
      <sharedItems count="3">
        <s v="Wickets"/>
        <s v="Runs"/>
        <s v="Runs (DLS) Method"/>
      </sharedItems>
    </cacheField>
    <cacheField name="Match Result2" numFmtId="0">
      <sharedItems/>
    </cacheField>
    <cacheField name="Score" numFmtId="0">
      <sharedItems containsSemiMixedTypes="0" containsString="0" containsNumber="1" containsInteger="1" minValue="55" maxValue="428"/>
    </cacheField>
    <cacheField name="Wickets Taken (bowling)" numFmtId="1">
      <sharedItems containsSemiMixedTypes="0" containsString="0" containsNumber="1" containsInteger="1" minValue="1" maxValue="10"/>
    </cacheField>
    <cacheField name="Wickets Lost (batting)" numFmtId="0">
      <sharedItems containsSemiMixedTypes="0" containsString="0" containsNumber="1" containsInteger="1" minValue="1" maxValue="10"/>
    </cacheField>
    <cacheField name="Overs Played" numFmtId="0">
      <sharedItems containsSemiMixedTypes="0" containsString="0" containsNumber="1" minValue="9" maxValue="50"/>
    </cacheField>
    <cacheField name="Maiden Overs" numFmtId="0">
      <sharedItems containsSemiMixedTypes="0" containsString="0" containsNumber="1" containsInteger="1" minValue="0" maxValue="7"/>
    </cacheField>
    <cacheField name="4s" numFmtId="0">
      <sharedItems containsSemiMixedTypes="0" containsString="0" containsNumber="1" containsInteger="1" minValue="6" maxValue="46"/>
    </cacheField>
    <cacheField name="6s" numFmtId="0">
      <sharedItems containsSemiMixedTypes="0" containsString="0" containsNumber="1" containsInteger="1" minValue="0" maxValue="20"/>
    </cacheField>
    <cacheField name="Total Boundaries (4s+6s)" numFmtId="0">
      <sharedItems containsSemiMixedTypes="0" containsString="0" containsNumber="1" containsInteger="1" minValue="6" maxValue="59"/>
    </cacheField>
    <cacheField name="Runrate" numFmtId="0">
      <sharedItems containsSemiMixedTypes="0" containsString="0" containsNumber="1" minValue="2.79" maxValue="8.56"/>
    </cacheField>
    <cacheField name="Winning Team2" numFmtId="0">
      <sharedItems count="10">
        <s v="New Zealand"/>
        <s v="Pakistan"/>
        <s v="Bangladesh"/>
        <s v="South Africa"/>
        <s v="India"/>
        <s v="England"/>
        <s v="Afghanistan"/>
        <s v="Australia"/>
        <s v="Netherlands"/>
        <s v="Sri Lanka"/>
      </sharedItems>
    </cacheField>
    <cacheField name="Byes" numFmtId="0">
      <sharedItems containsSemiMixedTypes="0" containsString="0" containsNumber="1" containsInteger="1" minValue="0" maxValue="13"/>
    </cacheField>
    <cacheField name="Wides" numFmtId="0">
      <sharedItems containsSemiMixedTypes="0" containsString="0" containsNumber="1" containsInteger="1" minValue="1" maxValue="26"/>
    </cacheField>
    <cacheField name="No Balls" numFmtId="0">
      <sharedItems containsSemiMixedTypes="0" containsString="0" containsNumber="1" containsInteger="1" minValue="0" maxValue="4"/>
    </cacheField>
    <cacheField name="Extras" numFmtId="0">
      <sharedItems containsSemiMixedTypes="0" containsString="0" containsNumber="1" containsInteger="1" minValue="2" maxValue="33"/>
    </cacheField>
    <cacheField name="Match Played" numFmtId="0">
      <sharedItems containsSemiMixedTypes="0" containsString="0" containsNumber="1" containsInteger="1" minValue="1" maxValue="1"/>
    </cacheField>
    <cacheField name="Win(1/0)" numFmtId="0">
      <sharedItems containsSemiMixedTypes="0" containsString="0" containsNumber="1" containsInteger="1" minValue="0" maxValue="1"/>
    </cacheField>
    <cacheField name="Loss(1/0)" numFmtId="0">
      <sharedItems containsSemiMixedTypes="0" containsString="0" containsNumber="1" containsInteger="1" minValue="0" maxValue="1"/>
    </cacheField>
    <cacheField name="Win/Loss" numFmtId="0">
      <sharedItems/>
    </cacheField>
    <cacheField name="Toss Won (1/0)" numFmtId="0">
      <sharedItems containsSemiMixedTypes="0" containsString="0" containsNumber="1" containsInteger="1" minValue="0" maxValue="1"/>
    </cacheField>
    <cacheField name="Toss Won &amp; Match Won" numFmtId="0">
      <sharedItems containsSemiMixedTypes="0" containsString="0" containsNumber="1" containsInteger="1" minValue="0" maxValue="1"/>
    </cacheField>
    <cacheField name="Toss Decision2" numFmtId="0">
      <sharedItems count="2">
        <s v="Field"/>
        <s v="Bat"/>
      </sharedItems>
    </cacheField>
  </cacheFields>
  <extLst>
    <ext xmlns:x14="http://schemas.microsoft.com/office/spreadsheetml/2009/9/main" uri="{725AE2AE-9491-48be-B2B4-4EB974FC3084}">
      <x14:pivotCacheDefinition pivotCacheId="1413419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
    <d v="2023-10-05T00:00:00"/>
    <s v="Ahmedabad"/>
    <s v="Narendra Modi Stadium"/>
    <s v="England"/>
    <s v="New Zealand"/>
    <s v="New Zealand"/>
    <s v="New Zealand"/>
    <s v="Field"/>
    <n v="282"/>
    <n v="283"/>
    <n v="565"/>
    <n v="10"/>
    <n v="51"/>
    <n v="14"/>
    <n v="65"/>
    <s v="9 Wickets"/>
    <n v="9"/>
    <s v="Wickets"/>
    <s v="Chasing Won"/>
    <n v="1"/>
    <s v="Toss Winner Won"/>
    <s v="Rachin Ravindra"/>
    <s v=""/>
    <s v="7-10"/>
    <m/>
    <n v="1"/>
    <d v="2023-10-05T00:00:00"/>
    <x v="0"/>
    <s v="New Zealand"/>
    <s v="Ahmedabad"/>
    <s v="Narendra Modi Stadium"/>
    <s v="Wickets"/>
    <s v="Chasing Won"/>
    <n v="282"/>
    <n v="1"/>
    <n v="9"/>
    <n v="50"/>
    <n v="2"/>
    <n v="21"/>
    <n v="6"/>
    <n v="27"/>
    <n v="5.64"/>
    <s v="New Zealand"/>
    <n v="4"/>
    <n v="3"/>
    <n v="0"/>
    <n v="8"/>
    <n v="1"/>
    <n v="0"/>
    <n v="1"/>
    <s v="Loss"/>
    <n v="0"/>
    <n v="0"/>
  </r>
  <r>
    <n v="2"/>
    <d v="2023-10-06T00:00:00"/>
    <s v="Hyderabad"/>
    <s v="Rajiv Gandhi International Stadium"/>
    <s v="Pakistan"/>
    <s v="Netherlands"/>
    <s v="Netherlands"/>
    <s v="Pakistan"/>
    <s v="Field"/>
    <n v="286"/>
    <n v="205"/>
    <n v="491"/>
    <n v="20"/>
    <n v="53"/>
    <n v="7"/>
    <n v="60"/>
    <s v="81 Runs"/>
    <n v="81"/>
    <s v="Runs"/>
    <s v="Batting First Won"/>
    <n v="0"/>
    <s v="Toss Winner Lost"/>
    <s v="Saud Shakeel"/>
    <s v="51-100"/>
    <s v=""/>
    <m/>
    <n v="1"/>
    <d v="2023-10-05T00:00:00"/>
    <x v="1"/>
    <s v="England"/>
    <s v="Ahmedabad"/>
    <s v="Narendra Modi Stadium"/>
    <s v="Wickets"/>
    <s v="Chasing Won"/>
    <n v="283"/>
    <n v="9"/>
    <n v="1"/>
    <n v="36.200000000000003"/>
    <n v="2"/>
    <n v="30"/>
    <n v="8"/>
    <n v="38"/>
    <n v="7.78"/>
    <s v="New Zealand"/>
    <n v="0"/>
    <n v="6"/>
    <n v="0"/>
    <n v="6"/>
    <n v="1"/>
    <n v="1"/>
    <n v="0"/>
    <s v="Win"/>
    <n v="1"/>
    <n v="1"/>
  </r>
  <r>
    <n v="3"/>
    <d v="2023-10-07T00:00:00"/>
    <s v="Dharamshala"/>
    <s v="HPCA Stadium"/>
    <s v="Afghanistan"/>
    <s v="Bangladesh"/>
    <s v="Bangladesh"/>
    <s v="Bangladesh"/>
    <s v="Field"/>
    <n v="156"/>
    <n v="158"/>
    <n v="314"/>
    <n v="14"/>
    <n v="28"/>
    <n v="3"/>
    <n v="31"/>
    <s v="6 Wickets"/>
    <n v="6"/>
    <s v="Wickets"/>
    <s v="Chasing Won"/>
    <n v="1"/>
    <s v="Toss Winner Won"/>
    <s v="Mehidy Hasan Miraz"/>
    <s v=""/>
    <s v="4-6"/>
    <m/>
    <n v="2"/>
    <d v="2023-10-06T00:00:00"/>
    <x v="2"/>
    <s v="Netherlands"/>
    <s v="Hyderabad"/>
    <s v="Rajiv Gandhi International Stadium"/>
    <s v="Runs"/>
    <s v="Batting First Won"/>
    <n v="286"/>
    <n v="10"/>
    <n v="10"/>
    <n v="49"/>
    <n v="1"/>
    <n v="33"/>
    <n v="3"/>
    <n v="36"/>
    <n v="5.83"/>
    <s v="Pakistan"/>
    <n v="0"/>
    <n v="9"/>
    <n v="0"/>
    <n v="9"/>
    <n v="1"/>
    <n v="1"/>
    <n v="0"/>
    <s v="Win"/>
    <n v="0"/>
    <n v="0"/>
  </r>
  <r>
    <n v="4"/>
    <d v="2023-10-07T00:00:00"/>
    <s v="Delhi"/>
    <s v="Arun Jaitley Stadium"/>
    <s v="South Africa"/>
    <s v="Sri Lanka"/>
    <s v="Sri Lanka"/>
    <s v="South Africa"/>
    <s v="Field"/>
    <n v="428"/>
    <n v="326"/>
    <n v="754"/>
    <n v="15"/>
    <n v="76"/>
    <n v="31"/>
    <n v="107"/>
    <s v="102 Runs"/>
    <n v="102"/>
    <s v="Runs"/>
    <s v="Batting First Won"/>
    <n v="0"/>
    <s v="Toss Winner Lost"/>
    <s v="Aiden Markram"/>
    <s v="101-150"/>
    <s v=""/>
    <m/>
    <n v="2"/>
    <d v="2023-10-06T00:00:00"/>
    <x v="3"/>
    <s v="Pakistan"/>
    <s v="Hyderabad"/>
    <s v="Rajiv Gandhi International Stadium"/>
    <s v="Runs"/>
    <s v="Batting First Won"/>
    <n v="205"/>
    <n v="10"/>
    <n v="10"/>
    <n v="41"/>
    <n v="1"/>
    <n v="20"/>
    <n v="4"/>
    <n v="24"/>
    <n v="5"/>
    <s v="Pakistan"/>
    <n v="0"/>
    <n v="8"/>
    <n v="1"/>
    <n v="9"/>
    <n v="1"/>
    <n v="0"/>
    <n v="1"/>
    <s v="Loss"/>
    <n v="1"/>
    <n v="0"/>
  </r>
  <r>
    <n v="5"/>
    <d v="2023-10-08T00:00:00"/>
    <s v="Chennai"/>
    <s v="M. A. Chidambaram Stadium"/>
    <s v="Australia"/>
    <s v="India"/>
    <s v="Australia"/>
    <s v="India"/>
    <s v="Bat"/>
    <n v="199"/>
    <n v="201"/>
    <n v="400"/>
    <n v="14"/>
    <n v="30"/>
    <n v="5"/>
    <n v="35"/>
    <s v="6 Wickets"/>
    <n v="6"/>
    <s v="Wickets"/>
    <s v="Chasing Won"/>
    <n v="0"/>
    <s v="Toss Winner Lost"/>
    <s v="KL Rahul"/>
    <s v=""/>
    <s v="4-6"/>
    <m/>
    <n v="3"/>
    <d v="2023-10-07T00:00:00"/>
    <x v="4"/>
    <s v="Bangladesh"/>
    <s v="Dharamshala"/>
    <s v="HPCA Stadium"/>
    <s v="Wickets"/>
    <s v="Chasing Won"/>
    <n v="156"/>
    <n v="4"/>
    <n v="10"/>
    <n v="37.200000000000003"/>
    <n v="1"/>
    <n v="15"/>
    <n v="2"/>
    <n v="17"/>
    <n v="4.17"/>
    <s v="Bangladesh"/>
    <n v="0"/>
    <n v="4"/>
    <n v="1"/>
    <n v="8"/>
    <n v="1"/>
    <n v="0"/>
    <n v="1"/>
    <s v="Loss"/>
    <n v="0"/>
    <n v="0"/>
  </r>
  <r>
    <n v="6"/>
    <d v="2023-10-09T00:00:00"/>
    <s v="Hyderabad"/>
    <s v="Rajiv Gandhi International Stadium"/>
    <s v="New Zealand"/>
    <s v="Netherlands"/>
    <s v="Netherlands"/>
    <s v="New Zealand"/>
    <s v="Field"/>
    <n v="322"/>
    <n v="223"/>
    <n v="545"/>
    <n v="17"/>
    <n v="49"/>
    <n v="13"/>
    <n v="62"/>
    <s v="99 Runs"/>
    <n v="99"/>
    <s v="Runs"/>
    <s v="Batting First Won"/>
    <n v="0"/>
    <s v="Toss Winner Lost"/>
    <s v="Mitchell Santner"/>
    <s v="51-100"/>
    <s v=""/>
    <m/>
    <n v="3"/>
    <d v="2023-10-07T00:00:00"/>
    <x v="5"/>
    <s v="Afghanistan"/>
    <s v="Dharamshala"/>
    <s v="HPCA Stadium"/>
    <s v="Wickets"/>
    <s v="Chasing Won"/>
    <n v="158"/>
    <n v="10"/>
    <n v="4"/>
    <n v="34.4"/>
    <n v="5"/>
    <n v="13"/>
    <n v="1"/>
    <n v="14"/>
    <n v="4.55"/>
    <s v="Bangladesh"/>
    <n v="0"/>
    <n v="8"/>
    <n v="0"/>
    <n v="8"/>
    <n v="1"/>
    <n v="1"/>
    <n v="0"/>
    <s v="Win"/>
    <n v="1"/>
    <n v="1"/>
  </r>
  <r>
    <n v="7"/>
    <d v="2023-10-10T00:00:00"/>
    <s v="Dharamshala"/>
    <s v="HPCA Stadium"/>
    <s v="England"/>
    <s v="Bangladesh"/>
    <s v="Bangladesh"/>
    <s v="England"/>
    <s v="Field"/>
    <n v="364"/>
    <n v="227"/>
    <n v="591"/>
    <n v="19"/>
    <n v="58"/>
    <n v="10"/>
    <n v="68"/>
    <s v="137 Runs"/>
    <n v="137"/>
    <s v="Runs"/>
    <s v="Batting First Won"/>
    <n v="0"/>
    <s v="Toss Winner Lost"/>
    <s v="Dawid Malan"/>
    <s v="101-150"/>
    <s v=""/>
    <m/>
    <n v="4"/>
    <d v="2023-10-07T00:00:00"/>
    <x v="6"/>
    <s v="Sri Lanka"/>
    <s v="Delhi"/>
    <s v="Arun Jaitley Stadium"/>
    <s v="Runs"/>
    <s v="Batting First Won"/>
    <n v="428"/>
    <n v="10"/>
    <n v="5"/>
    <n v="50"/>
    <n v="1"/>
    <n v="45"/>
    <n v="14"/>
    <n v="59"/>
    <n v="8.56"/>
    <s v="South Africa"/>
    <n v="0"/>
    <n v="14"/>
    <n v="1"/>
    <n v="20"/>
    <n v="1"/>
    <n v="1"/>
    <n v="0"/>
    <s v="Win"/>
    <n v="0"/>
    <n v="0"/>
  </r>
  <r>
    <n v="8"/>
    <d v="2023-10-10T00:00:00"/>
    <s v="Hyderabad"/>
    <s v="Rajiv Gandhi International Stadium"/>
    <s v="Sri Lanka"/>
    <s v="Pakistan"/>
    <s v="Sri Lanka"/>
    <s v="Pakistan"/>
    <s v="Bat"/>
    <n v="344"/>
    <n v="345"/>
    <n v="689"/>
    <n v="13"/>
    <n v="62"/>
    <n v="15"/>
    <n v="77"/>
    <s v="6 Wickets"/>
    <n v="6"/>
    <s v="Wickets"/>
    <s v="Chasing Won"/>
    <n v="0"/>
    <s v="Toss Winner Lost"/>
    <s v="Mohammad Rizwan"/>
    <s v=""/>
    <s v="4-6"/>
    <m/>
    <n v="4"/>
    <d v="2023-10-07T00:00:00"/>
    <x v="7"/>
    <s v="South Africa"/>
    <s v="Delhi"/>
    <s v="Arun Jaitley Stadium"/>
    <s v="Runs"/>
    <s v="Batting First Won"/>
    <n v="326"/>
    <n v="5"/>
    <n v="10"/>
    <n v="44.5"/>
    <n v="1"/>
    <n v="31"/>
    <n v="17"/>
    <n v="48"/>
    <n v="7.27"/>
    <s v="South Africa"/>
    <n v="0"/>
    <n v="21"/>
    <n v="1"/>
    <n v="23"/>
    <n v="1"/>
    <n v="0"/>
    <n v="1"/>
    <s v="Loss"/>
    <n v="1"/>
    <n v="0"/>
  </r>
  <r>
    <n v="9"/>
    <d v="2023-10-11T00:00:00"/>
    <s v="Delhi"/>
    <s v="Arun Jaitley Stadium"/>
    <s v="Afghanistan"/>
    <s v="India"/>
    <s v="Afghanistan"/>
    <s v="India"/>
    <s v="Bat"/>
    <n v="272"/>
    <n v="273"/>
    <n v="545"/>
    <n v="10"/>
    <n v="53"/>
    <n v="15"/>
    <n v="68"/>
    <s v="8 Wickets"/>
    <n v="8"/>
    <s v="Wickets"/>
    <s v="Chasing Won"/>
    <n v="0"/>
    <s v="Toss Winner Lost"/>
    <s v="Rohit Sharma"/>
    <s v=""/>
    <s v="7-10"/>
    <m/>
    <n v="5"/>
    <d v="2023-10-08T00:00:00"/>
    <x v="8"/>
    <s v="India"/>
    <s v="Chennai"/>
    <s v="M. A. Chidambaram Stadium"/>
    <s v="Wickets"/>
    <s v="Chasing Won"/>
    <n v="199"/>
    <n v="4"/>
    <n v="10"/>
    <n v="49.3"/>
    <n v="1"/>
    <n v="16"/>
    <n v="2"/>
    <n v="18"/>
    <n v="4.0199999999999996"/>
    <s v="India"/>
    <n v="1"/>
    <n v="5"/>
    <n v="1"/>
    <n v="8"/>
    <n v="1"/>
    <n v="0"/>
    <n v="1"/>
    <s v="Loss"/>
    <n v="1"/>
    <n v="0"/>
  </r>
  <r>
    <n v="10"/>
    <d v="2023-10-12T00:00:00"/>
    <s v="Lucknow"/>
    <s v="BRSABV Ekana Cricket Stadium"/>
    <s v="South Africa"/>
    <s v="Australia"/>
    <s v="Australia"/>
    <s v="South Africa"/>
    <s v="Field"/>
    <n v="311"/>
    <n v="177"/>
    <n v="488"/>
    <n v="17"/>
    <n v="45"/>
    <n v="8"/>
    <n v="53"/>
    <s v="134 Runs"/>
    <n v="134"/>
    <s v="Runs"/>
    <s v="Batting First Won"/>
    <n v="0"/>
    <s v="Toss Winner Lost"/>
    <s v="Quinton de Kock"/>
    <s v="101-150"/>
    <s v=""/>
    <m/>
    <n v="5"/>
    <d v="2023-10-08T00:00:00"/>
    <x v="9"/>
    <s v="Australia"/>
    <s v="Chennai"/>
    <s v="M. A. Chidambaram Stadium"/>
    <s v="Wickets"/>
    <s v="Chasing Won"/>
    <n v="201"/>
    <n v="10"/>
    <n v="4"/>
    <n v="41.2"/>
    <n v="4"/>
    <n v="14"/>
    <n v="3"/>
    <n v="17"/>
    <n v="4.8600000000000003"/>
    <s v="India"/>
    <n v="0"/>
    <n v="6"/>
    <n v="0"/>
    <n v="12"/>
    <n v="1"/>
    <n v="1"/>
    <n v="0"/>
    <s v="Win"/>
    <n v="0"/>
    <n v="0"/>
  </r>
  <r>
    <n v="11"/>
    <d v="2023-10-13T00:00:00"/>
    <s v="Chennai"/>
    <s v="M. A. Chidambaram Stadium"/>
    <s v="Bangladesh"/>
    <s v="New Zealand"/>
    <s v="New Zealand"/>
    <s v="New Zealand"/>
    <s v="Field"/>
    <n v="245"/>
    <n v="248"/>
    <n v="493"/>
    <n v="11"/>
    <n v="40"/>
    <n v="14"/>
    <n v="54"/>
    <s v="8 Wickets"/>
    <n v="8"/>
    <s v="Wickets"/>
    <s v="Chasing Won"/>
    <n v="1"/>
    <s v="Toss Winner Won"/>
    <s v="Lockie Ferguson"/>
    <s v=""/>
    <s v="7-10"/>
    <m/>
    <n v="6"/>
    <d v="2023-10-09T00:00:00"/>
    <x v="1"/>
    <s v="Netherlands"/>
    <s v="Hyderabad"/>
    <s v="Rajiv Gandhi International Stadium"/>
    <s v="Runs"/>
    <s v="Batting First Won"/>
    <n v="322"/>
    <n v="10"/>
    <n v="7"/>
    <n v="50"/>
    <n v="0"/>
    <n v="30"/>
    <n v="10"/>
    <n v="40"/>
    <n v="6.44"/>
    <s v="New Zealand"/>
    <n v="0"/>
    <n v="2"/>
    <n v="1"/>
    <n v="4"/>
    <n v="1"/>
    <n v="1"/>
    <n v="0"/>
    <s v="Win"/>
    <n v="0"/>
    <n v="0"/>
  </r>
  <r>
    <n v="12"/>
    <d v="2023-10-14T00:00:00"/>
    <s v="Ahmedabad"/>
    <s v="Narendra Modi Stadium"/>
    <s v="Pakistan"/>
    <s v="India"/>
    <s v="India"/>
    <s v="India"/>
    <s v="Field"/>
    <n v="191"/>
    <n v="192"/>
    <n v="383"/>
    <n v="13"/>
    <n v="43"/>
    <n v="8"/>
    <n v="51"/>
    <s v="7 Wickets"/>
    <n v="7"/>
    <s v="Wickets"/>
    <s v="Chasing Won"/>
    <n v="1"/>
    <s v="Toss Winner Won"/>
    <s v="Jasprit Bumrah"/>
    <s v=""/>
    <s v="7-10"/>
    <m/>
    <n v="6"/>
    <d v="2023-10-09T00:00:00"/>
    <x v="3"/>
    <s v="New Zealand"/>
    <s v="Hyderabad"/>
    <s v="Rajiv Gandhi International Stadium"/>
    <s v="Runs"/>
    <s v="Batting First Won"/>
    <n v="223"/>
    <n v="7"/>
    <n v="10"/>
    <n v="46.3"/>
    <n v="3"/>
    <n v="19"/>
    <n v="3"/>
    <n v="22"/>
    <n v="4.79"/>
    <s v="New Zealand"/>
    <n v="0"/>
    <n v="8"/>
    <n v="2"/>
    <n v="13"/>
    <n v="1"/>
    <n v="0"/>
    <n v="1"/>
    <s v="Loss"/>
    <n v="1"/>
    <n v="0"/>
  </r>
  <r>
    <n v="13"/>
    <d v="2023-10-15T00:00:00"/>
    <s v="Delhi"/>
    <s v="Arun Jaitley Stadium"/>
    <s v="Afghanistan"/>
    <s v="England"/>
    <s v="England"/>
    <s v="Afghanistan"/>
    <s v="Field"/>
    <n v="284"/>
    <n v="215"/>
    <n v="499"/>
    <n v="20"/>
    <n v="47"/>
    <n v="9"/>
    <n v="56"/>
    <s v="69 Runs"/>
    <n v="69"/>
    <s v="Runs"/>
    <s v="Batting First Won"/>
    <n v="0"/>
    <s v="Toss Winner Lost"/>
    <s v="Mujeeb Ur Rahman"/>
    <s v="51-100"/>
    <s v=""/>
    <m/>
    <n v="7"/>
    <d v="2023-10-10T00:00:00"/>
    <x v="0"/>
    <s v="Bangladesh"/>
    <s v="Dharamshala"/>
    <s v="HPCA Stadium"/>
    <s v="Runs"/>
    <s v="Batting First Won"/>
    <n v="364"/>
    <n v="10"/>
    <n v="9"/>
    <n v="50"/>
    <n v="1"/>
    <n v="41"/>
    <n v="7"/>
    <n v="48"/>
    <n v="7.28"/>
    <s v="England"/>
    <n v="0"/>
    <n v="3"/>
    <n v="0"/>
    <n v="7"/>
    <n v="1"/>
    <n v="1"/>
    <n v="0"/>
    <s v="Win"/>
    <n v="0"/>
    <n v="0"/>
  </r>
  <r>
    <n v="14"/>
    <d v="2023-10-16T00:00:00"/>
    <s v="Lucknow"/>
    <s v="BRSABV Ekana Cricket Stadium"/>
    <s v="Sri Lanka"/>
    <s v="Australia"/>
    <s v="Sri Lanka"/>
    <s v="Australia"/>
    <s v="Bat"/>
    <n v="209"/>
    <n v="215"/>
    <n v="424"/>
    <n v="15"/>
    <n v="45"/>
    <n v="6"/>
    <n v="51"/>
    <s v="5 Wickets"/>
    <n v="5"/>
    <s v="Wickets"/>
    <s v="Chasing Won"/>
    <n v="0"/>
    <s v="Toss Winner Lost"/>
    <s v="Adam Zampa"/>
    <s v=""/>
    <s v="4-6"/>
    <m/>
    <n v="7"/>
    <d v="2023-10-10T00:00:00"/>
    <x v="5"/>
    <s v="England"/>
    <s v="Dharamshala"/>
    <s v="HPCA Stadium"/>
    <s v="Runs"/>
    <s v="Batting First Won"/>
    <n v="227"/>
    <n v="9"/>
    <n v="10"/>
    <n v="48.2"/>
    <n v="0"/>
    <n v="17"/>
    <n v="3"/>
    <n v="20"/>
    <n v="4.6900000000000004"/>
    <s v="England"/>
    <n v="1"/>
    <n v="4"/>
    <n v="0"/>
    <n v="7"/>
    <n v="1"/>
    <n v="0"/>
    <n v="1"/>
    <s v="Loss"/>
    <n v="1"/>
    <n v="0"/>
  </r>
  <r>
    <n v="15"/>
    <d v="2023-10-17T00:00:00"/>
    <s v="Dharamshala"/>
    <s v="HPCA Stadium"/>
    <s v="Netherlands"/>
    <s v="South Africa"/>
    <s v="South Africa"/>
    <s v="Netherlands"/>
    <s v="Field"/>
    <n v="245"/>
    <n v="207"/>
    <n v="452"/>
    <n v="18"/>
    <n v="42"/>
    <n v="11"/>
    <n v="53"/>
    <s v="38 Runs"/>
    <n v="38"/>
    <s v="Runs"/>
    <s v="Batting First Won"/>
    <n v="0"/>
    <s v="Toss Winner Lost"/>
    <s v="Scott Edwards"/>
    <s v="1-50"/>
    <s v=""/>
    <m/>
    <n v="8"/>
    <d v="2023-10-10T00:00:00"/>
    <x v="7"/>
    <s v="Pakistan"/>
    <s v="Hyderabad"/>
    <s v="Rajiv Gandhi International Stadium"/>
    <s v="Wickets"/>
    <s v="Chasing Won"/>
    <n v="344"/>
    <n v="4"/>
    <n v="9"/>
    <n v="50"/>
    <n v="0"/>
    <n v="36"/>
    <n v="9"/>
    <n v="45"/>
    <n v="6.88"/>
    <s v="Pakistan"/>
    <n v="0"/>
    <n v="25"/>
    <n v="1"/>
    <n v="26"/>
    <n v="1"/>
    <n v="0"/>
    <n v="1"/>
    <s v="Loss"/>
    <n v="1"/>
    <n v="0"/>
  </r>
  <r>
    <n v="16"/>
    <d v="2023-10-18T00:00:00"/>
    <s v="Chennai"/>
    <s v="M. A. Chidambaram Stadium"/>
    <s v="New Zealand"/>
    <s v="Afghanistan"/>
    <s v="Afghanistan"/>
    <s v="New Zealand"/>
    <s v="Field"/>
    <n v="288"/>
    <n v="139"/>
    <n v="427"/>
    <n v="16"/>
    <n v="30"/>
    <n v="13"/>
    <n v="43"/>
    <s v="149 Runs"/>
    <n v="149"/>
    <s v="Runs"/>
    <s v="Batting First Won"/>
    <n v="0"/>
    <s v="Toss Winner Lost"/>
    <s v="Glenn Phillips"/>
    <s v="101-150"/>
    <s v=""/>
    <m/>
    <n v="8"/>
    <d v="2023-10-10T00:00:00"/>
    <x v="2"/>
    <s v="Sri Lanka"/>
    <s v="Hyderabad"/>
    <s v="Rajiv Gandhi International Stadium"/>
    <s v="Wickets"/>
    <s v="Chasing Won"/>
    <n v="345"/>
    <n v="9"/>
    <n v="4"/>
    <n v="48.2"/>
    <n v="0"/>
    <n v="26"/>
    <n v="6"/>
    <n v="32"/>
    <n v="7.13"/>
    <s v="Pakistan"/>
    <n v="2"/>
    <n v="9"/>
    <n v="1"/>
    <n v="14"/>
    <n v="1"/>
    <n v="1"/>
    <n v="0"/>
    <s v="Win"/>
    <n v="0"/>
    <n v="0"/>
  </r>
  <r>
    <n v="17"/>
    <d v="2023-10-19T00:00:00"/>
    <s v="Pune"/>
    <s v="Maharashtra Cricket Association Stadium"/>
    <s v="Bangladesh"/>
    <s v="India"/>
    <s v="Bangladesh"/>
    <s v="India"/>
    <s v="Bat"/>
    <n v="256"/>
    <n v="261"/>
    <n v="517"/>
    <n v="11"/>
    <n v="41"/>
    <n v="17"/>
    <n v="58"/>
    <s v="7 Wickets"/>
    <n v="7"/>
    <s v="Wickets"/>
    <s v="Chasing Won"/>
    <n v="0"/>
    <s v="Toss Winner Lost"/>
    <s v="Virat Kohli"/>
    <s v=""/>
    <s v="7-10"/>
    <m/>
    <n v="9"/>
    <d v="2023-10-11T00:00:00"/>
    <x v="4"/>
    <s v="India"/>
    <s v="Delhi"/>
    <s v="Arun Jaitley Stadium"/>
    <s v="Wickets"/>
    <s v="Chasing Won"/>
    <n v="272"/>
    <n v="2"/>
    <n v="8"/>
    <n v="50"/>
    <n v="0"/>
    <n v="25"/>
    <n v="7"/>
    <n v="32"/>
    <n v="5.44"/>
    <s v="India"/>
    <n v="1"/>
    <n v="10"/>
    <n v="0"/>
    <n v="15"/>
    <n v="1"/>
    <n v="0"/>
    <n v="1"/>
    <s v="Loss"/>
    <n v="1"/>
    <n v="0"/>
  </r>
  <r>
    <n v="18"/>
    <d v="2023-10-20T00:00:00"/>
    <s v="Bangalore"/>
    <s v="M. Chinnaswamy Stadium"/>
    <s v="Australia"/>
    <s v="Pakistan"/>
    <s v="Pakistan"/>
    <s v="Australia"/>
    <s v="Field"/>
    <n v="367"/>
    <n v="305"/>
    <n v="672"/>
    <n v="19"/>
    <n v="63"/>
    <n v="25"/>
    <n v="88"/>
    <s v="62 Runs"/>
    <n v="62"/>
    <s v="Runs"/>
    <s v="Batting First Won"/>
    <n v="0"/>
    <s v="Toss Winner Lost"/>
    <s v="David Warner"/>
    <s v="51-100"/>
    <s v=""/>
    <m/>
    <n v="9"/>
    <d v="2023-10-11T00:00:00"/>
    <x v="9"/>
    <s v="Afghanistan"/>
    <s v="Delhi"/>
    <s v="Arun Jaitley Stadium"/>
    <s v="Wickets"/>
    <s v="Chasing Won"/>
    <n v="273"/>
    <n v="8"/>
    <n v="2"/>
    <n v="35"/>
    <n v="0"/>
    <n v="28"/>
    <n v="8"/>
    <n v="36"/>
    <n v="7.8"/>
    <s v="India"/>
    <n v="2"/>
    <n v="8"/>
    <n v="2"/>
    <n v="15"/>
    <n v="1"/>
    <n v="1"/>
    <n v="0"/>
    <s v="Win"/>
    <n v="0"/>
    <n v="0"/>
  </r>
  <r>
    <n v="19"/>
    <d v="2023-10-21T00:00:00"/>
    <s v="Lucknow"/>
    <s v="BRSABV Ekana Cricket Stadium"/>
    <s v="Netherlands"/>
    <s v="Sri Lanka"/>
    <s v="Netherlands"/>
    <s v="Sri Lanka"/>
    <s v="Bat"/>
    <n v="262"/>
    <n v="263"/>
    <n v="525"/>
    <n v="15"/>
    <n v="37"/>
    <n v="6"/>
    <n v="43"/>
    <s v="5 Wickets"/>
    <n v="5"/>
    <s v="Wickets"/>
    <s v="Chasing Won"/>
    <n v="0"/>
    <s v="Toss Winner Lost"/>
    <s v="Sadeera Samarawickrama"/>
    <s v=""/>
    <s v="4-6"/>
    <m/>
    <n v="10"/>
    <d v="2023-10-12T00:00:00"/>
    <x v="6"/>
    <s v="Australia"/>
    <s v="Lucknow"/>
    <s v="BRSABV Ekana Cricket Stadium"/>
    <s v="Runs"/>
    <s v="Batting First Won"/>
    <n v="311"/>
    <n v="10"/>
    <n v="7"/>
    <n v="50"/>
    <n v="3"/>
    <n v="26"/>
    <n v="8"/>
    <n v="34"/>
    <n v="6.22"/>
    <s v="South Africa"/>
    <n v="0"/>
    <n v="11"/>
    <n v="2"/>
    <n v="17"/>
    <n v="1"/>
    <n v="1"/>
    <n v="0"/>
    <s v="Win"/>
    <n v="0"/>
    <n v="0"/>
  </r>
  <r>
    <n v="20"/>
    <d v="2023-10-21T00:00:00"/>
    <s v="Mumbai"/>
    <s v="Wankhede Stadium"/>
    <s v="South Africa"/>
    <s v="England"/>
    <s v="England"/>
    <s v="South Africa"/>
    <s v="Field"/>
    <n v="399"/>
    <n v="170"/>
    <n v="569"/>
    <n v="17"/>
    <n v="56"/>
    <n v="22"/>
    <n v="78"/>
    <s v="229 Runs"/>
    <n v="229"/>
    <s v="Runs"/>
    <s v="Batting First Won"/>
    <n v="0"/>
    <s v="Toss Winner Lost"/>
    <s v="Heinrich Klaasen"/>
    <s v="201+"/>
    <s v=""/>
    <m/>
    <n v="10"/>
    <d v="2023-10-12T00:00:00"/>
    <x v="8"/>
    <s v="South Africa"/>
    <s v="Lucknow"/>
    <s v="BRSABV Ekana Cricket Stadium"/>
    <s v="Runs"/>
    <s v="Batting First Won"/>
    <n v="177"/>
    <n v="7"/>
    <n v="10"/>
    <n v="40.5"/>
    <n v="2"/>
    <n v="19"/>
    <n v="0"/>
    <n v="19"/>
    <n v="4.33"/>
    <s v="South Africa"/>
    <n v="4"/>
    <n v="7"/>
    <n v="0"/>
    <n v="13"/>
    <n v="1"/>
    <n v="0"/>
    <n v="1"/>
    <s v="Loss"/>
    <n v="1"/>
    <n v="0"/>
  </r>
  <r>
    <n v="21"/>
    <d v="2023-10-22T00:00:00"/>
    <s v="Dharamshala"/>
    <s v="HPCA Stadium"/>
    <s v="New Zealand"/>
    <s v="India"/>
    <s v="India"/>
    <s v="India"/>
    <s v="Field"/>
    <n v="273"/>
    <n v="274"/>
    <n v="547"/>
    <n v="16"/>
    <n v="48"/>
    <n v="14"/>
    <n v="62"/>
    <s v="4 Wickets"/>
    <n v="4"/>
    <s v="Wickets"/>
    <s v="Chasing Won"/>
    <n v="1"/>
    <s v="Toss Winner Won"/>
    <s v="Mohammed Shami"/>
    <s v=""/>
    <s v="4-6"/>
    <m/>
    <n v="11"/>
    <d v="2023-10-13T00:00:00"/>
    <x v="5"/>
    <s v="New Zealand"/>
    <s v="Chennai"/>
    <s v="M. A. Chidambaram Stadium"/>
    <s v="Wickets"/>
    <s v="Chasing Won"/>
    <n v="245"/>
    <n v="2"/>
    <n v="9"/>
    <n v="50"/>
    <n v="1"/>
    <n v="20"/>
    <n v="8"/>
    <n v="28"/>
    <n v="4.9000000000000004"/>
    <s v="New Zealand"/>
    <n v="0"/>
    <n v="10"/>
    <n v="0"/>
    <n v="11"/>
    <n v="1"/>
    <n v="0"/>
    <n v="1"/>
    <s v="Loss"/>
    <n v="0"/>
    <n v="0"/>
  </r>
  <r>
    <n v="22"/>
    <d v="2023-10-23T00:00:00"/>
    <s v="Chennai"/>
    <s v="M. A. Chidambaram Stadium"/>
    <s v="Pakistan"/>
    <s v="Afghanistan"/>
    <s v="Pakistan"/>
    <s v="Afghanistan"/>
    <s v="Bat"/>
    <n v="282"/>
    <n v="286"/>
    <n v="568"/>
    <n v="9"/>
    <n v="45"/>
    <n v="12"/>
    <n v="57"/>
    <s v="8 Wickets"/>
    <n v="8"/>
    <s v="Wickets"/>
    <s v="Chasing Won"/>
    <n v="0"/>
    <s v="Toss Winner Lost"/>
    <s v="Ibrahim Zadran"/>
    <s v=""/>
    <s v="7-10"/>
    <m/>
    <n v="11"/>
    <d v="2023-10-13T00:00:00"/>
    <x v="1"/>
    <s v="Bangladesh"/>
    <s v="Chennai"/>
    <s v="M. A. Chidambaram Stadium"/>
    <s v="Wickets"/>
    <s v="Chasing Won"/>
    <n v="248"/>
    <n v="9"/>
    <n v="2"/>
    <n v="42.5"/>
    <n v="1"/>
    <n v="20"/>
    <n v="6"/>
    <n v="26"/>
    <n v="5.78"/>
    <s v="New Zealand"/>
    <n v="0"/>
    <n v="4"/>
    <n v="4"/>
    <n v="9"/>
    <n v="1"/>
    <n v="1"/>
    <n v="0"/>
    <s v="Win"/>
    <n v="1"/>
    <n v="1"/>
  </r>
  <r>
    <n v="23"/>
    <d v="2023-10-24T00:00:00"/>
    <s v="Mumbai"/>
    <s v="Wankhede Stadium"/>
    <s v="South Africa"/>
    <s v="Bangladesh"/>
    <s v="South Africa"/>
    <s v="South Africa"/>
    <s v="Bat"/>
    <n v="382"/>
    <n v="233"/>
    <n v="615"/>
    <n v="15"/>
    <n v="51"/>
    <n v="24"/>
    <n v="75"/>
    <s v="149 Runs"/>
    <n v="149"/>
    <s v="Runs"/>
    <s v="Batting First Won"/>
    <n v="1"/>
    <s v="Toss Winner Won"/>
    <s v="Quinton de Kock"/>
    <s v="101-150"/>
    <s v=""/>
    <m/>
    <n v="12"/>
    <d v="2023-10-14T00:00:00"/>
    <x v="2"/>
    <s v="India"/>
    <s v="Ahmedabad"/>
    <s v="Narendra Modi Stadium"/>
    <s v="Wickets"/>
    <s v="Chasing Won"/>
    <n v="191"/>
    <n v="3"/>
    <n v="10"/>
    <n v="42.5"/>
    <n v="0"/>
    <n v="26"/>
    <n v="0"/>
    <n v="26"/>
    <n v="4.45"/>
    <s v="India"/>
    <n v="0"/>
    <n v="1"/>
    <n v="0"/>
    <n v="6"/>
    <n v="1"/>
    <n v="0"/>
    <n v="1"/>
    <s v="Loss"/>
    <n v="0"/>
    <n v="0"/>
  </r>
  <r>
    <n v="24"/>
    <d v="2023-10-25T00:00:00"/>
    <s v="Delhi"/>
    <s v="Arun Jaitley Stadium"/>
    <s v="Australia"/>
    <s v="Netherlands"/>
    <s v="Australia"/>
    <s v="Australia"/>
    <s v="Bat"/>
    <n v="399"/>
    <n v="90"/>
    <n v="489"/>
    <n v="18"/>
    <n v="55"/>
    <n v="15"/>
    <n v="70"/>
    <s v="309 Runs"/>
    <n v="309"/>
    <s v="Runs"/>
    <s v="Batting First Won"/>
    <n v="1"/>
    <s v="Toss Winner Won"/>
    <s v="Glenn Maxwell"/>
    <s v="201+"/>
    <s v=""/>
    <m/>
    <n v="12"/>
    <d v="2023-10-14T00:00:00"/>
    <x v="9"/>
    <s v="Pakistan"/>
    <s v="Ahmedabad"/>
    <s v="Narendra Modi Stadium"/>
    <s v="Wickets"/>
    <s v="Chasing Won"/>
    <n v="192"/>
    <n v="10"/>
    <n v="3"/>
    <n v="30.3"/>
    <n v="1"/>
    <n v="17"/>
    <n v="8"/>
    <n v="25"/>
    <n v="6.29"/>
    <s v="India"/>
    <n v="1"/>
    <n v="1"/>
    <n v="0"/>
    <n v="4"/>
    <n v="1"/>
    <n v="1"/>
    <n v="0"/>
    <s v="Win"/>
    <n v="1"/>
    <n v="1"/>
  </r>
  <r>
    <n v="25"/>
    <d v="2023-10-26T00:00:00"/>
    <s v="Bangalore"/>
    <s v="M. Chinnaswamy Stadium"/>
    <s v="England"/>
    <s v="Sri Lanka"/>
    <s v="England"/>
    <s v="Sri Lanka"/>
    <s v="Bat"/>
    <n v="156"/>
    <n v="160"/>
    <n v="316"/>
    <n v="12"/>
    <n v="36"/>
    <n v="4"/>
    <n v="40"/>
    <s v="8 Wickets"/>
    <n v="8"/>
    <s v="Wickets"/>
    <s v="Chasing Won"/>
    <n v="0"/>
    <s v="Toss Winner Lost"/>
    <s v="Lahiru Kumara"/>
    <s v=""/>
    <s v="7-10"/>
    <m/>
    <n v="13"/>
    <d v="2023-10-15T00:00:00"/>
    <x v="4"/>
    <s v="England"/>
    <s v="Delhi"/>
    <s v="Arun Jaitley Stadium"/>
    <s v="Runs"/>
    <s v="Batting First Won"/>
    <n v="284"/>
    <n v="10"/>
    <n v="10"/>
    <n v="49.5"/>
    <n v="3"/>
    <n v="23"/>
    <n v="8"/>
    <n v="31"/>
    <n v="5.69"/>
    <s v="Afghanistan"/>
    <n v="0"/>
    <n v="8"/>
    <n v="1"/>
    <n v="13"/>
    <n v="1"/>
    <n v="1"/>
    <n v="0"/>
    <s v="Win"/>
    <n v="0"/>
    <n v="0"/>
  </r>
  <r>
    <n v="26"/>
    <d v="2023-10-27T00:00:00"/>
    <s v="Chennai"/>
    <s v="M. A. Chidambaram Stadium"/>
    <s v="Pakistan"/>
    <s v="South Africa"/>
    <s v="Pakistan"/>
    <s v="South Africa"/>
    <s v="Bat"/>
    <n v="270"/>
    <n v="271"/>
    <n v="541"/>
    <n v="19"/>
    <n v="44"/>
    <n v="16"/>
    <n v="60"/>
    <s v="1 Wicket"/>
    <n v="1"/>
    <s v="Wickets"/>
    <s v="Chasing Won"/>
    <n v="0"/>
    <s v="Toss Winner Lost"/>
    <s v="Tabraiz Shamsi"/>
    <s v=""/>
    <s v="1-3"/>
    <m/>
    <n v="13"/>
    <d v="2023-10-15T00:00:00"/>
    <x v="0"/>
    <s v="Afghanistan"/>
    <s v="Delhi"/>
    <s v="Arun Jaitley Stadium"/>
    <s v="Runs"/>
    <s v="Batting First Won"/>
    <n v="215"/>
    <n v="10"/>
    <n v="10"/>
    <n v="40.299999999999997"/>
    <n v="2"/>
    <n v="24"/>
    <n v="1"/>
    <n v="25"/>
    <n v="5.3"/>
    <s v="Afghanistan"/>
    <n v="0"/>
    <n v="11"/>
    <n v="3"/>
    <n v="15"/>
    <n v="1"/>
    <n v="0"/>
    <n v="1"/>
    <s v="Loss"/>
    <n v="1"/>
    <n v="0"/>
  </r>
  <r>
    <n v="27"/>
    <d v="2023-10-28T00:00:00"/>
    <s v="Dharamshala"/>
    <s v="HPCA Stadium"/>
    <s v="Australia"/>
    <s v="New Zealand"/>
    <s v="New Zealand"/>
    <s v="Australia"/>
    <s v="Field"/>
    <n v="388"/>
    <n v="383"/>
    <n v="771"/>
    <n v="19"/>
    <n v="65"/>
    <n v="32"/>
    <n v="97"/>
    <s v="5 Runs"/>
    <n v="5"/>
    <s v="Runs"/>
    <s v="Batting First Won"/>
    <n v="0"/>
    <s v="Toss Winner Lost"/>
    <s v="Travis Head"/>
    <s v="1-50"/>
    <s v=""/>
    <m/>
    <n v="14"/>
    <d v="2023-10-16T00:00:00"/>
    <x v="7"/>
    <s v="Australia"/>
    <s v="Lucknow"/>
    <s v="BRSABV Ekana Cricket Stadium"/>
    <s v="Wickets"/>
    <s v="Chasing Won"/>
    <n v="209"/>
    <n v="5"/>
    <n v="10"/>
    <n v="43.3"/>
    <n v="2"/>
    <n v="23"/>
    <n v="1"/>
    <n v="24"/>
    <n v="4.8"/>
    <s v="Australia"/>
    <n v="0"/>
    <n v="3"/>
    <n v="0"/>
    <n v="3"/>
    <n v="1"/>
    <n v="0"/>
    <n v="1"/>
    <s v="Loss"/>
    <n v="1"/>
    <n v="0"/>
  </r>
  <r>
    <n v="28"/>
    <d v="2023-10-28T00:00:00"/>
    <s v="Kolkata"/>
    <s v="Eden Gardens"/>
    <s v="Netherlands"/>
    <s v="Bangladesh"/>
    <s v="Netherlands"/>
    <s v="Netherlands"/>
    <s v="Bat"/>
    <n v="142"/>
    <n v="229"/>
    <n v="371"/>
    <n v="20"/>
    <n v="38"/>
    <n v="4"/>
    <n v="42"/>
    <s v="87 Runs"/>
    <n v="87"/>
    <s v="Runs"/>
    <s v="Batting First Won"/>
    <n v="1"/>
    <s v="Toss Winner Won"/>
    <s v="Paul van Meekeren"/>
    <s v="51-100"/>
    <s v=""/>
    <m/>
    <n v="14"/>
    <d v="2023-10-16T00:00:00"/>
    <x v="8"/>
    <s v="Sri Lanka"/>
    <s v="Lucknow"/>
    <s v="BRSABV Ekana Cricket Stadium"/>
    <s v="Wickets"/>
    <s v="Chasing Won"/>
    <n v="215"/>
    <n v="10"/>
    <n v="5"/>
    <n v="35.200000000000003"/>
    <n v="2"/>
    <n v="22"/>
    <n v="5"/>
    <n v="27"/>
    <n v="6.08"/>
    <s v="Australia"/>
    <n v="2"/>
    <n v="9"/>
    <n v="0"/>
    <n v="13"/>
    <n v="1"/>
    <n v="1"/>
    <n v="0"/>
    <s v="Win"/>
    <n v="0"/>
    <n v="0"/>
  </r>
  <r>
    <n v="29"/>
    <d v="2023-10-29T00:00:00"/>
    <s v="Lucknow"/>
    <s v="BRSABV Ekana Cricket Stadium"/>
    <s v="India"/>
    <s v="England"/>
    <s v="England"/>
    <s v="India"/>
    <s v="Field"/>
    <n v="229"/>
    <n v="129"/>
    <n v="358"/>
    <n v="19"/>
    <n v="30"/>
    <n v="7"/>
    <n v="37"/>
    <s v="100 Runs"/>
    <n v="100"/>
    <s v="Runs"/>
    <s v="Batting First Won"/>
    <n v="0"/>
    <s v="Toss Winner Lost"/>
    <s v="Rohit Sharma"/>
    <s v="51-100"/>
    <s v=""/>
    <m/>
    <n v="15"/>
    <d v="2023-10-17T00:00:00"/>
    <x v="3"/>
    <s v="South Africa"/>
    <s v="Dharamshala"/>
    <s v="HPCA Stadium"/>
    <s v="Runs"/>
    <s v="Batting First Won"/>
    <n v="245"/>
    <n v="10"/>
    <n v="8"/>
    <n v="43"/>
    <n v="1"/>
    <n v="23"/>
    <n v="6"/>
    <n v="29"/>
    <n v="5.69"/>
    <s v="Netherlands"/>
    <n v="0"/>
    <n v="5"/>
    <n v="1"/>
    <n v="8"/>
    <n v="1"/>
    <n v="1"/>
    <n v="0"/>
    <s v="Win"/>
    <n v="0"/>
    <n v="0"/>
  </r>
  <r>
    <n v="30"/>
    <d v="2023-10-30T00:00:00"/>
    <s v="Pune"/>
    <s v="Maharashtra Cricket Association Stadium"/>
    <s v="Sri Lanka"/>
    <s v="Afghanistan"/>
    <s v="Afghanistan"/>
    <s v="Afghanistan"/>
    <s v="Field"/>
    <n v="241"/>
    <n v="242"/>
    <n v="483"/>
    <n v="13"/>
    <n v="38"/>
    <n v="7"/>
    <n v="45"/>
    <s v="7 Wickets"/>
    <n v="7"/>
    <s v="Wickets"/>
    <s v="Chasing Won"/>
    <n v="1"/>
    <s v="Toss Winner Won"/>
    <s v="Fazalhaq Farooqi"/>
    <s v=""/>
    <s v="7-10"/>
    <m/>
    <n v="15"/>
    <d v="2023-10-17T00:00:00"/>
    <x v="6"/>
    <s v="Netherlands"/>
    <s v="Dharamshala"/>
    <s v="HPCA Stadium"/>
    <s v="Runs"/>
    <s v="Batting First Won"/>
    <n v="207"/>
    <n v="8"/>
    <n v="10"/>
    <n v="42.5"/>
    <n v="3"/>
    <n v="19"/>
    <n v="5"/>
    <n v="24"/>
    <n v="4.83"/>
    <s v="Netherlands"/>
    <n v="0"/>
    <n v="21"/>
    <n v="1"/>
    <n v="32"/>
    <n v="1"/>
    <n v="0"/>
    <n v="1"/>
    <s v="Loss"/>
    <n v="1"/>
    <n v="0"/>
  </r>
  <r>
    <n v="31"/>
    <d v="2023-10-31T00:00:00"/>
    <s v="Kolkata"/>
    <s v="Eden Gardens"/>
    <s v="Bangladesh"/>
    <s v="Pakistan"/>
    <s v="Bangladesh"/>
    <s v="Pakistan"/>
    <s v="Bat"/>
    <n v="205"/>
    <n v="204"/>
    <n v="409"/>
    <n v="13"/>
    <n v="38"/>
    <n v="12"/>
    <n v="50"/>
    <s v="7 Wickets"/>
    <n v="7"/>
    <s v="Wickets"/>
    <s v="Chasing Won"/>
    <n v="0"/>
    <s v="Toss Winner Lost"/>
    <s v="Fakhar Zaman"/>
    <s v=""/>
    <s v="7-10"/>
    <m/>
    <n v="16"/>
    <d v="2023-10-18T00:00:00"/>
    <x v="1"/>
    <s v="Afghanistan"/>
    <s v="Chennai"/>
    <s v="M. A. Chidambaram Stadium"/>
    <s v="Runs"/>
    <s v="Batting First Won"/>
    <n v="288"/>
    <n v="10"/>
    <n v="6"/>
    <n v="50"/>
    <n v="4"/>
    <n v="19"/>
    <n v="11"/>
    <n v="30"/>
    <n v="5.76"/>
    <s v="New Zealand"/>
    <n v="0"/>
    <n v="5"/>
    <n v="0"/>
    <n v="5"/>
    <n v="1"/>
    <n v="1"/>
    <n v="0"/>
    <s v="Win"/>
    <n v="0"/>
    <n v="0"/>
  </r>
  <r>
    <n v="32"/>
    <d v="2023-11-01T00:00:00"/>
    <s v="Pune"/>
    <s v="Maharashtra Cricket Association Stadium"/>
    <s v="South Africa"/>
    <s v="New Zealand"/>
    <s v="New Zealand"/>
    <s v="South Africa"/>
    <s v="Field"/>
    <n v="357"/>
    <n v="167"/>
    <n v="524"/>
    <n v="14"/>
    <n v="43"/>
    <n v="19"/>
    <n v="62"/>
    <s v="190 Runs"/>
    <n v="190"/>
    <s v="Runs"/>
    <s v="Batting First Won"/>
    <n v="0"/>
    <s v="Toss Winner Lost"/>
    <s v="Rassie van der Dussen"/>
    <s v="151-200"/>
    <s v=""/>
    <m/>
    <n v="16"/>
    <d v="2023-10-18T00:00:00"/>
    <x v="4"/>
    <s v="New Zealand"/>
    <s v="Chennai"/>
    <s v="M. A. Chidambaram Stadium"/>
    <s v="Runs"/>
    <s v="Batting First Won"/>
    <n v="139"/>
    <n v="6"/>
    <n v="10"/>
    <n v="34.4"/>
    <n v="2"/>
    <n v="11"/>
    <n v="2"/>
    <n v="13"/>
    <n v="4"/>
    <s v="New Zealand"/>
    <n v="0"/>
    <n v="5"/>
    <n v="1"/>
    <n v="10"/>
    <n v="1"/>
    <n v="0"/>
    <n v="1"/>
    <s v="Loss"/>
    <n v="1"/>
    <n v="0"/>
  </r>
  <r>
    <n v="33"/>
    <d v="2023-11-02T00:00:00"/>
    <s v="Mumbai"/>
    <s v="Wankhede Stadium"/>
    <s v="India"/>
    <s v="Sri Lanka"/>
    <s v="Sri Lanka"/>
    <s v="India"/>
    <s v="Field"/>
    <n v="357"/>
    <n v="55"/>
    <n v="412"/>
    <n v="18"/>
    <n v="37"/>
    <n v="9"/>
    <n v="46"/>
    <s v="302 Runs"/>
    <n v="302"/>
    <s v="Runs"/>
    <s v="Batting First Won"/>
    <n v="0"/>
    <s v="Toss Winner Lost"/>
    <s v="Mohammed Shami"/>
    <s v="201+"/>
    <s v=""/>
    <m/>
    <n v="17"/>
    <d v="2023-10-19T00:00:00"/>
    <x v="5"/>
    <s v="India"/>
    <s v="Pune"/>
    <s v="Maharashtra Cricket Association Stadium"/>
    <s v="Wickets"/>
    <s v="Chasing Won"/>
    <n v="256"/>
    <n v="3"/>
    <n v="8"/>
    <n v="50"/>
    <n v="0"/>
    <n v="18"/>
    <n v="8"/>
    <n v="26"/>
    <n v="5.12"/>
    <s v="India"/>
    <n v="0"/>
    <n v="2"/>
    <n v="2"/>
    <n v="4"/>
    <n v="1"/>
    <n v="0"/>
    <n v="1"/>
    <s v="Loss"/>
    <n v="1"/>
    <n v="0"/>
  </r>
  <r>
    <n v="34"/>
    <d v="2023-11-03T00:00:00"/>
    <s v="Lucknow"/>
    <s v="BRSABV Ekana Cricket Stadium"/>
    <s v="Netherlands"/>
    <s v="Afghanistan"/>
    <s v="Netherlands"/>
    <s v="Afghanistan"/>
    <s v="Bat"/>
    <n v="181"/>
    <n v="179"/>
    <n v="360"/>
    <n v="13"/>
    <n v="40"/>
    <n v="0"/>
    <n v="40"/>
    <s v="7 Wickets"/>
    <n v="7"/>
    <s v="Wickets"/>
    <s v="Chasing Won"/>
    <n v="0"/>
    <s v="Toss Winner Lost"/>
    <s v="Mohammad Nabi"/>
    <s v=""/>
    <s v="7-10"/>
    <m/>
    <n v="17"/>
    <d v="2023-10-19T00:00:00"/>
    <x v="9"/>
    <s v="Bangladesh"/>
    <s v="Pune"/>
    <s v="Maharashtra Cricket Association Stadium"/>
    <s v="Wickets"/>
    <s v="Chasing Won"/>
    <n v="261"/>
    <n v="8"/>
    <n v="3"/>
    <n v="41.3"/>
    <n v="1"/>
    <n v="23"/>
    <n v="9"/>
    <n v="32"/>
    <n v="6.28"/>
    <s v="India"/>
    <n v="0"/>
    <n v="5"/>
    <n v="0"/>
    <n v="6"/>
    <n v="1"/>
    <n v="1"/>
    <n v="0"/>
    <s v="Win"/>
    <n v="0"/>
    <n v="0"/>
  </r>
  <r>
    <n v="35"/>
    <d v="2023-11-04T00:00:00"/>
    <s v="Bangalore"/>
    <s v="M. Chinnaswamy Stadium"/>
    <s v="New Zealand"/>
    <s v="Pakistan"/>
    <s v="Pakistan"/>
    <s v="Pakistan"/>
    <s v="Field"/>
    <n v="401"/>
    <n v="200"/>
    <n v="601"/>
    <n v="7"/>
    <n v="61"/>
    <n v="21"/>
    <n v="82"/>
    <s v="21 Runs DLS Method"/>
    <n v="21"/>
    <s v="Runs (DLS) Method"/>
    <s v="DLS Result"/>
    <n v="1"/>
    <s v="Toss Winner Won"/>
    <s v="Fakhar Zaman"/>
    <s v=""/>
    <s v=""/>
    <m/>
    <n v="18"/>
    <d v="2023-10-20T00:00:00"/>
    <x v="8"/>
    <s v="Pakistan"/>
    <s v="Bangalore"/>
    <s v="M. Chinnaswamy Stadium"/>
    <s v="Runs"/>
    <s v="Batting First Won"/>
    <n v="367"/>
    <n v="10"/>
    <n v="9"/>
    <n v="50"/>
    <n v="1"/>
    <n v="29"/>
    <n v="19"/>
    <n v="48"/>
    <n v="7.34"/>
    <s v="Australia"/>
    <n v="1"/>
    <n v="11"/>
    <n v="0"/>
    <n v="19"/>
    <n v="1"/>
    <n v="1"/>
    <n v="0"/>
    <s v="Win"/>
    <n v="0"/>
    <n v="0"/>
  </r>
  <r>
    <n v="36"/>
    <d v="2023-11-04T00:00:00"/>
    <s v="Ahmedabad"/>
    <s v="Narendra Modi Stadium"/>
    <s v="Australia"/>
    <s v="England"/>
    <s v="England"/>
    <s v="Australia"/>
    <s v="Field"/>
    <n v="286"/>
    <n v="253"/>
    <n v="539"/>
    <n v="20"/>
    <n v="47"/>
    <n v="9"/>
    <n v="56"/>
    <s v="33 Runs"/>
    <n v="33"/>
    <s v="Runs"/>
    <s v="Batting First Won"/>
    <n v="0"/>
    <s v="Toss Winner Lost"/>
    <s v="Adam Zampa"/>
    <s v="1-50"/>
    <s v=""/>
    <m/>
    <n v="18"/>
    <d v="2023-10-20T00:00:00"/>
    <x v="2"/>
    <s v="Australia"/>
    <s v="Bangalore"/>
    <s v="M. Chinnaswamy Stadium"/>
    <s v="Runs"/>
    <s v="Batting First Won"/>
    <n v="305"/>
    <n v="9"/>
    <n v="10"/>
    <n v="45.3"/>
    <n v="1"/>
    <n v="34"/>
    <n v="6"/>
    <n v="40"/>
    <n v="6.7"/>
    <s v="Australia"/>
    <n v="1"/>
    <n v="14"/>
    <n v="0"/>
    <n v="25"/>
    <n v="1"/>
    <n v="0"/>
    <n v="1"/>
    <s v="Loss"/>
    <n v="1"/>
    <n v="0"/>
  </r>
  <r>
    <n v="37"/>
    <d v="2023-11-05T00:00:00"/>
    <s v="Kolkata"/>
    <s v="Eden Gardens"/>
    <s v="India"/>
    <s v="South Africa"/>
    <s v="India"/>
    <s v="India"/>
    <s v="Bat"/>
    <n v="326"/>
    <n v="83"/>
    <n v="409"/>
    <n v="15"/>
    <n v="45"/>
    <n v="6"/>
    <n v="51"/>
    <s v="243 Runs"/>
    <n v="243"/>
    <s v="Runs"/>
    <s v="Batting First Won"/>
    <n v="1"/>
    <s v="Toss Winner Won"/>
    <s v="Virat Kohli"/>
    <s v="201+"/>
    <s v=""/>
    <m/>
    <n v="19"/>
    <d v="2023-10-21T00:00:00"/>
    <x v="3"/>
    <s v="Sri Lanka"/>
    <s v="Lucknow"/>
    <s v="BRSABV Ekana Cricket Stadium"/>
    <s v="Wickets"/>
    <s v="Chasing Won"/>
    <n v="262"/>
    <n v="5"/>
    <n v="10"/>
    <n v="49.4"/>
    <n v="1"/>
    <n v="14"/>
    <n v="3"/>
    <n v="17"/>
    <n v="5.27"/>
    <s v="Sri Lanka"/>
    <n v="13"/>
    <n v="11"/>
    <n v="0"/>
    <n v="24"/>
    <n v="1"/>
    <n v="0"/>
    <n v="1"/>
    <s v="Loss"/>
    <n v="1"/>
    <n v="0"/>
  </r>
  <r>
    <n v="38"/>
    <d v="2023-11-06T00:00:00"/>
    <s v="Delhi"/>
    <s v="Arun Jaitley Stadium"/>
    <s v="Sri Lanka"/>
    <s v="Bangladesh"/>
    <s v="Bangladesh"/>
    <s v="Bangladesh"/>
    <s v="Field"/>
    <n v="279"/>
    <n v="282"/>
    <n v="561"/>
    <n v="17"/>
    <n v="60"/>
    <n v="14"/>
    <n v="74"/>
    <s v="3 Wickets"/>
    <n v="3"/>
    <s v="Wickets"/>
    <s v="Chasing Won"/>
    <n v="1"/>
    <s v="Toss Winner Won"/>
    <s v="Shakib Al Hasan"/>
    <s v=""/>
    <s v="1-3"/>
    <m/>
    <n v="19"/>
    <d v="2023-10-21T00:00:00"/>
    <x v="7"/>
    <s v="Netherlands"/>
    <s v="Lucknow"/>
    <s v="BRSABV Ekana Cricket Stadium"/>
    <s v="Wickets"/>
    <s v="Chasing Won"/>
    <n v="263"/>
    <n v="10"/>
    <n v="5"/>
    <n v="9"/>
    <n v="2"/>
    <n v="23"/>
    <n v="3"/>
    <n v="26"/>
    <n v="5.44"/>
    <s v="Sri Lanka"/>
    <n v="0"/>
    <n v="26"/>
    <n v="1"/>
    <n v="33"/>
    <n v="1"/>
    <n v="1"/>
    <n v="0"/>
    <s v="Win"/>
    <n v="0"/>
    <n v="0"/>
  </r>
  <r>
    <n v="39"/>
    <d v="2023-11-07T00:00:00"/>
    <s v="Mumbai"/>
    <s v="Wankhede Stadium"/>
    <s v="Australia"/>
    <s v="Afghanistan"/>
    <s v="Afghanistan"/>
    <s v="Australia"/>
    <s v="Bat"/>
    <n v="293"/>
    <n v="291"/>
    <n v="584"/>
    <n v="12"/>
    <n v="46"/>
    <n v="21"/>
    <n v="67"/>
    <s v="3 Wickets"/>
    <n v="3"/>
    <s v="Wickets"/>
    <s v="Chasing Won"/>
    <n v="0"/>
    <s v="Toss Winner Lost"/>
    <s v="Glenn Maxwell"/>
    <s v=""/>
    <s v="1-3"/>
    <m/>
    <n v="20"/>
    <d v="2023-10-21T00:00:00"/>
    <x v="6"/>
    <s v="England"/>
    <s v="Mumbai"/>
    <s v="Wankhede Stadium"/>
    <s v="Runs"/>
    <s v="Batting First Won"/>
    <n v="399"/>
    <n v="10"/>
    <n v="7"/>
    <n v="50"/>
    <n v="2"/>
    <n v="38"/>
    <n v="13"/>
    <n v="51"/>
    <n v="7.98"/>
    <s v="South Africa"/>
    <n v="0"/>
    <n v="5"/>
    <n v="1"/>
    <n v="15"/>
    <n v="1"/>
    <n v="1"/>
    <n v="0"/>
    <s v="Win"/>
    <n v="0"/>
    <n v="0"/>
  </r>
  <r>
    <n v="40"/>
    <d v="2023-11-08T00:00:00"/>
    <s v="Pune"/>
    <s v="Maharashtra Cricket Association Stadium"/>
    <s v="England"/>
    <s v="Netherlands"/>
    <s v="England"/>
    <s v="England"/>
    <s v="Bat"/>
    <n v="179"/>
    <n v="339"/>
    <n v="518"/>
    <n v="19"/>
    <n v="41"/>
    <n v="16"/>
    <n v="57"/>
    <s v="160 Runs"/>
    <n v="160"/>
    <s v="Runs"/>
    <s v="Batting First Won"/>
    <n v="1"/>
    <s v="Toss Winner Won"/>
    <s v="Ben Stokes"/>
    <s v="151-200"/>
    <s v=""/>
    <m/>
    <n v="20"/>
    <d v="2023-10-21T00:00:00"/>
    <x v="0"/>
    <s v="South Africa"/>
    <s v="Mumbai"/>
    <s v="Wankhede Stadium"/>
    <s v="Runs"/>
    <s v="Batting First Won"/>
    <n v="170"/>
    <n v="7"/>
    <n v="10"/>
    <n v="22"/>
    <n v="1"/>
    <n v="18"/>
    <n v="9"/>
    <n v="27"/>
    <n v="7.72"/>
    <s v="South Africa"/>
    <n v="2"/>
    <n v="9"/>
    <n v="1"/>
    <n v="15"/>
    <n v="1"/>
    <n v="0"/>
    <n v="1"/>
    <s v="Loss"/>
    <n v="1"/>
    <n v="0"/>
  </r>
  <r>
    <n v="41"/>
    <d v="2023-11-09T00:00:00"/>
    <s v="Bangalore"/>
    <s v="M. Chinnaswamy Stadium"/>
    <s v="New Zealand"/>
    <s v="Sri Lanka"/>
    <s v="New Zealand"/>
    <s v="New Zealand"/>
    <s v="Field"/>
    <n v="171"/>
    <n v="172"/>
    <n v="343"/>
    <n v="15"/>
    <n v="44"/>
    <n v="8"/>
    <n v="52"/>
    <s v="5 Wickets"/>
    <n v="5"/>
    <s v="Wickets"/>
    <s v="Chasing Won"/>
    <n v="1"/>
    <s v="Toss Winner Won"/>
    <s v="Trent Boult"/>
    <s v=""/>
    <s v="4-6"/>
    <m/>
    <n v="21"/>
    <d v="2023-10-22T00:00:00"/>
    <x v="1"/>
    <s v="India"/>
    <s v="Dharamshala"/>
    <s v="HPCA Stadium"/>
    <s v="Wickets"/>
    <s v="Chasing Won"/>
    <n v="273"/>
    <n v="6"/>
    <n v="10"/>
    <n v="50"/>
    <n v="0"/>
    <n v="19"/>
    <n v="7"/>
    <n v="26"/>
    <n v="5.46"/>
    <s v="India"/>
    <n v="0"/>
    <n v="4"/>
    <n v="0"/>
    <n v="5"/>
    <n v="1"/>
    <n v="0"/>
    <n v="1"/>
    <s v="Loss"/>
    <n v="0"/>
    <n v="0"/>
  </r>
  <r>
    <n v="42"/>
    <d v="2023-11-10T00:00:00"/>
    <s v="Ahmedabad"/>
    <s v="Narendra Modi Stadium"/>
    <s v="Afghanistan"/>
    <s v="South Africa"/>
    <s v="Afghanistan"/>
    <s v="South Africa"/>
    <s v="Bat"/>
    <n v="244"/>
    <n v="247"/>
    <n v="491"/>
    <n v="15"/>
    <n v="35"/>
    <n v="15"/>
    <n v="50"/>
    <s v="5 Wickets"/>
    <n v="5"/>
    <s v="Wickets"/>
    <s v="Chasing Won"/>
    <n v="0"/>
    <s v="Toss Winner Lost"/>
    <s v="Rassie van der Dussen"/>
    <s v=""/>
    <s v="4-6"/>
    <m/>
    <n v="21"/>
    <d v="2023-10-22T00:00:00"/>
    <x v="9"/>
    <s v="New Zealand"/>
    <s v="Dharamshala"/>
    <s v="HPCA Stadium"/>
    <s v="Wickets"/>
    <s v="Chasing Won"/>
    <n v="274"/>
    <n v="10"/>
    <n v="6"/>
    <n v="48"/>
    <n v="2"/>
    <n v="29"/>
    <n v="7"/>
    <n v="36"/>
    <n v="5.7"/>
    <s v="India"/>
    <n v="3"/>
    <n v="7"/>
    <n v="0"/>
    <n v="15"/>
    <n v="1"/>
    <n v="1"/>
    <n v="0"/>
    <s v="Win"/>
    <n v="1"/>
    <n v="1"/>
  </r>
  <r>
    <n v="43"/>
    <d v="2023-11-11T00:00:00"/>
    <s v="Pune"/>
    <s v="Maharashtra Cricket Association Stadium"/>
    <s v="Australia"/>
    <s v="Bangladesh"/>
    <s v="Australia"/>
    <s v="Australia"/>
    <s v="Field"/>
    <n v="306"/>
    <n v="307"/>
    <n v="613"/>
    <n v="10"/>
    <n v="56"/>
    <n v="16"/>
    <n v="72"/>
    <s v="8 Wickets"/>
    <n v="8"/>
    <s v="Wickets"/>
    <s v="Chasing Won"/>
    <n v="1"/>
    <s v="Toss Winner Won"/>
    <s v="Mitchell Marsh"/>
    <s v=""/>
    <s v="7-10"/>
    <m/>
    <n v="22"/>
    <d v="2023-10-23T00:00:00"/>
    <x v="2"/>
    <s v="Afghanistan"/>
    <s v="Chennai"/>
    <s v="M. A. Chidambaram Stadium"/>
    <s v="Wickets"/>
    <s v="Chasing Won"/>
    <n v="282"/>
    <n v="2"/>
    <n v="7"/>
    <n v="50"/>
    <n v="2"/>
    <n v="17"/>
    <n v="9"/>
    <n v="26"/>
    <n v="5.64"/>
    <s v="Afghanistan"/>
    <n v="0"/>
    <n v="8"/>
    <n v="1"/>
    <n v="9"/>
    <n v="1"/>
    <n v="0"/>
    <n v="1"/>
    <s v="Loss"/>
    <n v="1"/>
    <n v="0"/>
  </r>
  <r>
    <n v="44"/>
    <d v="2023-11-11T00:00:00"/>
    <s v="Kolkata"/>
    <s v="Eden Gardens"/>
    <s v="England"/>
    <s v="Pakistan"/>
    <s v="England"/>
    <s v="England"/>
    <s v="Bat"/>
    <n v="244"/>
    <n v="337"/>
    <n v="581"/>
    <n v="19"/>
    <n v="62"/>
    <n v="14"/>
    <n v="76"/>
    <s v="93 Runs"/>
    <n v="93"/>
    <s v="Runs"/>
    <s v="Batting First Won"/>
    <n v="1"/>
    <s v="Toss Winner Won"/>
    <s v="David Willey"/>
    <s v="51-100"/>
    <s v=""/>
    <m/>
    <n v="22"/>
    <d v="2023-10-23T00:00:00"/>
    <x v="4"/>
    <s v="Pakistan"/>
    <s v="Chennai"/>
    <s v="M. A. Chidambaram Stadium"/>
    <s v="Wickets"/>
    <s v="Chasing Won"/>
    <n v="286"/>
    <n v="7"/>
    <n v="2"/>
    <n v="49"/>
    <n v="0"/>
    <n v="28"/>
    <n v="3"/>
    <n v="31"/>
    <n v="5.83"/>
    <s v="Afghanistan"/>
    <n v="0"/>
    <n v="12"/>
    <n v="1"/>
    <n v="17"/>
    <n v="1"/>
    <n v="1"/>
    <n v="0"/>
    <s v="Win"/>
    <n v="0"/>
    <n v="0"/>
  </r>
  <r>
    <n v="45"/>
    <d v="2023-11-12T00:00:00"/>
    <s v="Bangalore"/>
    <s v="M. Chinnaswamy Stadium"/>
    <s v="India"/>
    <s v="Netherlands"/>
    <s v="India"/>
    <s v="India"/>
    <s v="Bat"/>
    <n v="410"/>
    <n v="250"/>
    <n v="660"/>
    <n v="14"/>
    <n v="56"/>
    <n v="25"/>
    <n v="81"/>
    <s v="160 Runs"/>
    <n v="160"/>
    <s v="Runs"/>
    <s v="Batting First Won"/>
    <n v="1"/>
    <s v="Toss Winner Won"/>
    <s v="Shreyas Iyer"/>
    <s v="151-200"/>
    <s v=""/>
    <m/>
    <n v="23"/>
    <d v="2023-10-24T00:00:00"/>
    <x v="6"/>
    <s v="Bangladesh"/>
    <s v="Mumbai"/>
    <s v="Wankhede Stadium"/>
    <s v="Runs"/>
    <s v="Batting First Won"/>
    <n v="382"/>
    <n v="10"/>
    <n v="5"/>
    <n v="50"/>
    <n v="2"/>
    <n v="26"/>
    <n v="19"/>
    <n v="45"/>
    <n v="7.64"/>
    <s v="South Africa"/>
    <n v="0"/>
    <n v="13"/>
    <n v="2"/>
    <n v="17"/>
    <n v="1"/>
    <n v="1"/>
    <n v="0"/>
    <s v="Win"/>
    <n v="1"/>
    <n v="1"/>
  </r>
  <r>
    <n v="46"/>
    <d v="2023-11-15T00:00:00"/>
    <s v="Mumbai"/>
    <s v="Wankhede Stadium"/>
    <s v="India"/>
    <s v="New Zealand"/>
    <s v="India"/>
    <s v="India"/>
    <s v="Bat"/>
    <n v="397"/>
    <n v="327"/>
    <n v="724"/>
    <n v="14"/>
    <n v="59"/>
    <n v="30"/>
    <n v="89"/>
    <s v="70 Runs"/>
    <n v="70"/>
    <s v="Runs"/>
    <s v="Batting First Won"/>
    <n v="1"/>
    <s v="Toss Winner Won"/>
    <s v="Mohammed Shami"/>
    <s v="51-100"/>
    <s v=""/>
    <m/>
    <n v="23"/>
    <d v="2023-10-24T00:00:00"/>
    <x v="5"/>
    <s v="South Africa"/>
    <s v="Mumbai"/>
    <s v="Wankhede Stadium"/>
    <s v="Runs"/>
    <s v="Batting First Won"/>
    <n v="233"/>
    <n v="5"/>
    <n v="10"/>
    <n v="46.4"/>
    <n v="0"/>
    <n v="25"/>
    <n v="5"/>
    <n v="30"/>
    <n v="4.99"/>
    <s v="South Africa"/>
    <n v="0"/>
    <n v="7"/>
    <n v="0"/>
    <n v="10"/>
    <n v="1"/>
    <n v="0"/>
    <n v="1"/>
    <s v="Loss"/>
    <n v="0"/>
    <n v="0"/>
  </r>
  <r>
    <n v="47"/>
    <d v="2023-11-16T00:00:00"/>
    <s v="Kolkata"/>
    <s v="Eden Gardens"/>
    <s v="Australia"/>
    <s v="South Africa"/>
    <s v="South Africa"/>
    <s v="Australia"/>
    <s v="Bat"/>
    <n v="215"/>
    <n v="212"/>
    <n v="427"/>
    <n v="17"/>
    <n v="37"/>
    <n v="14"/>
    <n v="51"/>
    <s v="3 Wickets"/>
    <n v="3"/>
    <s v="Wickets"/>
    <s v="Chasing Won"/>
    <n v="0"/>
    <s v="Toss Winner Lost"/>
    <s v="Travis Head"/>
    <s v=""/>
    <s v="1-3"/>
    <m/>
    <n v="24"/>
    <d v="2023-10-25T00:00:00"/>
    <x v="8"/>
    <s v="Netherlands"/>
    <s v="Delhi"/>
    <s v="Arun Jaitley Stadium"/>
    <s v="Runs"/>
    <s v="Batting First Won"/>
    <n v="399"/>
    <n v="10"/>
    <n v="8"/>
    <n v="50"/>
    <n v="0"/>
    <n v="42"/>
    <n v="15"/>
    <n v="57"/>
    <n v="7.98"/>
    <s v="Australia"/>
    <n v="0"/>
    <n v="7"/>
    <n v="0"/>
    <n v="7"/>
    <n v="1"/>
    <n v="1"/>
    <n v="0"/>
    <s v="Win"/>
    <n v="1"/>
    <n v="1"/>
  </r>
  <r>
    <n v="48"/>
    <d v="2023-11-19T00:00:00"/>
    <s v="Ahmedabad"/>
    <s v="Narendra Modi Stadium"/>
    <s v="India"/>
    <s v="Australia"/>
    <s v="Australia"/>
    <s v="Australia"/>
    <s v="Field"/>
    <n v="240"/>
    <n v="241"/>
    <n v="481"/>
    <n v="14"/>
    <n v="35"/>
    <n v="8"/>
    <n v="43"/>
    <s v="6 Wickets"/>
    <n v="6"/>
    <s v="Wickets"/>
    <s v="Chasing Won"/>
    <n v="1"/>
    <s v="Toss Winner Won"/>
    <s v="Travis Head"/>
    <s v=""/>
    <s v="4-6"/>
    <m/>
    <n v="24"/>
    <d v="2023-10-25T00:00:00"/>
    <x v="3"/>
    <s v="Australia"/>
    <s v="Delhi"/>
    <s v="Arun Jaitley Stadium"/>
    <s v="Runs"/>
    <s v="Batting First Won"/>
    <n v="90"/>
    <n v="8"/>
    <n v="10"/>
    <n v="21"/>
    <n v="0"/>
    <n v="13"/>
    <n v="0"/>
    <n v="13"/>
    <n v="4.28"/>
    <s v="Australia"/>
    <n v="0"/>
    <n v="11"/>
    <n v="1"/>
    <n v="12"/>
    <n v="1"/>
    <n v="0"/>
    <n v="1"/>
    <s v="Loss"/>
    <n v="0"/>
    <n v="0"/>
  </r>
  <r>
    <m/>
    <m/>
    <m/>
    <m/>
    <m/>
    <m/>
    <m/>
    <m/>
    <m/>
    <m/>
    <m/>
    <m/>
    <m/>
    <m/>
    <m/>
    <m/>
    <m/>
    <m/>
    <m/>
    <m/>
    <m/>
    <m/>
    <m/>
    <m/>
    <m/>
    <m/>
    <n v="25"/>
    <d v="2023-10-26T00:00:00"/>
    <x v="0"/>
    <s v="Sri Lanka"/>
    <s v="Bangalore"/>
    <s v="M. Chinnaswamy Stadium"/>
    <s v="Wickets"/>
    <s v="Chasing Won"/>
    <n v="156"/>
    <n v="2"/>
    <n v="10"/>
    <n v="33.200000000000003"/>
    <n v="0"/>
    <n v="19"/>
    <n v="1"/>
    <n v="20"/>
    <n v="4.68"/>
    <s v="Sri Lanka"/>
    <n v="0"/>
    <n v="3"/>
    <n v="0"/>
    <n v="3"/>
    <n v="1"/>
    <n v="0"/>
    <n v="1"/>
    <s v="Loss"/>
    <n v="1"/>
    <n v="0"/>
  </r>
  <r>
    <m/>
    <m/>
    <m/>
    <m/>
    <m/>
    <m/>
    <m/>
    <m/>
    <m/>
    <m/>
    <m/>
    <m/>
    <m/>
    <m/>
    <m/>
    <m/>
    <m/>
    <m/>
    <m/>
    <m/>
    <m/>
    <m/>
    <m/>
    <m/>
    <m/>
    <m/>
    <n v="25"/>
    <d v="2023-10-26T00:00:00"/>
    <x v="7"/>
    <s v="England"/>
    <s v="Bangalore"/>
    <s v="M. Chinnaswamy Stadium"/>
    <s v="Wickets"/>
    <s v="Chasing Won"/>
    <n v="160"/>
    <n v="10"/>
    <n v="2"/>
    <n v="25.4"/>
    <n v="2"/>
    <n v="17"/>
    <n v="3"/>
    <n v="20"/>
    <n v="6.23"/>
    <s v="Sri Lanka"/>
    <n v="0"/>
    <n v="4"/>
    <n v="0"/>
    <n v="7"/>
    <n v="1"/>
    <n v="1"/>
    <n v="0"/>
    <s v="Win"/>
    <n v="0"/>
    <n v="0"/>
  </r>
  <r>
    <m/>
    <m/>
    <m/>
    <m/>
    <m/>
    <m/>
    <m/>
    <m/>
    <m/>
    <m/>
    <m/>
    <m/>
    <m/>
    <m/>
    <m/>
    <m/>
    <m/>
    <m/>
    <m/>
    <m/>
    <m/>
    <m/>
    <m/>
    <m/>
    <m/>
    <m/>
    <n v="26"/>
    <d v="2023-10-27T00:00:00"/>
    <x v="2"/>
    <s v="South Africa"/>
    <s v="Chennai"/>
    <s v="M. A. Chidambaram Stadium"/>
    <s v="Wickets"/>
    <s v="Chasing Won"/>
    <n v="270"/>
    <n v="9"/>
    <n v="10"/>
    <n v="46.4"/>
    <n v="1"/>
    <n v="23"/>
    <n v="8"/>
    <n v="31"/>
    <n v="5.78"/>
    <s v="South Africa"/>
    <n v="1"/>
    <n v="15"/>
    <n v="0"/>
    <n v="21"/>
    <n v="1"/>
    <n v="0"/>
    <n v="1"/>
    <s v="Loss"/>
    <n v="1"/>
    <n v="0"/>
  </r>
  <r>
    <m/>
    <m/>
    <m/>
    <m/>
    <m/>
    <m/>
    <m/>
    <m/>
    <m/>
    <m/>
    <m/>
    <m/>
    <m/>
    <m/>
    <m/>
    <m/>
    <m/>
    <m/>
    <m/>
    <m/>
    <m/>
    <m/>
    <m/>
    <m/>
    <m/>
    <m/>
    <n v="26"/>
    <d v="2023-10-27T00:00:00"/>
    <x v="6"/>
    <s v="Pakistan"/>
    <s v="Chennai"/>
    <s v="M. A. Chidambaram Stadium"/>
    <s v="Wickets"/>
    <s v="Chasing Won"/>
    <n v="271"/>
    <n v="10"/>
    <n v="9"/>
    <n v="47.2"/>
    <n v="1"/>
    <n v="21"/>
    <n v="8"/>
    <n v="29"/>
    <n v="5.22"/>
    <s v="South Africa"/>
    <n v="4"/>
    <n v="11"/>
    <n v="4"/>
    <n v="19"/>
    <n v="1"/>
    <n v="1"/>
    <n v="0"/>
    <s v="Win"/>
    <n v="0"/>
    <n v="0"/>
  </r>
  <r>
    <m/>
    <m/>
    <m/>
    <m/>
    <m/>
    <m/>
    <m/>
    <m/>
    <m/>
    <m/>
    <m/>
    <m/>
    <m/>
    <m/>
    <m/>
    <m/>
    <m/>
    <m/>
    <m/>
    <m/>
    <m/>
    <m/>
    <m/>
    <m/>
    <m/>
    <m/>
    <n v="27"/>
    <d v="2023-10-28T00:00:00"/>
    <x v="8"/>
    <s v="New Zealand"/>
    <s v="Dharamshala"/>
    <s v="HPCA Stadium"/>
    <s v="Runs"/>
    <s v="Batting First Won"/>
    <n v="388"/>
    <n v="9"/>
    <n v="10"/>
    <n v="49.2"/>
    <n v="0"/>
    <n v="32"/>
    <n v="20"/>
    <n v="52"/>
    <n v="7.86"/>
    <s v="Australia"/>
    <n v="0"/>
    <n v="22"/>
    <n v="0"/>
    <n v="26"/>
    <n v="1"/>
    <n v="1"/>
    <n v="0"/>
    <s v="Win"/>
    <n v="0"/>
    <n v="0"/>
  </r>
  <r>
    <m/>
    <m/>
    <m/>
    <m/>
    <m/>
    <m/>
    <m/>
    <m/>
    <m/>
    <m/>
    <m/>
    <m/>
    <m/>
    <m/>
    <m/>
    <m/>
    <m/>
    <m/>
    <m/>
    <m/>
    <m/>
    <m/>
    <m/>
    <m/>
    <m/>
    <m/>
    <n v="27"/>
    <d v="2023-10-28T00:00:00"/>
    <x v="1"/>
    <s v="Australia"/>
    <s v="Dharamshala"/>
    <s v="HPCA Stadium"/>
    <s v="Runs"/>
    <s v="Batting First Won"/>
    <n v="383"/>
    <n v="10"/>
    <n v="9"/>
    <n v="50"/>
    <n v="0"/>
    <n v="33"/>
    <n v="12"/>
    <n v="45"/>
    <n v="7.66"/>
    <s v="Australia"/>
    <n v="1"/>
    <n v="6"/>
    <n v="2"/>
    <n v="9"/>
    <n v="1"/>
    <n v="0"/>
    <n v="1"/>
    <s v="Loss"/>
    <n v="1"/>
    <n v="0"/>
  </r>
  <r>
    <m/>
    <m/>
    <m/>
    <m/>
    <m/>
    <m/>
    <m/>
    <m/>
    <m/>
    <m/>
    <m/>
    <m/>
    <m/>
    <m/>
    <m/>
    <m/>
    <m/>
    <m/>
    <m/>
    <m/>
    <m/>
    <m/>
    <m/>
    <m/>
    <m/>
    <m/>
    <n v="28"/>
    <d v="2023-10-28T00:00:00"/>
    <x v="3"/>
    <s v="Bangladesh"/>
    <s v="Kolkata"/>
    <s v="Eden Gardens"/>
    <s v="Runs"/>
    <s v="Batting First Won"/>
    <n v="142"/>
    <n v="10"/>
    <n v="10"/>
    <n v="42.2"/>
    <n v="5"/>
    <n v="22"/>
    <n v="2"/>
    <n v="24"/>
    <n v="3.35"/>
    <s v="Netherlands"/>
    <n v="0"/>
    <n v="6"/>
    <n v="0"/>
    <n v="6"/>
    <n v="1"/>
    <n v="1"/>
    <n v="0"/>
    <s v="Win"/>
    <n v="1"/>
    <n v="1"/>
  </r>
  <r>
    <m/>
    <m/>
    <m/>
    <m/>
    <m/>
    <m/>
    <m/>
    <m/>
    <m/>
    <m/>
    <m/>
    <m/>
    <m/>
    <m/>
    <m/>
    <m/>
    <m/>
    <m/>
    <m/>
    <m/>
    <m/>
    <m/>
    <m/>
    <m/>
    <m/>
    <m/>
    <n v="28"/>
    <d v="2023-10-28T00:00:00"/>
    <x v="5"/>
    <s v="Netherlands"/>
    <s v="Kolkata"/>
    <s v="Eden Gardens"/>
    <s v="Runs"/>
    <s v="Batting First Won"/>
    <n v="229"/>
    <n v="10"/>
    <n v="10"/>
    <n v="50"/>
    <n v="3"/>
    <n v="16"/>
    <n v="2"/>
    <n v="18"/>
    <n v="4.58"/>
    <s v="Netherlands"/>
    <n v="4"/>
    <n v="7"/>
    <n v="0"/>
    <n v="12"/>
    <n v="1"/>
    <n v="0"/>
    <n v="1"/>
    <s v="Loss"/>
    <n v="0"/>
    <n v="0"/>
  </r>
  <r>
    <m/>
    <m/>
    <m/>
    <m/>
    <m/>
    <m/>
    <m/>
    <m/>
    <m/>
    <m/>
    <m/>
    <m/>
    <m/>
    <m/>
    <m/>
    <m/>
    <m/>
    <m/>
    <m/>
    <m/>
    <m/>
    <m/>
    <m/>
    <m/>
    <m/>
    <m/>
    <n v="29"/>
    <d v="2023-10-29T00:00:00"/>
    <x v="9"/>
    <s v="England"/>
    <s v="Lucknow"/>
    <s v="BRSABV Ekana Cricket Stadium"/>
    <s v="Runs"/>
    <s v="Batting First Won"/>
    <n v="229"/>
    <n v="10"/>
    <n v="9"/>
    <n v="50"/>
    <n v="4"/>
    <n v="20"/>
    <n v="4"/>
    <n v="24"/>
    <n v="4.58"/>
    <s v="India"/>
    <n v="0"/>
    <n v="6"/>
    <n v="0"/>
    <n v="8"/>
    <n v="1"/>
    <n v="1"/>
    <n v="0"/>
    <s v="Win"/>
    <n v="0"/>
    <n v="0"/>
  </r>
  <r>
    <m/>
    <m/>
    <m/>
    <m/>
    <m/>
    <m/>
    <m/>
    <m/>
    <m/>
    <m/>
    <m/>
    <m/>
    <m/>
    <m/>
    <m/>
    <m/>
    <m/>
    <m/>
    <m/>
    <m/>
    <m/>
    <m/>
    <m/>
    <m/>
    <m/>
    <m/>
    <n v="29"/>
    <d v="2023-10-29T00:00:00"/>
    <x v="0"/>
    <s v="India"/>
    <s v="Lucknow"/>
    <s v="BRSABV Ekana Cricket Stadium"/>
    <s v="Runs"/>
    <s v="Batting First Won"/>
    <n v="129"/>
    <n v="9"/>
    <n v="10"/>
    <n v="34.5"/>
    <n v="5"/>
    <n v="10"/>
    <n v="3"/>
    <n v="13"/>
    <n v="3.7"/>
    <s v="India"/>
    <n v="4"/>
    <n v="3"/>
    <n v="0"/>
    <n v="7"/>
    <n v="1"/>
    <n v="0"/>
    <n v="1"/>
    <s v="Loss"/>
    <n v="1"/>
    <n v="0"/>
  </r>
  <r>
    <m/>
    <m/>
    <m/>
    <m/>
    <m/>
    <m/>
    <m/>
    <m/>
    <m/>
    <m/>
    <m/>
    <m/>
    <m/>
    <m/>
    <m/>
    <m/>
    <m/>
    <m/>
    <m/>
    <m/>
    <m/>
    <m/>
    <m/>
    <m/>
    <m/>
    <m/>
    <n v="30"/>
    <d v="2023-10-30T00:00:00"/>
    <x v="7"/>
    <s v="Afghanistan"/>
    <s v="Pune"/>
    <s v="Maharashtra Cricket Association Stadium"/>
    <s v="Wickets"/>
    <s v="Chasing Won"/>
    <n v="241"/>
    <n v="3"/>
    <n v="10"/>
    <n v="49.3"/>
    <n v="0"/>
    <n v="19"/>
    <n v="2"/>
    <n v="21"/>
    <n v="4.8600000000000003"/>
    <s v="Afghanistan"/>
    <n v="0"/>
    <n v="9"/>
    <n v="0"/>
    <n v="10"/>
    <n v="1"/>
    <n v="0"/>
    <n v="1"/>
    <s v="Loss"/>
    <n v="0"/>
    <n v="0"/>
  </r>
  <r>
    <m/>
    <m/>
    <m/>
    <m/>
    <m/>
    <m/>
    <m/>
    <m/>
    <m/>
    <m/>
    <m/>
    <m/>
    <m/>
    <m/>
    <m/>
    <m/>
    <m/>
    <m/>
    <m/>
    <m/>
    <m/>
    <m/>
    <m/>
    <m/>
    <m/>
    <m/>
    <n v="30"/>
    <d v="2023-10-30T00:00:00"/>
    <x v="4"/>
    <s v="Sri Lanka"/>
    <s v="Pune"/>
    <s v="Maharashtra Cricket Association Stadium"/>
    <s v="Wickets"/>
    <s v="Chasing Won"/>
    <n v="242"/>
    <n v="10"/>
    <n v="3"/>
    <n v="45.2"/>
    <n v="1"/>
    <n v="19"/>
    <n v="5"/>
    <n v="24"/>
    <n v="5.33"/>
    <s v="Afghanistan"/>
    <n v="0"/>
    <n v="9"/>
    <n v="0"/>
    <n v="11"/>
    <n v="1"/>
    <n v="1"/>
    <n v="0"/>
    <s v="Win"/>
    <n v="1"/>
    <n v="1"/>
  </r>
  <r>
    <m/>
    <m/>
    <m/>
    <m/>
    <m/>
    <m/>
    <m/>
    <m/>
    <m/>
    <m/>
    <m/>
    <m/>
    <m/>
    <m/>
    <m/>
    <m/>
    <m/>
    <m/>
    <m/>
    <m/>
    <m/>
    <m/>
    <m/>
    <m/>
    <m/>
    <m/>
    <n v="31"/>
    <d v="2023-10-31T00:00:00"/>
    <x v="5"/>
    <s v="Pakistan"/>
    <s v="Kolkata"/>
    <s v="Eden Gardens"/>
    <s v="Wickets"/>
    <s v="Chasing Won"/>
    <n v="205"/>
    <n v="10"/>
    <n v="3"/>
    <n v="32.299999999999997"/>
    <n v="2"/>
    <n v="19"/>
    <n v="3"/>
    <n v="22"/>
    <n v="6.3"/>
    <s v="Pakistan"/>
    <n v="0"/>
    <n v="2"/>
    <n v="0"/>
    <n v="4"/>
    <n v="1"/>
    <n v="0"/>
    <n v="1"/>
    <s v="Loss"/>
    <n v="1"/>
    <n v="0"/>
  </r>
  <r>
    <m/>
    <m/>
    <m/>
    <m/>
    <m/>
    <m/>
    <m/>
    <m/>
    <m/>
    <m/>
    <m/>
    <m/>
    <m/>
    <m/>
    <m/>
    <m/>
    <m/>
    <m/>
    <m/>
    <m/>
    <m/>
    <m/>
    <m/>
    <m/>
    <m/>
    <m/>
    <n v="31"/>
    <d v="2023-10-31T00:00:00"/>
    <x v="2"/>
    <s v="Bangladesh"/>
    <s v="Kolkata"/>
    <s v="Eden Gardens"/>
    <s v="Wickets"/>
    <s v="Chasing Won"/>
    <n v="204"/>
    <n v="3"/>
    <n v="10"/>
    <n v="45.1"/>
    <n v="2"/>
    <n v="19"/>
    <n v="9"/>
    <n v="28"/>
    <n v="4.51"/>
    <s v="Pakistan"/>
    <n v="0"/>
    <n v="5"/>
    <n v="0"/>
    <n v="9"/>
    <n v="1"/>
    <n v="1"/>
    <n v="0"/>
    <s v="Win"/>
    <n v="0"/>
    <n v="0"/>
  </r>
  <r>
    <m/>
    <m/>
    <m/>
    <m/>
    <m/>
    <m/>
    <m/>
    <m/>
    <m/>
    <m/>
    <m/>
    <m/>
    <m/>
    <m/>
    <m/>
    <m/>
    <m/>
    <m/>
    <m/>
    <m/>
    <m/>
    <m/>
    <m/>
    <m/>
    <m/>
    <m/>
    <n v="32"/>
    <d v="2023-11-01T00:00:00"/>
    <x v="6"/>
    <s v="New Zealand"/>
    <s v="Pune"/>
    <s v="Maharashtra Cricket Association Stadium"/>
    <s v="Runs"/>
    <s v="Batting First Won"/>
    <n v="357"/>
    <n v="10"/>
    <n v="4"/>
    <n v="50"/>
    <n v="4"/>
    <n v="26"/>
    <n v="15"/>
    <n v="41"/>
    <n v="7.14"/>
    <s v="South Africa"/>
    <n v="4"/>
    <n v="6"/>
    <n v="1"/>
    <n v="12"/>
    <n v="1"/>
    <n v="1"/>
    <n v="0"/>
    <s v="Win"/>
    <n v="0"/>
    <n v="0"/>
  </r>
  <r>
    <m/>
    <m/>
    <m/>
    <m/>
    <m/>
    <m/>
    <m/>
    <m/>
    <m/>
    <m/>
    <m/>
    <m/>
    <m/>
    <m/>
    <m/>
    <m/>
    <m/>
    <m/>
    <m/>
    <m/>
    <m/>
    <m/>
    <m/>
    <m/>
    <m/>
    <m/>
    <n v="32"/>
    <d v="2023-11-01T00:00:00"/>
    <x v="1"/>
    <s v="South Africa"/>
    <s v="Pune"/>
    <s v="Maharashtra Cricket Association Stadium"/>
    <s v="Runs"/>
    <s v="Batting First Won"/>
    <n v="167"/>
    <n v="4"/>
    <n v="10"/>
    <n v="35.299999999999997"/>
    <n v="1"/>
    <n v="17"/>
    <n v="4"/>
    <n v="21"/>
    <n v="4.7"/>
    <s v="South Africa"/>
    <n v="0"/>
    <n v="8"/>
    <n v="0"/>
    <n v="12"/>
    <n v="1"/>
    <n v="0"/>
    <n v="1"/>
    <s v="Loss"/>
    <n v="1"/>
    <n v="0"/>
  </r>
  <r>
    <m/>
    <m/>
    <m/>
    <m/>
    <m/>
    <m/>
    <m/>
    <m/>
    <m/>
    <m/>
    <m/>
    <m/>
    <m/>
    <m/>
    <m/>
    <m/>
    <m/>
    <m/>
    <m/>
    <m/>
    <m/>
    <m/>
    <m/>
    <m/>
    <m/>
    <m/>
    <n v="33"/>
    <d v="2023-11-02T00:00:00"/>
    <x v="9"/>
    <s v="Sri Lanka"/>
    <s v="Mumbai"/>
    <s v="Wankhede Stadium"/>
    <s v="Runs"/>
    <s v="Batting First Won"/>
    <n v="357"/>
    <n v="10"/>
    <n v="8"/>
    <n v="50"/>
    <n v="4"/>
    <n v="31"/>
    <n v="9"/>
    <n v="40"/>
    <n v="7.14"/>
    <s v="India"/>
    <n v="5"/>
    <n v="4"/>
    <n v="0"/>
    <n v="10"/>
    <n v="1"/>
    <n v="1"/>
    <n v="0"/>
    <s v="Win"/>
    <n v="0"/>
    <n v="0"/>
  </r>
  <r>
    <m/>
    <m/>
    <m/>
    <m/>
    <m/>
    <m/>
    <m/>
    <m/>
    <m/>
    <m/>
    <m/>
    <m/>
    <m/>
    <m/>
    <m/>
    <m/>
    <m/>
    <m/>
    <m/>
    <m/>
    <m/>
    <m/>
    <m/>
    <m/>
    <m/>
    <m/>
    <n v="33"/>
    <d v="2023-11-02T00:00:00"/>
    <x v="7"/>
    <s v="India"/>
    <s v="Mumbai"/>
    <s v="Wankhede Stadium"/>
    <s v="Runs"/>
    <s v="Batting First Won"/>
    <n v="55"/>
    <n v="8"/>
    <n v="10"/>
    <n v="19.399999999999999"/>
    <n v="2"/>
    <n v="6"/>
    <n v="0"/>
    <n v="6"/>
    <n v="2.79"/>
    <s v="India"/>
    <n v="5"/>
    <n v="8"/>
    <n v="1"/>
    <n v="20"/>
    <n v="1"/>
    <n v="0"/>
    <n v="1"/>
    <s v="Loss"/>
    <n v="1"/>
    <n v="0"/>
  </r>
  <r>
    <m/>
    <m/>
    <m/>
    <m/>
    <m/>
    <m/>
    <m/>
    <m/>
    <m/>
    <m/>
    <m/>
    <m/>
    <m/>
    <m/>
    <m/>
    <m/>
    <m/>
    <m/>
    <m/>
    <m/>
    <m/>
    <m/>
    <m/>
    <m/>
    <m/>
    <m/>
    <n v="34"/>
    <d v="2023-11-03T00:00:00"/>
    <x v="3"/>
    <s v="Afghanistan"/>
    <s v="Lucknow"/>
    <s v="BRSABV Ekana Cricket Stadium"/>
    <s v="Wickets"/>
    <s v="Chasing Won"/>
    <n v="181"/>
    <n v="10"/>
    <n v="3"/>
    <n v="31.3"/>
    <n v="0"/>
    <n v="19"/>
    <n v="0"/>
    <n v="19"/>
    <n v="5.74"/>
    <s v="Afghanistan"/>
    <n v="0"/>
    <n v="7"/>
    <n v="2"/>
    <n v="12"/>
    <n v="1"/>
    <n v="0"/>
    <n v="1"/>
    <s v="Loss"/>
    <n v="1"/>
    <n v="0"/>
  </r>
  <r>
    <m/>
    <m/>
    <m/>
    <m/>
    <m/>
    <m/>
    <m/>
    <m/>
    <m/>
    <m/>
    <m/>
    <m/>
    <m/>
    <m/>
    <m/>
    <m/>
    <m/>
    <m/>
    <m/>
    <m/>
    <m/>
    <m/>
    <m/>
    <m/>
    <m/>
    <m/>
    <n v="34"/>
    <d v="2023-11-03T00:00:00"/>
    <x v="4"/>
    <s v="Netherlands"/>
    <s v="Lucknow"/>
    <s v="BRSABV Ekana Cricket Stadium"/>
    <s v="Wickets"/>
    <s v="Chasing Won"/>
    <n v="179"/>
    <n v="3"/>
    <n v="10"/>
    <n v="46.3"/>
    <n v="1"/>
    <n v="21"/>
    <n v="0"/>
    <n v="21"/>
    <n v="3.84"/>
    <s v="Afghanistan"/>
    <n v="0"/>
    <n v="14"/>
    <n v="0"/>
    <n v="16"/>
    <n v="1"/>
    <n v="1"/>
    <n v="0"/>
    <s v="Win"/>
    <n v="0"/>
    <n v="0"/>
  </r>
  <r>
    <m/>
    <m/>
    <m/>
    <m/>
    <m/>
    <m/>
    <m/>
    <m/>
    <m/>
    <m/>
    <m/>
    <m/>
    <m/>
    <m/>
    <m/>
    <m/>
    <m/>
    <m/>
    <m/>
    <m/>
    <m/>
    <m/>
    <m/>
    <m/>
    <m/>
    <m/>
    <n v="35"/>
    <d v="2023-11-04T00:00:00"/>
    <x v="1"/>
    <s v="Pakistan"/>
    <s v="Bangalore"/>
    <s v="M. Chinnaswamy Stadium"/>
    <s v="Runs (DLS) Method"/>
    <s v="DLS Result"/>
    <n v="401"/>
    <n v="1"/>
    <n v="6"/>
    <n v="50"/>
    <n v="1"/>
    <n v="46"/>
    <n v="8"/>
    <n v="54"/>
    <n v="8.02"/>
    <s v="Pakistan"/>
    <n v="0"/>
    <n v="3"/>
    <n v="0"/>
    <n v="4"/>
    <n v="1"/>
    <n v="0"/>
    <n v="1"/>
    <s v="Loss"/>
    <n v="0"/>
    <n v="0"/>
  </r>
  <r>
    <m/>
    <m/>
    <m/>
    <m/>
    <m/>
    <m/>
    <m/>
    <m/>
    <m/>
    <m/>
    <m/>
    <m/>
    <m/>
    <m/>
    <m/>
    <m/>
    <m/>
    <m/>
    <m/>
    <m/>
    <m/>
    <m/>
    <m/>
    <m/>
    <m/>
    <m/>
    <n v="35"/>
    <d v="2023-11-04T00:00:00"/>
    <x v="2"/>
    <s v="New Zealand"/>
    <s v="Bangalore"/>
    <s v="M. Chinnaswamy Stadium"/>
    <s v="Runs (DLS) Method"/>
    <s v="DLS Result"/>
    <n v="200"/>
    <n v="6"/>
    <n v="1"/>
    <n v="25.3"/>
    <n v="0"/>
    <n v="15"/>
    <n v="13"/>
    <n v="28"/>
    <n v="7.84"/>
    <s v="Pakistan"/>
    <n v="0"/>
    <n v="17"/>
    <n v="1"/>
    <n v="26"/>
    <n v="1"/>
    <n v="1"/>
    <n v="0"/>
    <s v="Win"/>
    <n v="1"/>
    <n v="1"/>
  </r>
  <r>
    <m/>
    <m/>
    <m/>
    <m/>
    <m/>
    <m/>
    <m/>
    <m/>
    <m/>
    <m/>
    <m/>
    <m/>
    <m/>
    <m/>
    <m/>
    <m/>
    <m/>
    <m/>
    <m/>
    <m/>
    <m/>
    <m/>
    <m/>
    <m/>
    <m/>
    <m/>
    <n v="36"/>
    <d v="2023-11-04T00:00:00"/>
    <x v="8"/>
    <s v="England"/>
    <s v="Ahmedabad"/>
    <s v="Narendra Modi Stadium"/>
    <s v="Runs"/>
    <s v="Batting First Won"/>
    <n v="286"/>
    <n v="10"/>
    <n v="10"/>
    <n v="49.3"/>
    <n v="2"/>
    <n v="25"/>
    <n v="3"/>
    <n v="28"/>
    <n v="5.77"/>
    <s v="Australia"/>
    <n v="0"/>
    <n v="8"/>
    <n v="0"/>
    <n v="14"/>
    <n v="1"/>
    <n v="1"/>
    <n v="0"/>
    <s v="Win"/>
    <n v="0"/>
    <n v="0"/>
  </r>
  <r>
    <m/>
    <m/>
    <m/>
    <m/>
    <m/>
    <m/>
    <m/>
    <m/>
    <m/>
    <m/>
    <m/>
    <m/>
    <m/>
    <m/>
    <m/>
    <m/>
    <m/>
    <m/>
    <m/>
    <m/>
    <m/>
    <m/>
    <m/>
    <m/>
    <m/>
    <m/>
    <n v="36"/>
    <d v="2023-11-04T00:00:00"/>
    <x v="0"/>
    <s v="Australia"/>
    <s v="Ahmedabad"/>
    <s v="Narendra Modi Stadium"/>
    <s v="Runs"/>
    <s v="Batting First Won"/>
    <n v="253"/>
    <n v="10"/>
    <n v="10"/>
    <n v="48.1"/>
    <n v="1"/>
    <n v="22"/>
    <n v="6"/>
    <n v="28"/>
    <n v="5.25"/>
    <s v="Australia"/>
    <n v="0"/>
    <n v="4"/>
    <n v="0"/>
    <n v="10"/>
    <n v="1"/>
    <n v="0"/>
    <n v="1"/>
    <s v="Loss"/>
    <n v="1"/>
    <n v="0"/>
  </r>
  <r>
    <m/>
    <m/>
    <m/>
    <m/>
    <m/>
    <m/>
    <m/>
    <m/>
    <m/>
    <m/>
    <m/>
    <m/>
    <m/>
    <m/>
    <m/>
    <m/>
    <m/>
    <m/>
    <m/>
    <m/>
    <m/>
    <m/>
    <m/>
    <m/>
    <m/>
    <m/>
    <n v="37"/>
    <d v="2023-11-05T00:00:00"/>
    <x v="9"/>
    <s v="South Africa"/>
    <s v="Kolkata"/>
    <s v="Eden Gardens"/>
    <s v="Runs"/>
    <s v="Batting First Won"/>
    <n v="326"/>
    <n v="10"/>
    <n v="5"/>
    <n v="50"/>
    <n v="3"/>
    <n v="35"/>
    <n v="6"/>
    <n v="41"/>
    <n v="6.52"/>
    <s v="India"/>
    <n v="0"/>
    <n v="2"/>
    <n v="0"/>
    <n v="2"/>
    <n v="1"/>
    <n v="1"/>
    <n v="0"/>
    <s v="Win"/>
    <n v="1"/>
    <n v="1"/>
  </r>
  <r>
    <m/>
    <m/>
    <m/>
    <m/>
    <m/>
    <m/>
    <m/>
    <m/>
    <m/>
    <m/>
    <m/>
    <m/>
    <m/>
    <m/>
    <m/>
    <m/>
    <m/>
    <m/>
    <m/>
    <m/>
    <m/>
    <m/>
    <m/>
    <m/>
    <m/>
    <m/>
    <n v="37"/>
    <d v="2023-11-05T00:00:00"/>
    <x v="6"/>
    <s v="India"/>
    <s v="Kolkata"/>
    <s v="Eden Gardens"/>
    <s v="Runs"/>
    <s v="Batting First Won"/>
    <n v="83"/>
    <n v="5"/>
    <n v="10"/>
    <n v="27.1"/>
    <n v="1"/>
    <n v="10"/>
    <n v="0"/>
    <n v="10"/>
    <n v="3.05"/>
    <s v="India"/>
    <n v="0"/>
    <n v="22"/>
    <n v="2"/>
    <n v="26"/>
    <n v="1"/>
    <n v="0"/>
    <n v="1"/>
    <s v="Loss"/>
    <n v="0"/>
    <n v="0"/>
  </r>
  <r>
    <m/>
    <m/>
    <m/>
    <m/>
    <m/>
    <m/>
    <m/>
    <m/>
    <m/>
    <m/>
    <m/>
    <m/>
    <m/>
    <m/>
    <m/>
    <m/>
    <m/>
    <m/>
    <m/>
    <m/>
    <m/>
    <m/>
    <m/>
    <m/>
    <m/>
    <m/>
    <n v="38"/>
    <d v="2023-11-06T00:00:00"/>
    <x v="7"/>
    <s v="Bangladesh"/>
    <s v="Delhi"/>
    <s v="Arun Jaitley Stadium"/>
    <s v="Wickets"/>
    <s v="Chasing Won"/>
    <n v="279"/>
    <n v="7"/>
    <n v="10"/>
    <n v="49.3"/>
    <n v="2"/>
    <n v="27"/>
    <n v="7"/>
    <n v="34"/>
    <n v="5.63"/>
    <s v="Bangladesh"/>
    <n v="0"/>
    <n v="10"/>
    <n v="0"/>
    <n v="23"/>
    <n v="1"/>
    <n v="0"/>
    <n v="1"/>
    <s v="Loss"/>
    <n v="0"/>
    <n v="0"/>
  </r>
  <r>
    <m/>
    <m/>
    <m/>
    <m/>
    <m/>
    <m/>
    <m/>
    <m/>
    <m/>
    <m/>
    <m/>
    <m/>
    <m/>
    <m/>
    <m/>
    <m/>
    <m/>
    <m/>
    <m/>
    <m/>
    <m/>
    <m/>
    <m/>
    <m/>
    <m/>
    <m/>
    <n v="38"/>
    <d v="2023-11-06T00:00:00"/>
    <x v="5"/>
    <s v="Sri Lanka"/>
    <s v="Delhi"/>
    <s v="Arun Jaitley Stadium"/>
    <s v="Wickets"/>
    <s v="Chasing Won"/>
    <n v="282"/>
    <n v="10"/>
    <n v="7"/>
    <n v="41.1"/>
    <n v="1"/>
    <n v="33"/>
    <n v="7"/>
    <n v="40"/>
    <n v="6.85"/>
    <s v="Bangladesh"/>
    <n v="0"/>
    <n v="4"/>
    <n v="0"/>
    <n v="6"/>
    <n v="1"/>
    <n v="1"/>
    <n v="0"/>
    <s v="Win"/>
    <n v="1"/>
    <n v="1"/>
  </r>
  <r>
    <m/>
    <m/>
    <m/>
    <m/>
    <m/>
    <m/>
    <m/>
    <m/>
    <m/>
    <m/>
    <m/>
    <m/>
    <m/>
    <m/>
    <m/>
    <m/>
    <m/>
    <m/>
    <m/>
    <m/>
    <m/>
    <m/>
    <m/>
    <m/>
    <m/>
    <m/>
    <n v="39"/>
    <d v="2023-11-07T00:00:00"/>
    <x v="8"/>
    <s v="Afghanistan"/>
    <s v="Mumbai"/>
    <s v="Wankhede Stadium"/>
    <s v="Wickets"/>
    <s v="Chasing Won"/>
    <n v="293"/>
    <n v="5"/>
    <n v="7"/>
    <n v="46.5"/>
    <n v="0"/>
    <n v="30"/>
    <n v="12"/>
    <n v="42"/>
    <n v="6.25"/>
    <s v="Australia"/>
    <n v="0"/>
    <n v="10"/>
    <n v="1"/>
    <n v="16"/>
    <n v="1"/>
    <n v="1"/>
    <n v="0"/>
    <s v="Win"/>
    <n v="0"/>
    <n v="0"/>
  </r>
  <r>
    <m/>
    <m/>
    <m/>
    <m/>
    <m/>
    <m/>
    <m/>
    <m/>
    <m/>
    <m/>
    <m/>
    <m/>
    <m/>
    <m/>
    <m/>
    <m/>
    <m/>
    <m/>
    <m/>
    <m/>
    <m/>
    <m/>
    <m/>
    <m/>
    <m/>
    <m/>
    <n v="39"/>
    <d v="2023-11-07T00:00:00"/>
    <x v="4"/>
    <s v="Australia"/>
    <s v="Mumbai"/>
    <s v="Wankhede Stadium"/>
    <s v="Wickets"/>
    <s v="Chasing Won"/>
    <n v="291"/>
    <n v="7"/>
    <n v="5"/>
    <n v="50"/>
    <n v="3"/>
    <n v="16"/>
    <n v="9"/>
    <n v="25"/>
    <n v="5.82"/>
    <s v="Australia"/>
    <n v="4"/>
    <n v="10"/>
    <n v="0"/>
    <n v="15"/>
    <n v="1"/>
    <n v="0"/>
    <n v="1"/>
    <s v="Loss"/>
    <n v="1"/>
    <n v="0"/>
  </r>
  <r>
    <m/>
    <m/>
    <m/>
    <m/>
    <m/>
    <m/>
    <m/>
    <m/>
    <m/>
    <m/>
    <m/>
    <m/>
    <m/>
    <m/>
    <m/>
    <m/>
    <m/>
    <m/>
    <m/>
    <m/>
    <m/>
    <m/>
    <m/>
    <m/>
    <m/>
    <m/>
    <n v="40"/>
    <d v="2023-11-08T00:00:00"/>
    <x v="0"/>
    <s v="Netherlands"/>
    <s v="Pune"/>
    <s v="Maharashtra Cricket Association Stadium"/>
    <s v="Runs"/>
    <s v="Batting First Won"/>
    <n v="179"/>
    <n v="9"/>
    <n v="10"/>
    <n v="37.200000000000003"/>
    <n v="2"/>
    <n v="26"/>
    <n v="10"/>
    <n v="36"/>
    <n v="4.79"/>
    <s v="England"/>
    <n v="0"/>
    <n v="4"/>
    <n v="0"/>
    <n v="8"/>
    <n v="1"/>
    <n v="1"/>
    <n v="0"/>
    <s v="Win"/>
    <n v="1"/>
    <n v="1"/>
  </r>
  <r>
    <m/>
    <m/>
    <m/>
    <m/>
    <m/>
    <m/>
    <m/>
    <m/>
    <m/>
    <m/>
    <m/>
    <m/>
    <m/>
    <m/>
    <m/>
    <m/>
    <m/>
    <m/>
    <m/>
    <m/>
    <m/>
    <m/>
    <m/>
    <m/>
    <m/>
    <m/>
    <n v="40"/>
    <d v="2023-11-08T00:00:00"/>
    <x v="3"/>
    <s v="England"/>
    <s v="Pune"/>
    <s v="Maharashtra Cricket Association Stadium"/>
    <s v="Runs"/>
    <s v="Batting First Won"/>
    <n v="339"/>
    <n v="10"/>
    <n v="9"/>
    <n v="50"/>
    <n v="0"/>
    <n v="15"/>
    <n v="6"/>
    <n v="21"/>
    <n v="6.78"/>
    <s v="England"/>
    <n v="0"/>
    <n v="20"/>
    <n v="1"/>
    <n v="21"/>
    <n v="1"/>
    <n v="0"/>
    <n v="1"/>
    <s v="Loss"/>
    <n v="0"/>
    <n v="0"/>
  </r>
  <r>
    <m/>
    <m/>
    <m/>
    <m/>
    <m/>
    <m/>
    <m/>
    <m/>
    <m/>
    <m/>
    <m/>
    <m/>
    <m/>
    <m/>
    <m/>
    <m/>
    <m/>
    <m/>
    <m/>
    <m/>
    <m/>
    <m/>
    <m/>
    <m/>
    <m/>
    <m/>
    <n v="41"/>
    <d v="2023-11-09T00:00:00"/>
    <x v="1"/>
    <s v="Sri Lanka"/>
    <s v="Bangalore"/>
    <s v="M. Chinnaswamy Stadium"/>
    <s v="Wickets"/>
    <s v="Chasing Won"/>
    <n v="171"/>
    <n v="5"/>
    <n v="10"/>
    <n v="46.4"/>
    <n v="7"/>
    <n v="23"/>
    <n v="5"/>
    <n v="28"/>
    <n v="3.66"/>
    <s v="New Zealand"/>
    <n v="0"/>
    <n v="3"/>
    <n v="0"/>
    <n v="4"/>
    <n v="1"/>
    <n v="1"/>
    <n v="0"/>
    <s v="Win"/>
    <n v="1"/>
    <n v="1"/>
  </r>
  <r>
    <m/>
    <m/>
    <m/>
    <m/>
    <m/>
    <m/>
    <m/>
    <m/>
    <m/>
    <m/>
    <m/>
    <m/>
    <m/>
    <m/>
    <m/>
    <m/>
    <m/>
    <m/>
    <m/>
    <m/>
    <m/>
    <m/>
    <m/>
    <m/>
    <m/>
    <m/>
    <n v="41"/>
    <d v="2023-11-09T00:00:00"/>
    <x v="7"/>
    <s v="New Zealand"/>
    <s v="Bangalore"/>
    <s v="M. Chinnaswamy Stadium"/>
    <s v="Wickets"/>
    <s v="Chasing Won"/>
    <n v="172"/>
    <n v="10"/>
    <n v="5"/>
    <n v="23.2"/>
    <n v="1"/>
    <n v="21"/>
    <n v="3"/>
    <n v="24"/>
    <n v="7.37"/>
    <s v="New Zealand"/>
    <n v="0"/>
    <n v="2"/>
    <n v="0"/>
    <n v="2"/>
    <n v="1"/>
    <n v="0"/>
    <n v="1"/>
    <s v="Loss"/>
    <n v="0"/>
    <n v="0"/>
  </r>
  <r>
    <m/>
    <m/>
    <m/>
    <m/>
    <m/>
    <m/>
    <m/>
    <m/>
    <m/>
    <m/>
    <m/>
    <m/>
    <m/>
    <m/>
    <m/>
    <m/>
    <m/>
    <m/>
    <m/>
    <m/>
    <m/>
    <m/>
    <m/>
    <m/>
    <m/>
    <m/>
    <n v="42"/>
    <d v="2023-11-10T00:00:00"/>
    <x v="4"/>
    <s v="South Africa"/>
    <s v="Ahmedabad"/>
    <s v="Narendra Modi Stadium"/>
    <s v="Wickets"/>
    <s v="Chasing Won"/>
    <n v="244"/>
    <n v="5"/>
    <n v="10"/>
    <n v="50"/>
    <n v="2"/>
    <n v="20"/>
    <n v="6"/>
    <n v="26"/>
    <n v="4.88"/>
    <s v="South Africa"/>
    <n v="0"/>
    <n v="6"/>
    <n v="0"/>
    <n v="9"/>
    <n v="1"/>
    <n v="0"/>
    <n v="1"/>
    <s v="Loss"/>
    <n v="1"/>
    <n v="0"/>
  </r>
  <r>
    <m/>
    <m/>
    <m/>
    <m/>
    <m/>
    <m/>
    <m/>
    <m/>
    <m/>
    <m/>
    <m/>
    <m/>
    <m/>
    <m/>
    <m/>
    <m/>
    <m/>
    <m/>
    <m/>
    <m/>
    <m/>
    <m/>
    <m/>
    <m/>
    <m/>
    <m/>
    <n v="42"/>
    <d v="2023-11-10T00:00:00"/>
    <x v="6"/>
    <s v="Afghanistan"/>
    <s v="Ahmedabad"/>
    <s v="Narendra Modi Stadium"/>
    <s v="Wickets"/>
    <s v="Chasing Won"/>
    <n v="247"/>
    <n v="10"/>
    <n v="5"/>
    <n v="47.3"/>
    <n v="2"/>
    <n v="15"/>
    <n v="9"/>
    <n v="24"/>
    <n v="5.2"/>
    <s v="South Africa"/>
    <n v="4"/>
    <n v="10"/>
    <n v="0"/>
    <n v="15"/>
    <n v="1"/>
    <n v="1"/>
    <n v="0"/>
    <s v="Win"/>
    <n v="0"/>
    <n v="0"/>
  </r>
  <r>
    <m/>
    <m/>
    <m/>
    <m/>
    <m/>
    <m/>
    <m/>
    <m/>
    <m/>
    <m/>
    <m/>
    <m/>
    <m/>
    <m/>
    <m/>
    <m/>
    <m/>
    <m/>
    <m/>
    <m/>
    <m/>
    <m/>
    <m/>
    <m/>
    <m/>
    <m/>
    <n v="43"/>
    <d v="2023-11-11T00:00:00"/>
    <x v="8"/>
    <s v="Bangladesh"/>
    <s v="Pune"/>
    <s v="Maharashtra Cricket Association Stadium"/>
    <s v="Wickets"/>
    <s v="Chasing Won"/>
    <n v="306"/>
    <n v="2"/>
    <n v="8"/>
    <n v="50"/>
    <n v="1"/>
    <n v="29"/>
    <n v="10"/>
    <n v="39"/>
    <n v="6.12"/>
    <s v="Australia"/>
    <n v="0"/>
    <n v="12"/>
    <n v="2"/>
    <n v="24"/>
    <n v="1"/>
    <n v="1"/>
    <n v="0"/>
    <s v="Win"/>
    <n v="1"/>
    <n v="1"/>
  </r>
  <r>
    <m/>
    <m/>
    <m/>
    <m/>
    <m/>
    <m/>
    <m/>
    <m/>
    <m/>
    <m/>
    <m/>
    <m/>
    <m/>
    <m/>
    <m/>
    <m/>
    <m/>
    <m/>
    <m/>
    <m/>
    <m/>
    <m/>
    <m/>
    <m/>
    <m/>
    <m/>
    <n v="43"/>
    <d v="2023-11-11T00:00:00"/>
    <x v="5"/>
    <s v="Australia"/>
    <s v="Pune"/>
    <s v="Maharashtra Cricket Association Stadium"/>
    <s v="Wickets"/>
    <s v="Chasing Won"/>
    <n v="307"/>
    <n v="8"/>
    <n v="2"/>
    <n v="44.4"/>
    <n v="1"/>
    <n v="27"/>
    <n v="6"/>
    <n v="33"/>
    <n v="6.87"/>
    <s v="Australia"/>
    <n v="0"/>
    <n v="4"/>
    <n v="0"/>
    <n v="4"/>
    <n v="1"/>
    <n v="0"/>
    <n v="1"/>
    <s v="Loss"/>
    <n v="0"/>
    <n v="0"/>
  </r>
  <r>
    <m/>
    <m/>
    <m/>
    <m/>
    <m/>
    <m/>
    <m/>
    <m/>
    <m/>
    <m/>
    <m/>
    <m/>
    <m/>
    <m/>
    <m/>
    <m/>
    <m/>
    <m/>
    <m/>
    <m/>
    <m/>
    <m/>
    <m/>
    <m/>
    <m/>
    <m/>
    <n v="44"/>
    <d v="2023-11-11T00:00:00"/>
    <x v="0"/>
    <s v="Pakistan"/>
    <s v="Kolkata"/>
    <s v="Eden Gardens"/>
    <s v="Runs"/>
    <s v="Batting First Won"/>
    <n v="244"/>
    <n v="9"/>
    <n v="10"/>
    <n v="50"/>
    <n v="1"/>
    <n v="27"/>
    <n v="6"/>
    <n v="33"/>
    <n v="6.74"/>
    <s v="England"/>
    <n v="5"/>
    <n v="12"/>
    <n v="0"/>
    <n v="19"/>
    <n v="1"/>
    <n v="1"/>
    <n v="0"/>
    <s v="Win"/>
    <n v="1"/>
    <n v="1"/>
  </r>
  <r>
    <m/>
    <m/>
    <m/>
    <m/>
    <m/>
    <m/>
    <m/>
    <m/>
    <m/>
    <m/>
    <m/>
    <m/>
    <m/>
    <m/>
    <m/>
    <m/>
    <m/>
    <m/>
    <m/>
    <m/>
    <m/>
    <m/>
    <m/>
    <m/>
    <m/>
    <m/>
    <n v="44"/>
    <d v="2023-11-11T00:00:00"/>
    <x v="2"/>
    <s v="England"/>
    <s v="Kolkata"/>
    <s v="Eden Gardens"/>
    <s v="Runs"/>
    <s v="Batting First Won"/>
    <n v="337"/>
    <n v="10"/>
    <n v="9"/>
    <n v="43.3"/>
    <n v="0"/>
    <n v="35"/>
    <n v="8"/>
    <n v="43"/>
    <n v="5.6"/>
    <s v="England"/>
    <n v="0"/>
    <n v="5"/>
    <n v="0"/>
    <n v="6"/>
    <n v="1"/>
    <n v="0"/>
    <n v="1"/>
    <s v="Loss"/>
    <n v="0"/>
    <n v="0"/>
  </r>
  <r>
    <m/>
    <m/>
    <m/>
    <m/>
    <m/>
    <m/>
    <m/>
    <m/>
    <m/>
    <m/>
    <m/>
    <m/>
    <m/>
    <m/>
    <m/>
    <m/>
    <m/>
    <m/>
    <m/>
    <m/>
    <m/>
    <m/>
    <m/>
    <m/>
    <m/>
    <m/>
    <n v="45"/>
    <d v="2023-11-12T00:00:00"/>
    <x v="9"/>
    <s v="Netherlands"/>
    <s v="Bangalore"/>
    <s v="M. Chinnaswamy Stadium"/>
    <s v="Runs"/>
    <s v="Batting First Won"/>
    <n v="410"/>
    <n v="10"/>
    <n v="4"/>
    <n v="50"/>
    <n v="3"/>
    <n v="37"/>
    <n v="16"/>
    <n v="53"/>
    <n v="8.1999999999999993"/>
    <s v="India"/>
    <n v="0"/>
    <n v="4"/>
    <n v="0"/>
    <n v="13"/>
    <n v="1"/>
    <n v="1"/>
    <n v="0"/>
    <s v="Win"/>
    <n v="1"/>
    <n v="1"/>
  </r>
  <r>
    <m/>
    <m/>
    <m/>
    <m/>
    <m/>
    <m/>
    <m/>
    <m/>
    <m/>
    <m/>
    <m/>
    <m/>
    <m/>
    <m/>
    <m/>
    <m/>
    <m/>
    <m/>
    <m/>
    <m/>
    <m/>
    <m/>
    <m/>
    <m/>
    <m/>
    <m/>
    <n v="45"/>
    <d v="2023-11-12T00:00:00"/>
    <x v="3"/>
    <s v="India"/>
    <s v="Bangalore"/>
    <s v="M. Chinnaswamy Stadium"/>
    <s v="Runs"/>
    <s v="Batting First Won"/>
    <n v="250"/>
    <n v="4"/>
    <n v="10"/>
    <n v="47.5"/>
    <n v="0"/>
    <n v="19"/>
    <n v="9"/>
    <n v="28"/>
    <n v="5.22"/>
    <s v="India"/>
    <n v="0"/>
    <n v="13"/>
    <n v="1"/>
    <n v="15"/>
    <n v="1"/>
    <n v="0"/>
    <n v="1"/>
    <s v="Loss"/>
    <n v="0"/>
    <n v="0"/>
  </r>
  <r>
    <m/>
    <m/>
    <m/>
    <m/>
    <m/>
    <m/>
    <m/>
    <m/>
    <m/>
    <m/>
    <m/>
    <m/>
    <m/>
    <m/>
    <m/>
    <m/>
    <m/>
    <m/>
    <m/>
    <m/>
    <m/>
    <m/>
    <m/>
    <m/>
    <m/>
    <m/>
    <n v="46"/>
    <d v="2023-11-15T00:00:00"/>
    <x v="9"/>
    <s v="New Zealand"/>
    <s v="Mumbai"/>
    <s v="Wankhede Stadium"/>
    <s v="Runs"/>
    <s v="Batting First Won"/>
    <n v="397"/>
    <n v="10"/>
    <n v="4"/>
    <n v="50"/>
    <n v="1"/>
    <n v="30"/>
    <n v="19"/>
    <n v="49"/>
    <n v="7.94"/>
    <s v="India"/>
    <n v="4"/>
    <n v="19"/>
    <n v="1"/>
    <n v="29"/>
    <n v="1"/>
    <n v="1"/>
    <n v="0"/>
    <s v="Win"/>
    <n v="1"/>
    <n v="1"/>
  </r>
  <r>
    <m/>
    <m/>
    <m/>
    <m/>
    <m/>
    <m/>
    <m/>
    <m/>
    <m/>
    <m/>
    <m/>
    <m/>
    <m/>
    <m/>
    <m/>
    <m/>
    <m/>
    <m/>
    <m/>
    <m/>
    <m/>
    <m/>
    <m/>
    <m/>
    <m/>
    <m/>
    <n v="46"/>
    <d v="2023-11-15T00:00:00"/>
    <x v="1"/>
    <s v="India"/>
    <s v="Mumbai"/>
    <s v="Wankhede Stadium"/>
    <s v="Runs"/>
    <s v="Batting First Won"/>
    <n v="327"/>
    <n v="4"/>
    <n v="10"/>
    <n v="48.5"/>
    <n v="1"/>
    <n v="29"/>
    <n v="11"/>
    <n v="40"/>
    <n v="6.69"/>
    <s v="India"/>
    <n v="1"/>
    <n v="6"/>
    <n v="0"/>
    <n v="8"/>
    <n v="1"/>
    <n v="0"/>
    <n v="1"/>
    <s v="Loss"/>
    <n v="0"/>
    <n v="0"/>
  </r>
  <r>
    <m/>
    <m/>
    <m/>
    <m/>
    <m/>
    <m/>
    <m/>
    <m/>
    <m/>
    <m/>
    <m/>
    <m/>
    <m/>
    <m/>
    <m/>
    <m/>
    <m/>
    <m/>
    <m/>
    <m/>
    <m/>
    <m/>
    <m/>
    <m/>
    <m/>
    <m/>
    <n v="47"/>
    <d v="2023-11-16T00:00:00"/>
    <x v="8"/>
    <s v="South Africa"/>
    <s v="Kolkata"/>
    <s v="Eden Gardens"/>
    <s v="Wickets"/>
    <s v="Chasing Won"/>
    <n v="215"/>
    <n v="10"/>
    <n v="7"/>
    <n v="47.2"/>
    <n v="4"/>
    <n v="21"/>
    <n v="6"/>
    <n v="27"/>
    <n v="4.54"/>
    <s v="Australia"/>
    <n v="0"/>
    <n v="7"/>
    <n v="0"/>
    <n v="11"/>
    <n v="1"/>
    <n v="1"/>
    <n v="0"/>
    <s v="Win"/>
    <n v="0"/>
    <n v="0"/>
  </r>
  <r>
    <m/>
    <m/>
    <m/>
    <m/>
    <m/>
    <m/>
    <m/>
    <m/>
    <m/>
    <m/>
    <m/>
    <m/>
    <m/>
    <m/>
    <m/>
    <m/>
    <m/>
    <m/>
    <m/>
    <m/>
    <m/>
    <m/>
    <m/>
    <m/>
    <m/>
    <m/>
    <n v="47"/>
    <d v="2023-11-16T00:00:00"/>
    <x v="6"/>
    <s v="Australia"/>
    <s v="Kolkata"/>
    <s v="Eden Gardens"/>
    <s v="Wickets"/>
    <s v="Chasing Won"/>
    <n v="212"/>
    <n v="7"/>
    <n v="10"/>
    <n v="49.4"/>
    <n v="1"/>
    <n v="16"/>
    <n v="8"/>
    <n v="24"/>
    <n v="4.26"/>
    <s v="Australia"/>
    <n v="0"/>
    <n v="12"/>
    <n v="2"/>
    <n v="17"/>
    <n v="1"/>
    <n v="0"/>
    <n v="1"/>
    <s v="Loss"/>
    <n v="1"/>
    <n v="0"/>
  </r>
  <r>
    <m/>
    <m/>
    <m/>
    <m/>
    <m/>
    <m/>
    <m/>
    <m/>
    <m/>
    <m/>
    <m/>
    <m/>
    <m/>
    <m/>
    <m/>
    <m/>
    <m/>
    <m/>
    <m/>
    <m/>
    <m/>
    <m/>
    <m/>
    <m/>
    <m/>
    <m/>
    <n v="48"/>
    <d v="2023-11-19T00:00:00"/>
    <x v="9"/>
    <s v="Australia"/>
    <s v="Ahmedabad"/>
    <s v="Narendra Modi Stadium"/>
    <s v="Wickets"/>
    <s v="Chasing Won"/>
    <n v="240"/>
    <n v="4"/>
    <n v="10"/>
    <n v="50"/>
    <n v="3"/>
    <n v="13"/>
    <n v="3"/>
    <n v="16"/>
    <n v="4.8"/>
    <s v="Australia"/>
    <n v="5"/>
    <n v="11"/>
    <n v="0"/>
    <n v="18"/>
    <n v="1"/>
    <n v="0"/>
    <n v="1"/>
    <s v="Loss"/>
    <n v="0"/>
    <n v="0"/>
  </r>
  <r>
    <m/>
    <m/>
    <m/>
    <m/>
    <m/>
    <m/>
    <m/>
    <m/>
    <m/>
    <m/>
    <m/>
    <m/>
    <m/>
    <m/>
    <m/>
    <m/>
    <m/>
    <m/>
    <m/>
    <m/>
    <m/>
    <m/>
    <m/>
    <m/>
    <m/>
    <m/>
    <n v="48"/>
    <d v="2023-11-19T00:00:00"/>
    <x v="8"/>
    <s v="India"/>
    <s v="Ahmedabad"/>
    <s v="Narendra Modi Stadium"/>
    <s v="Wickets"/>
    <s v="Chasing Won"/>
    <n v="241"/>
    <n v="10"/>
    <n v="4"/>
    <n v="43"/>
    <n v="0"/>
    <n v="22"/>
    <n v="5"/>
    <n v="27"/>
    <n v="5.6"/>
    <s v="Australia"/>
    <n v="0"/>
    <n v="9"/>
    <n v="0"/>
    <n v="12"/>
    <n v="1"/>
    <n v="1"/>
    <n v="0"/>
    <s v="Win"/>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
    <d v="2023-10-05T00:00:00"/>
    <s v="Ahmedabad"/>
    <s v="Narendra Modi Stadium"/>
    <s v="England"/>
    <s v="New Zealand"/>
    <s v="New Zealand"/>
    <s v="New Zealand"/>
    <x v="0"/>
    <n v="282"/>
    <n v="283"/>
    <n v="565"/>
    <n v="10"/>
    <n v="51"/>
    <n v="14"/>
    <n v="65"/>
    <s v="9 Wickets"/>
    <n v="9"/>
    <s v="Wickets"/>
    <s v="Chasing Won"/>
    <n v="1"/>
    <s v="Toss Winner Won"/>
    <s v="Rachin Ravindra"/>
    <x v="0"/>
    <x v="0"/>
    <m/>
    <n v="1"/>
    <d v="2023-10-05T00:00:00"/>
    <x v="0"/>
    <s v="New Zealand"/>
    <x v="0"/>
    <x v="0"/>
    <x v="0"/>
    <s v="Chasing Won"/>
    <n v="282"/>
    <n v="1"/>
    <n v="9"/>
    <n v="50"/>
    <n v="2"/>
    <n v="21"/>
    <n v="6"/>
    <n v="27"/>
    <n v="5.64"/>
    <x v="0"/>
    <n v="4"/>
    <n v="3"/>
    <n v="0"/>
    <n v="8"/>
    <n v="1"/>
    <n v="0"/>
    <n v="1"/>
    <s v="Loss"/>
    <n v="0"/>
    <n v="0"/>
    <x v="0"/>
  </r>
  <r>
    <n v="2"/>
    <d v="2023-10-06T00:00:00"/>
    <s v="Hyderabad"/>
    <s v="Rajiv Gandhi International Stadium"/>
    <s v="Pakistan"/>
    <s v="Netherlands"/>
    <s v="Netherlands"/>
    <s v="Pakistan"/>
    <x v="0"/>
    <n v="286"/>
    <n v="205"/>
    <n v="491"/>
    <n v="20"/>
    <n v="53"/>
    <n v="7"/>
    <n v="60"/>
    <s v="81 Runs"/>
    <n v="81"/>
    <s v="Runs"/>
    <s v="Batting First Won"/>
    <n v="0"/>
    <s v="Toss Winner Lost"/>
    <s v="Saud Shakeel"/>
    <x v="1"/>
    <x v="1"/>
    <m/>
    <n v="1"/>
    <d v="2023-10-05T00:00:00"/>
    <x v="1"/>
    <s v="England"/>
    <x v="0"/>
    <x v="0"/>
    <x v="0"/>
    <s v="Chasing Won"/>
    <n v="283"/>
    <n v="9"/>
    <n v="1"/>
    <n v="36.200000000000003"/>
    <n v="2"/>
    <n v="30"/>
    <n v="8"/>
    <n v="38"/>
    <n v="7.78"/>
    <x v="0"/>
    <n v="0"/>
    <n v="6"/>
    <n v="0"/>
    <n v="6"/>
    <n v="1"/>
    <n v="1"/>
    <n v="0"/>
    <s v="Win"/>
    <n v="1"/>
    <n v="1"/>
    <x v="0"/>
  </r>
  <r>
    <n v="3"/>
    <d v="2023-10-07T00:00:00"/>
    <s v="Dharamshala"/>
    <s v="HPCA Stadium"/>
    <s v="Afghanistan"/>
    <s v="Bangladesh"/>
    <s v="Bangladesh"/>
    <s v="Bangladesh"/>
    <x v="0"/>
    <n v="156"/>
    <n v="158"/>
    <n v="314"/>
    <n v="14"/>
    <n v="28"/>
    <n v="3"/>
    <n v="31"/>
    <s v="6 Wickets"/>
    <n v="6"/>
    <s v="Wickets"/>
    <s v="Chasing Won"/>
    <n v="1"/>
    <s v="Toss Winner Won"/>
    <s v="Mehidy Hasan Miraz"/>
    <x v="0"/>
    <x v="2"/>
    <m/>
    <n v="2"/>
    <d v="2023-10-06T00:00:00"/>
    <x v="2"/>
    <s v="Netherlands"/>
    <x v="1"/>
    <x v="1"/>
    <x v="1"/>
    <s v="Batting First Won"/>
    <n v="286"/>
    <n v="10"/>
    <n v="10"/>
    <n v="49"/>
    <n v="1"/>
    <n v="33"/>
    <n v="3"/>
    <n v="36"/>
    <n v="5.83"/>
    <x v="1"/>
    <n v="0"/>
    <n v="9"/>
    <n v="0"/>
    <n v="9"/>
    <n v="1"/>
    <n v="1"/>
    <n v="0"/>
    <s v="Win"/>
    <n v="0"/>
    <n v="0"/>
    <x v="0"/>
  </r>
  <r>
    <n v="4"/>
    <d v="2023-10-07T00:00:00"/>
    <s v="Delhi"/>
    <s v="Arun Jaitley Stadium"/>
    <s v="South Africa"/>
    <s v="Sri Lanka"/>
    <s v="Sri Lanka"/>
    <s v="South Africa"/>
    <x v="0"/>
    <n v="428"/>
    <n v="326"/>
    <n v="754"/>
    <n v="15"/>
    <n v="76"/>
    <n v="31"/>
    <n v="107"/>
    <s v="102 Runs"/>
    <n v="102"/>
    <s v="Runs"/>
    <s v="Batting First Won"/>
    <n v="0"/>
    <s v="Toss Winner Lost"/>
    <s v="Aiden Markram"/>
    <x v="2"/>
    <x v="1"/>
    <m/>
    <n v="2"/>
    <d v="2023-10-06T00:00:00"/>
    <x v="3"/>
    <s v="Pakistan"/>
    <x v="1"/>
    <x v="1"/>
    <x v="1"/>
    <s v="Batting First Won"/>
    <n v="205"/>
    <n v="10"/>
    <n v="10"/>
    <n v="41"/>
    <n v="1"/>
    <n v="20"/>
    <n v="4"/>
    <n v="24"/>
    <n v="5"/>
    <x v="1"/>
    <n v="0"/>
    <n v="8"/>
    <n v="1"/>
    <n v="9"/>
    <n v="1"/>
    <n v="0"/>
    <n v="1"/>
    <s v="Loss"/>
    <n v="1"/>
    <n v="0"/>
    <x v="0"/>
  </r>
  <r>
    <n v="5"/>
    <d v="2023-10-08T00:00:00"/>
    <s v="Chennai"/>
    <s v="M. A. Chidambaram Stadium"/>
    <s v="Australia"/>
    <s v="India"/>
    <s v="Australia"/>
    <s v="India"/>
    <x v="1"/>
    <n v="199"/>
    <n v="201"/>
    <n v="400"/>
    <n v="14"/>
    <n v="30"/>
    <n v="5"/>
    <n v="35"/>
    <s v="6 Wickets"/>
    <n v="6"/>
    <s v="Wickets"/>
    <s v="Chasing Won"/>
    <n v="0"/>
    <s v="Toss Winner Lost"/>
    <s v="KL Rahul"/>
    <x v="0"/>
    <x v="2"/>
    <m/>
    <n v="3"/>
    <d v="2023-10-07T00:00:00"/>
    <x v="4"/>
    <s v="Bangladesh"/>
    <x v="2"/>
    <x v="2"/>
    <x v="0"/>
    <s v="Chasing Won"/>
    <n v="156"/>
    <n v="4"/>
    <n v="10"/>
    <n v="37.200000000000003"/>
    <n v="1"/>
    <n v="15"/>
    <n v="2"/>
    <n v="17"/>
    <n v="4.17"/>
    <x v="2"/>
    <n v="0"/>
    <n v="4"/>
    <n v="1"/>
    <n v="8"/>
    <n v="1"/>
    <n v="0"/>
    <n v="1"/>
    <s v="Loss"/>
    <n v="0"/>
    <n v="0"/>
    <x v="0"/>
  </r>
  <r>
    <n v="6"/>
    <d v="2023-10-09T00:00:00"/>
    <s v="Hyderabad"/>
    <s v="Rajiv Gandhi International Stadium"/>
    <s v="New Zealand"/>
    <s v="Netherlands"/>
    <s v="Netherlands"/>
    <s v="New Zealand"/>
    <x v="0"/>
    <n v="322"/>
    <n v="223"/>
    <n v="545"/>
    <n v="17"/>
    <n v="49"/>
    <n v="13"/>
    <n v="62"/>
    <s v="99 Runs"/>
    <n v="99"/>
    <s v="Runs"/>
    <s v="Batting First Won"/>
    <n v="0"/>
    <s v="Toss Winner Lost"/>
    <s v="Mitchell Santner"/>
    <x v="1"/>
    <x v="1"/>
    <m/>
    <n v="3"/>
    <d v="2023-10-07T00:00:00"/>
    <x v="5"/>
    <s v="Afghanistan"/>
    <x v="2"/>
    <x v="2"/>
    <x v="0"/>
    <s v="Chasing Won"/>
    <n v="158"/>
    <n v="10"/>
    <n v="4"/>
    <n v="34.4"/>
    <n v="5"/>
    <n v="13"/>
    <n v="1"/>
    <n v="14"/>
    <n v="4.55"/>
    <x v="2"/>
    <n v="0"/>
    <n v="8"/>
    <n v="0"/>
    <n v="8"/>
    <n v="1"/>
    <n v="1"/>
    <n v="0"/>
    <s v="Win"/>
    <n v="1"/>
    <n v="1"/>
    <x v="0"/>
  </r>
  <r>
    <n v="7"/>
    <d v="2023-10-10T00:00:00"/>
    <s v="Dharamshala"/>
    <s v="HPCA Stadium"/>
    <s v="England"/>
    <s v="Bangladesh"/>
    <s v="Bangladesh"/>
    <s v="England"/>
    <x v="0"/>
    <n v="364"/>
    <n v="227"/>
    <n v="591"/>
    <n v="19"/>
    <n v="58"/>
    <n v="10"/>
    <n v="68"/>
    <s v="137 Runs"/>
    <n v="137"/>
    <s v="Runs"/>
    <s v="Batting First Won"/>
    <n v="0"/>
    <s v="Toss Winner Lost"/>
    <s v="Dawid Malan"/>
    <x v="2"/>
    <x v="1"/>
    <m/>
    <n v="4"/>
    <d v="2023-10-07T00:00:00"/>
    <x v="6"/>
    <s v="Sri Lanka"/>
    <x v="3"/>
    <x v="3"/>
    <x v="1"/>
    <s v="Batting First Won"/>
    <n v="428"/>
    <n v="10"/>
    <n v="5"/>
    <n v="50"/>
    <n v="1"/>
    <n v="45"/>
    <n v="14"/>
    <n v="59"/>
    <n v="8.56"/>
    <x v="3"/>
    <n v="0"/>
    <n v="14"/>
    <n v="1"/>
    <n v="20"/>
    <n v="1"/>
    <n v="1"/>
    <n v="0"/>
    <s v="Win"/>
    <n v="0"/>
    <n v="0"/>
    <x v="0"/>
  </r>
  <r>
    <n v="8"/>
    <d v="2023-10-10T00:00:00"/>
    <s v="Hyderabad"/>
    <s v="Rajiv Gandhi International Stadium"/>
    <s v="Sri Lanka"/>
    <s v="Pakistan"/>
    <s v="Sri Lanka"/>
    <s v="Pakistan"/>
    <x v="1"/>
    <n v="344"/>
    <n v="345"/>
    <n v="689"/>
    <n v="13"/>
    <n v="62"/>
    <n v="15"/>
    <n v="77"/>
    <s v="6 Wickets"/>
    <n v="6"/>
    <s v="Wickets"/>
    <s v="Chasing Won"/>
    <n v="0"/>
    <s v="Toss Winner Lost"/>
    <s v="Mohammad Rizwan"/>
    <x v="0"/>
    <x v="2"/>
    <m/>
    <n v="4"/>
    <d v="2023-10-07T00:00:00"/>
    <x v="7"/>
    <s v="South Africa"/>
    <x v="3"/>
    <x v="3"/>
    <x v="1"/>
    <s v="Batting First Won"/>
    <n v="326"/>
    <n v="5"/>
    <n v="10"/>
    <n v="44.5"/>
    <n v="1"/>
    <n v="31"/>
    <n v="17"/>
    <n v="48"/>
    <n v="7.27"/>
    <x v="3"/>
    <n v="0"/>
    <n v="21"/>
    <n v="1"/>
    <n v="23"/>
    <n v="1"/>
    <n v="0"/>
    <n v="1"/>
    <s v="Loss"/>
    <n v="1"/>
    <n v="0"/>
    <x v="0"/>
  </r>
  <r>
    <n v="9"/>
    <d v="2023-10-11T00:00:00"/>
    <s v="Delhi"/>
    <s v="Arun Jaitley Stadium"/>
    <s v="Afghanistan"/>
    <s v="India"/>
    <s v="Afghanistan"/>
    <s v="India"/>
    <x v="1"/>
    <n v="272"/>
    <n v="273"/>
    <n v="545"/>
    <n v="10"/>
    <n v="53"/>
    <n v="15"/>
    <n v="68"/>
    <s v="8 Wickets"/>
    <n v="8"/>
    <s v="Wickets"/>
    <s v="Chasing Won"/>
    <n v="0"/>
    <s v="Toss Winner Lost"/>
    <s v="Rohit Sharma"/>
    <x v="0"/>
    <x v="0"/>
    <m/>
    <n v="5"/>
    <d v="2023-10-08T00:00:00"/>
    <x v="8"/>
    <s v="India"/>
    <x v="4"/>
    <x v="4"/>
    <x v="0"/>
    <s v="Chasing Won"/>
    <n v="199"/>
    <n v="4"/>
    <n v="10"/>
    <n v="49.3"/>
    <n v="1"/>
    <n v="16"/>
    <n v="2"/>
    <n v="18"/>
    <n v="4.0199999999999996"/>
    <x v="4"/>
    <n v="1"/>
    <n v="5"/>
    <n v="1"/>
    <n v="8"/>
    <n v="1"/>
    <n v="0"/>
    <n v="1"/>
    <s v="Loss"/>
    <n v="1"/>
    <n v="0"/>
    <x v="1"/>
  </r>
  <r>
    <n v="10"/>
    <d v="2023-10-12T00:00:00"/>
    <s v="Lucknow"/>
    <s v="BRSABV Ekana Cricket Stadium"/>
    <s v="South Africa"/>
    <s v="Australia"/>
    <s v="Australia"/>
    <s v="South Africa"/>
    <x v="0"/>
    <n v="311"/>
    <n v="177"/>
    <n v="488"/>
    <n v="17"/>
    <n v="45"/>
    <n v="8"/>
    <n v="53"/>
    <s v="134 Runs"/>
    <n v="134"/>
    <s v="Runs"/>
    <s v="Batting First Won"/>
    <n v="0"/>
    <s v="Toss Winner Lost"/>
    <s v="Quinton de Kock"/>
    <x v="2"/>
    <x v="1"/>
    <m/>
    <n v="5"/>
    <d v="2023-10-08T00:00:00"/>
    <x v="9"/>
    <s v="Australia"/>
    <x v="4"/>
    <x v="4"/>
    <x v="0"/>
    <s v="Chasing Won"/>
    <n v="201"/>
    <n v="10"/>
    <n v="4"/>
    <n v="41.2"/>
    <n v="4"/>
    <n v="14"/>
    <n v="3"/>
    <n v="17"/>
    <n v="4.8600000000000003"/>
    <x v="4"/>
    <n v="0"/>
    <n v="6"/>
    <n v="0"/>
    <n v="12"/>
    <n v="1"/>
    <n v="1"/>
    <n v="0"/>
    <s v="Win"/>
    <n v="0"/>
    <n v="0"/>
    <x v="1"/>
  </r>
  <r>
    <n v="11"/>
    <d v="2023-10-13T00:00:00"/>
    <s v="Chennai"/>
    <s v="M. A. Chidambaram Stadium"/>
    <s v="Bangladesh"/>
    <s v="New Zealand"/>
    <s v="New Zealand"/>
    <s v="New Zealand"/>
    <x v="0"/>
    <n v="245"/>
    <n v="248"/>
    <n v="493"/>
    <n v="11"/>
    <n v="40"/>
    <n v="14"/>
    <n v="54"/>
    <s v="8 Wickets"/>
    <n v="8"/>
    <s v="Wickets"/>
    <s v="Chasing Won"/>
    <n v="1"/>
    <s v="Toss Winner Won"/>
    <s v="Lockie Ferguson"/>
    <x v="0"/>
    <x v="0"/>
    <m/>
    <n v="6"/>
    <d v="2023-10-09T00:00:00"/>
    <x v="1"/>
    <s v="Netherlands"/>
    <x v="1"/>
    <x v="1"/>
    <x v="1"/>
    <s v="Batting First Won"/>
    <n v="322"/>
    <n v="10"/>
    <n v="7"/>
    <n v="50"/>
    <n v="0"/>
    <n v="30"/>
    <n v="10"/>
    <n v="40"/>
    <n v="6.44"/>
    <x v="0"/>
    <n v="0"/>
    <n v="2"/>
    <n v="1"/>
    <n v="4"/>
    <n v="1"/>
    <n v="1"/>
    <n v="0"/>
    <s v="Win"/>
    <n v="0"/>
    <n v="0"/>
    <x v="0"/>
  </r>
  <r>
    <n v="12"/>
    <d v="2023-10-14T00:00:00"/>
    <s v="Ahmedabad"/>
    <s v="Narendra Modi Stadium"/>
    <s v="Pakistan"/>
    <s v="India"/>
    <s v="India"/>
    <s v="India"/>
    <x v="0"/>
    <n v="191"/>
    <n v="192"/>
    <n v="383"/>
    <n v="13"/>
    <n v="43"/>
    <n v="8"/>
    <n v="51"/>
    <s v="7 Wickets"/>
    <n v="7"/>
    <s v="Wickets"/>
    <s v="Chasing Won"/>
    <n v="1"/>
    <s v="Toss Winner Won"/>
    <s v="Jasprit Bumrah"/>
    <x v="0"/>
    <x v="0"/>
    <m/>
    <n v="6"/>
    <d v="2023-10-09T00:00:00"/>
    <x v="3"/>
    <s v="New Zealand"/>
    <x v="1"/>
    <x v="1"/>
    <x v="1"/>
    <s v="Batting First Won"/>
    <n v="223"/>
    <n v="7"/>
    <n v="10"/>
    <n v="46.3"/>
    <n v="3"/>
    <n v="19"/>
    <n v="3"/>
    <n v="22"/>
    <n v="4.79"/>
    <x v="0"/>
    <n v="0"/>
    <n v="8"/>
    <n v="2"/>
    <n v="13"/>
    <n v="1"/>
    <n v="0"/>
    <n v="1"/>
    <s v="Loss"/>
    <n v="1"/>
    <n v="0"/>
    <x v="0"/>
  </r>
  <r>
    <n v="13"/>
    <d v="2023-10-15T00:00:00"/>
    <s v="Delhi"/>
    <s v="Arun Jaitley Stadium"/>
    <s v="Afghanistan"/>
    <s v="England"/>
    <s v="England"/>
    <s v="Afghanistan"/>
    <x v="0"/>
    <n v="284"/>
    <n v="215"/>
    <n v="499"/>
    <n v="20"/>
    <n v="47"/>
    <n v="9"/>
    <n v="56"/>
    <s v="69 Runs"/>
    <n v="69"/>
    <s v="Runs"/>
    <s v="Batting First Won"/>
    <n v="0"/>
    <s v="Toss Winner Lost"/>
    <s v="Mujeeb Ur Rahman"/>
    <x v="1"/>
    <x v="1"/>
    <m/>
    <n v="7"/>
    <d v="2023-10-10T00:00:00"/>
    <x v="0"/>
    <s v="Bangladesh"/>
    <x v="2"/>
    <x v="2"/>
    <x v="1"/>
    <s v="Batting First Won"/>
    <n v="364"/>
    <n v="10"/>
    <n v="9"/>
    <n v="50"/>
    <n v="1"/>
    <n v="41"/>
    <n v="7"/>
    <n v="48"/>
    <n v="7.28"/>
    <x v="5"/>
    <n v="0"/>
    <n v="3"/>
    <n v="0"/>
    <n v="7"/>
    <n v="1"/>
    <n v="1"/>
    <n v="0"/>
    <s v="Win"/>
    <n v="0"/>
    <n v="0"/>
    <x v="0"/>
  </r>
  <r>
    <n v="14"/>
    <d v="2023-10-16T00:00:00"/>
    <s v="Lucknow"/>
    <s v="BRSABV Ekana Cricket Stadium"/>
    <s v="Sri Lanka"/>
    <s v="Australia"/>
    <s v="Sri Lanka"/>
    <s v="Australia"/>
    <x v="1"/>
    <n v="209"/>
    <n v="215"/>
    <n v="424"/>
    <n v="15"/>
    <n v="45"/>
    <n v="6"/>
    <n v="51"/>
    <s v="5 Wickets"/>
    <n v="5"/>
    <s v="Wickets"/>
    <s v="Chasing Won"/>
    <n v="0"/>
    <s v="Toss Winner Lost"/>
    <s v="Adam Zampa"/>
    <x v="0"/>
    <x v="2"/>
    <m/>
    <n v="7"/>
    <d v="2023-10-10T00:00:00"/>
    <x v="5"/>
    <s v="England"/>
    <x v="2"/>
    <x v="2"/>
    <x v="1"/>
    <s v="Batting First Won"/>
    <n v="227"/>
    <n v="9"/>
    <n v="10"/>
    <n v="48.2"/>
    <n v="0"/>
    <n v="17"/>
    <n v="3"/>
    <n v="20"/>
    <n v="4.6900000000000004"/>
    <x v="5"/>
    <n v="1"/>
    <n v="4"/>
    <n v="0"/>
    <n v="7"/>
    <n v="1"/>
    <n v="0"/>
    <n v="1"/>
    <s v="Loss"/>
    <n v="1"/>
    <n v="0"/>
    <x v="0"/>
  </r>
  <r>
    <n v="15"/>
    <d v="2023-10-17T00:00:00"/>
    <s v="Dharamshala"/>
    <s v="HPCA Stadium"/>
    <s v="Netherlands"/>
    <s v="South Africa"/>
    <s v="South Africa"/>
    <s v="Netherlands"/>
    <x v="0"/>
    <n v="245"/>
    <n v="207"/>
    <n v="452"/>
    <n v="18"/>
    <n v="42"/>
    <n v="11"/>
    <n v="53"/>
    <s v="38 Runs"/>
    <n v="38"/>
    <s v="Runs"/>
    <s v="Batting First Won"/>
    <n v="0"/>
    <s v="Toss Winner Lost"/>
    <s v="Scott Edwards"/>
    <x v="3"/>
    <x v="1"/>
    <m/>
    <n v="8"/>
    <d v="2023-10-10T00:00:00"/>
    <x v="7"/>
    <s v="Pakistan"/>
    <x v="1"/>
    <x v="1"/>
    <x v="0"/>
    <s v="Chasing Won"/>
    <n v="344"/>
    <n v="4"/>
    <n v="9"/>
    <n v="50"/>
    <n v="0"/>
    <n v="36"/>
    <n v="9"/>
    <n v="45"/>
    <n v="6.88"/>
    <x v="1"/>
    <n v="0"/>
    <n v="25"/>
    <n v="1"/>
    <n v="26"/>
    <n v="1"/>
    <n v="0"/>
    <n v="1"/>
    <s v="Loss"/>
    <n v="1"/>
    <n v="0"/>
    <x v="1"/>
  </r>
  <r>
    <n v="16"/>
    <d v="2023-10-18T00:00:00"/>
    <s v="Chennai"/>
    <s v="M. A. Chidambaram Stadium"/>
    <s v="New Zealand"/>
    <s v="Afghanistan"/>
    <s v="Afghanistan"/>
    <s v="New Zealand"/>
    <x v="0"/>
    <n v="288"/>
    <n v="139"/>
    <n v="427"/>
    <n v="16"/>
    <n v="30"/>
    <n v="13"/>
    <n v="43"/>
    <s v="149 Runs"/>
    <n v="149"/>
    <s v="Runs"/>
    <s v="Batting First Won"/>
    <n v="0"/>
    <s v="Toss Winner Lost"/>
    <s v="Glenn Phillips"/>
    <x v="2"/>
    <x v="1"/>
    <m/>
    <n v="8"/>
    <d v="2023-10-10T00:00:00"/>
    <x v="2"/>
    <s v="Sri Lanka"/>
    <x v="1"/>
    <x v="1"/>
    <x v="0"/>
    <s v="Chasing Won"/>
    <n v="345"/>
    <n v="9"/>
    <n v="4"/>
    <n v="48.2"/>
    <n v="0"/>
    <n v="26"/>
    <n v="6"/>
    <n v="32"/>
    <n v="7.13"/>
    <x v="1"/>
    <n v="2"/>
    <n v="9"/>
    <n v="1"/>
    <n v="14"/>
    <n v="1"/>
    <n v="1"/>
    <n v="0"/>
    <s v="Win"/>
    <n v="0"/>
    <n v="0"/>
    <x v="1"/>
  </r>
  <r>
    <n v="17"/>
    <d v="2023-10-19T00:00:00"/>
    <s v="Pune"/>
    <s v="Maharashtra Cricket Association Stadium"/>
    <s v="Bangladesh"/>
    <s v="India"/>
    <s v="Bangladesh"/>
    <s v="India"/>
    <x v="1"/>
    <n v="256"/>
    <n v="261"/>
    <n v="517"/>
    <n v="11"/>
    <n v="41"/>
    <n v="17"/>
    <n v="58"/>
    <s v="7 Wickets"/>
    <n v="7"/>
    <s v="Wickets"/>
    <s v="Chasing Won"/>
    <n v="0"/>
    <s v="Toss Winner Lost"/>
    <s v="Virat Kohli"/>
    <x v="0"/>
    <x v="0"/>
    <m/>
    <n v="9"/>
    <d v="2023-10-11T00:00:00"/>
    <x v="4"/>
    <s v="India"/>
    <x v="3"/>
    <x v="3"/>
    <x v="0"/>
    <s v="Chasing Won"/>
    <n v="272"/>
    <n v="2"/>
    <n v="8"/>
    <n v="50"/>
    <n v="0"/>
    <n v="25"/>
    <n v="7"/>
    <n v="32"/>
    <n v="5.44"/>
    <x v="4"/>
    <n v="1"/>
    <n v="10"/>
    <n v="0"/>
    <n v="15"/>
    <n v="1"/>
    <n v="0"/>
    <n v="1"/>
    <s v="Loss"/>
    <n v="1"/>
    <n v="0"/>
    <x v="1"/>
  </r>
  <r>
    <n v="18"/>
    <d v="2023-10-20T00:00:00"/>
    <s v="Bangalore"/>
    <s v="M. Chinnaswamy Stadium"/>
    <s v="Australia"/>
    <s v="Pakistan"/>
    <s v="Pakistan"/>
    <s v="Australia"/>
    <x v="0"/>
    <n v="367"/>
    <n v="305"/>
    <n v="672"/>
    <n v="19"/>
    <n v="63"/>
    <n v="25"/>
    <n v="88"/>
    <s v="62 Runs"/>
    <n v="62"/>
    <s v="Runs"/>
    <s v="Batting First Won"/>
    <n v="0"/>
    <s v="Toss Winner Lost"/>
    <s v="David Warner"/>
    <x v="1"/>
    <x v="1"/>
    <m/>
    <n v="9"/>
    <d v="2023-10-11T00:00:00"/>
    <x v="9"/>
    <s v="Afghanistan"/>
    <x v="3"/>
    <x v="3"/>
    <x v="0"/>
    <s v="Chasing Won"/>
    <n v="273"/>
    <n v="8"/>
    <n v="2"/>
    <n v="35"/>
    <n v="0"/>
    <n v="28"/>
    <n v="8"/>
    <n v="36"/>
    <n v="7.8"/>
    <x v="4"/>
    <n v="2"/>
    <n v="8"/>
    <n v="2"/>
    <n v="15"/>
    <n v="1"/>
    <n v="1"/>
    <n v="0"/>
    <s v="Win"/>
    <n v="0"/>
    <n v="0"/>
    <x v="1"/>
  </r>
  <r>
    <n v="19"/>
    <d v="2023-10-21T00:00:00"/>
    <s v="Lucknow"/>
    <s v="BRSABV Ekana Cricket Stadium"/>
    <s v="Netherlands"/>
    <s v="Sri Lanka"/>
    <s v="Netherlands"/>
    <s v="Sri Lanka"/>
    <x v="1"/>
    <n v="262"/>
    <n v="263"/>
    <n v="525"/>
    <n v="15"/>
    <n v="37"/>
    <n v="6"/>
    <n v="43"/>
    <s v="5 Wickets"/>
    <n v="5"/>
    <s v="Wickets"/>
    <s v="Chasing Won"/>
    <n v="0"/>
    <s v="Toss Winner Lost"/>
    <s v="Sadeera Samarawickrama"/>
    <x v="0"/>
    <x v="2"/>
    <m/>
    <n v="10"/>
    <d v="2023-10-12T00:00:00"/>
    <x v="6"/>
    <s v="Australia"/>
    <x v="5"/>
    <x v="5"/>
    <x v="1"/>
    <s v="Batting First Won"/>
    <n v="311"/>
    <n v="10"/>
    <n v="7"/>
    <n v="50"/>
    <n v="3"/>
    <n v="26"/>
    <n v="8"/>
    <n v="34"/>
    <n v="6.22"/>
    <x v="3"/>
    <n v="0"/>
    <n v="11"/>
    <n v="2"/>
    <n v="17"/>
    <n v="1"/>
    <n v="1"/>
    <n v="0"/>
    <s v="Win"/>
    <n v="0"/>
    <n v="0"/>
    <x v="0"/>
  </r>
  <r>
    <n v="20"/>
    <d v="2023-10-21T00:00:00"/>
    <s v="Mumbai"/>
    <s v="Wankhede Stadium"/>
    <s v="South Africa"/>
    <s v="England"/>
    <s v="England"/>
    <s v="South Africa"/>
    <x v="0"/>
    <n v="399"/>
    <n v="170"/>
    <n v="569"/>
    <n v="17"/>
    <n v="56"/>
    <n v="22"/>
    <n v="78"/>
    <s v="229 Runs"/>
    <n v="229"/>
    <s v="Runs"/>
    <s v="Batting First Won"/>
    <n v="0"/>
    <s v="Toss Winner Lost"/>
    <s v="Heinrich Klaasen"/>
    <x v="4"/>
    <x v="1"/>
    <m/>
    <n v="10"/>
    <d v="2023-10-12T00:00:00"/>
    <x v="8"/>
    <s v="South Africa"/>
    <x v="5"/>
    <x v="5"/>
    <x v="1"/>
    <s v="Batting First Won"/>
    <n v="177"/>
    <n v="7"/>
    <n v="10"/>
    <n v="40.5"/>
    <n v="2"/>
    <n v="19"/>
    <n v="0"/>
    <n v="19"/>
    <n v="4.33"/>
    <x v="3"/>
    <n v="4"/>
    <n v="7"/>
    <n v="0"/>
    <n v="13"/>
    <n v="1"/>
    <n v="0"/>
    <n v="1"/>
    <s v="Loss"/>
    <n v="1"/>
    <n v="0"/>
    <x v="0"/>
  </r>
  <r>
    <n v="21"/>
    <d v="2023-10-22T00:00:00"/>
    <s v="Dharamshala"/>
    <s v="HPCA Stadium"/>
    <s v="New Zealand"/>
    <s v="India"/>
    <s v="India"/>
    <s v="India"/>
    <x v="0"/>
    <n v="273"/>
    <n v="274"/>
    <n v="547"/>
    <n v="16"/>
    <n v="48"/>
    <n v="14"/>
    <n v="62"/>
    <s v="4 Wickets"/>
    <n v="4"/>
    <s v="Wickets"/>
    <s v="Chasing Won"/>
    <n v="1"/>
    <s v="Toss Winner Won"/>
    <s v="Mohammed Shami"/>
    <x v="0"/>
    <x v="2"/>
    <m/>
    <n v="11"/>
    <d v="2023-10-13T00:00:00"/>
    <x v="5"/>
    <s v="New Zealand"/>
    <x v="4"/>
    <x v="4"/>
    <x v="0"/>
    <s v="Chasing Won"/>
    <n v="245"/>
    <n v="2"/>
    <n v="9"/>
    <n v="50"/>
    <n v="1"/>
    <n v="20"/>
    <n v="8"/>
    <n v="28"/>
    <n v="4.9000000000000004"/>
    <x v="0"/>
    <n v="0"/>
    <n v="10"/>
    <n v="0"/>
    <n v="11"/>
    <n v="1"/>
    <n v="0"/>
    <n v="1"/>
    <s v="Loss"/>
    <n v="0"/>
    <n v="0"/>
    <x v="0"/>
  </r>
  <r>
    <n v="22"/>
    <d v="2023-10-23T00:00:00"/>
    <s v="Chennai"/>
    <s v="M. A. Chidambaram Stadium"/>
    <s v="Pakistan"/>
    <s v="Afghanistan"/>
    <s v="Pakistan"/>
    <s v="Afghanistan"/>
    <x v="1"/>
    <n v="282"/>
    <n v="286"/>
    <n v="568"/>
    <n v="9"/>
    <n v="45"/>
    <n v="12"/>
    <n v="57"/>
    <s v="8 Wickets"/>
    <n v="8"/>
    <s v="Wickets"/>
    <s v="Chasing Won"/>
    <n v="0"/>
    <s v="Toss Winner Lost"/>
    <s v="Ibrahim Zadran"/>
    <x v="0"/>
    <x v="0"/>
    <m/>
    <n v="11"/>
    <d v="2023-10-13T00:00:00"/>
    <x v="1"/>
    <s v="Bangladesh"/>
    <x v="4"/>
    <x v="4"/>
    <x v="0"/>
    <s v="Chasing Won"/>
    <n v="248"/>
    <n v="9"/>
    <n v="2"/>
    <n v="42.5"/>
    <n v="1"/>
    <n v="20"/>
    <n v="6"/>
    <n v="26"/>
    <n v="5.78"/>
    <x v="0"/>
    <n v="0"/>
    <n v="4"/>
    <n v="4"/>
    <n v="9"/>
    <n v="1"/>
    <n v="1"/>
    <n v="0"/>
    <s v="Win"/>
    <n v="1"/>
    <n v="1"/>
    <x v="0"/>
  </r>
  <r>
    <n v="23"/>
    <d v="2023-10-24T00:00:00"/>
    <s v="Mumbai"/>
    <s v="Wankhede Stadium"/>
    <s v="South Africa"/>
    <s v="Bangladesh"/>
    <s v="South Africa"/>
    <s v="South Africa"/>
    <x v="1"/>
    <n v="382"/>
    <n v="233"/>
    <n v="615"/>
    <n v="15"/>
    <n v="51"/>
    <n v="24"/>
    <n v="75"/>
    <s v="149 Runs"/>
    <n v="149"/>
    <s v="Runs"/>
    <s v="Batting First Won"/>
    <n v="1"/>
    <s v="Toss Winner Won"/>
    <s v="Quinton de Kock"/>
    <x v="2"/>
    <x v="1"/>
    <m/>
    <n v="12"/>
    <d v="2023-10-14T00:00:00"/>
    <x v="2"/>
    <s v="India"/>
    <x v="0"/>
    <x v="0"/>
    <x v="0"/>
    <s v="Chasing Won"/>
    <n v="191"/>
    <n v="3"/>
    <n v="10"/>
    <n v="42.5"/>
    <n v="0"/>
    <n v="26"/>
    <n v="0"/>
    <n v="26"/>
    <n v="4.45"/>
    <x v="4"/>
    <n v="0"/>
    <n v="1"/>
    <n v="0"/>
    <n v="6"/>
    <n v="1"/>
    <n v="0"/>
    <n v="1"/>
    <s v="Loss"/>
    <n v="0"/>
    <n v="0"/>
    <x v="0"/>
  </r>
  <r>
    <n v="24"/>
    <d v="2023-10-25T00:00:00"/>
    <s v="Delhi"/>
    <s v="Arun Jaitley Stadium"/>
    <s v="Australia"/>
    <s v="Netherlands"/>
    <s v="Australia"/>
    <s v="Australia"/>
    <x v="1"/>
    <n v="399"/>
    <n v="90"/>
    <n v="489"/>
    <n v="18"/>
    <n v="55"/>
    <n v="15"/>
    <n v="70"/>
    <s v="309 Runs"/>
    <n v="309"/>
    <s v="Runs"/>
    <s v="Batting First Won"/>
    <n v="1"/>
    <s v="Toss Winner Won"/>
    <s v="Glenn Maxwell"/>
    <x v="4"/>
    <x v="1"/>
    <m/>
    <n v="12"/>
    <d v="2023-10-14T00:00:00"/>
    <x v="9"/>
    <s v="Pakistan"/>
    <x v="0"/>
    <x v="0"/>
    <x v="0"/>
    <s v="Chasing Won"/>
    <n v="192"/>
    <n v="10"/>
    <n v="3"/>
    <n v="30.3"/>
    <n v="1"/>
    <n v="17"/>
    <n v="8"/>
    <n v="25"/>
    <n v="6.29"/>
    <x v="4"/>
    <n v="1"/>
    <n v="1"/>
    <n v="0"/>
    <n v="4"/>
    <n v="1"/>
    <n v="1"/>
    <n v="0"/>
    <s v="Win"/>
    <n v="1"/>
    <n v="1"/>
    <x v="0"/>
  </r>
  <r>
    <n v="25"/>
    <d v="2023-10-26T00:00:00"/>
    <s v="Bangalore"/>
    <s v="M. Chinnaswamy Stadium"/>
    <s v="England"/>
    <s v="Sri Lanka"/>
    <s v="England"/>
    <s v="Sri Lanka"/>
    <x v="1"/>
    <n v="156"/>
    <n v="160"/>
    <n v="316"/>
    <n v="12"/>
    <n v="36"/>
    <n v="4"/>
    <n v="40"/>
    <s v="8 Wickets"/>
    <n v="8"/>
    <s v="Wickets"/>
    <s v="Chasing Won"/>
    <n v="0"/>
    <s v="Toss Winner Lost"/>
    <s v="Lahiru Kumara"/>
    <x v="0"/>
    <x v="0"/>
    <m/>
    <n v="13"/>
    <d v="2023-10-15T00:00:00"/>
    <x v="4"/>
    <s v="England"/>
    <x v="3"/>
    <x v="3"/>
    <x v="1"/>
    <s v="Batting First Won"/>
    <n v="284"/>
    <n v="10"/>
    <n v="10"/>
    <n v="49.5"/>
    <n v="3"/>
    <n v="23"/>
    <n v="8"/>
    <n v="31"/>
    <n v="5.69"/>
    <x v="6"/>
    <n v="0"/>
    <n v="8"/>
    <n v="1"/>
    <n v="13"/>
    <n v="1"/>
    <n v="1"/>
    <n v="0"/>
    <s v="Win"/>
    <n v="0"/>
    <n v="0"/>
    <x v="0"/>
  </r>
  <r>
    <n v="26"/>
    <d v="2023-10-27T00:00:00"/>
    <s v="Chennai"/>
    <s v="M. A. Chidambaram Stadium"/>
    <s v="Pakistan"/>
    <s v="South Africa"/>
    <s v="Pakistan"/>
    <s v="South Africa"/>
    <x v="1"/>
    <n v="270"/>
    <n v="271"/>
    <n v="541"/>
    <n v="19"/>
    <n v="44"/>
    <n v="16"/>
    <n v="60"/>
    <s v="1 Wicket"/>
    <n v="1"/>
    <s v="Wickets"/>
    <s v="Chasing Won"/>
    <n v="0"/>
    <s v="Toss Winner Lost"/>
    <s v="Tabraiz Shamsi"/>
    <x v="0"/>
    <x v="3"/>
    <m/>
    <n v="13"/>
    <d v="2023-10-15T00:00:00"/>
    <x v="0"/>
    <s v="Afghanistan"/>
    <x v="3"/>
    <x v="3"/>
    <x v="1"/>
    <s v="Batting First Won"/>
    <n v="215"/>
    <n v="10"/>
    <n v="10"/>
    <n v="40.299999999999997"/>
    <n v="2"/>
    <n v="24"/>
    <n v="1"/>
    <n v="25"/>
    <n v="5.3"/>
    <x v="6"/>
    <n v="0"/>
    <n v="11"/>
    <n v="3"/>
    <n v="15"/>
    <n v="1"/>
    <n v="0"/>
    <n v="1"/>
    <s v="Loss"/>
    <n v="1"/>
    <n v="0"/>
    <x v="0"/>
  </r>
  <r>
    <n v="27"/>
    <d v="2023-10-28T00:00:00"/>
    <s v="Dharamshala"/>
    <s v="HPCA Stadium"/>
    <s v="Australia"/>
    <s v="New Zealand"/>
    <s v="New Zealand"/>
    <s v="Australia"/>
    <x v="0"/>
    <n v="388"/>
    <n v="383"/>
    <n v="771"/>
    <n v="19"/>
    <n v="65"/>
    <n v="32"/>
    <n v="97"/>
    <s v="5 Runs"/>
    <n v="5"/>
    <s v="Runs"/>
    <s v="Batting First Won"/>
    <n v="0"/>
    <s v="Toss Winner Lost"/>
    <s v="Travis Head"/>
    <x v="3"/>
    <x v="1"/>
    <m/>
    <n v="14"/>
    <d v="2023-10-16T00:00:00"/>
    <x v="7"/>
    <s v="Australia"/>
    <x v="5"/>
    <x v="5"/>
    <x v="0"/>
    <s v="Chasing Won"/>
    <n v="209"/>
    <n v="5"/>
    <n v="10"/>
    <n v="43.3"/>
    <n v="2"/>
    <n v="23"/>
    <n v="1"/>
    <n v="24"/>
    <n v="4.8"/>
    <x v="7"/>
    <n v="0"/>
    <n v="3"/>
    <n v="0"/>
    <n v="3"/>
    <n v="1"/>
    <n v="0"/>
    <n v="1"/>
    <s v="Loss"/>
    <n v="1"/>
    <n v="0"/>
    <x v="1"/>
  </r>
  <r>
    <n v="28"/>
    <d v="2023-10-28T00:00:00"/>
    <s v="Kolkata"/>
    <s v="Eden Gardens"/>
    <s v="Netherlands"/>
    <s v="Bangladesh"/>
    <s v="Netherlands"/>
    <s v="Netherlands"/>
    <x v="1"/>
    <n v="142"/>
    <n v="229"/>
    <n v="371"/>
    <n v="20"/>
    <n v="38"/>
    <n v="4"/>
    <n v="42"/>
    <s v="87 Runs"/>
    <n v="87"/>
    <s v="Runs"/>
    <s v="Batting First Won"/>
    <n v="1"/>
    <s v="Toss Winner Won"/>
    <s v="Paul van Meekeren"/>
    <x v="1"/>
    <x v="1"/>
    <m/>
    <n v="14"/>
    <d v="2023-10-16T00:00:00"/>
    <x v="8"/>
    <s v="Sri Lanka"/>
    <x v="5"/>
    <x v="5"/>
    <x v="0"/>
    <s v="Chasing Won"/>
    <n v="215"/>
    <n v="10"/>
    <n v="5"/>
    <n v="35.200000000000003"/>
    <n v="2"/>
    <n v="22"/>
    <n v="5"/>
    <n v="27"/>
    <n v="6.08"/>
    <x v="7"/>
    <n v="2"/>
    <n v="9"/>
    <n v="0"/>
    <n v="13"/>
    <n v="1"/>
    <n v="1"/>
    <n v="0"/>
    <s v="Win"/>
    <n v="0"/>
    <n v="0"/>
    <x v="1"/>
  </r>
  <r>
    <n v="29"/>
    <d v="2023-10-29T00:00:00"/>
    <s v="Lucknow"/>
    <s v="BRSABV Ekana Cricket Stadium"/>
    <s v="India"/>
    <s v="England"/>
    <s v="England"/>
    <s v="India"/>
    <x v="0"/>
    <n v="229"/>
    <n v="129"/>
    <n v="358"/>
    <n v="19"/>
    <n v="30"/>
    <n v="7"/>
    <n v="37"/>
    <s v="100 Runs"/>
    <n v="100"/>
    <s v="Runs"/>
    <s v="Batting First Won"/>
    <n v="0"/>
    <s v="Toss Winner Lost"/>
    <s v="Rohit Sharma"/>
    <x v="1"/>
    <x v="1"/>
    <m/>
    <n v="15"/>
    <d v="2023-10-17T00:00:00"/>
    <x v="3"/>
    <s v="South Africa"/>
    <x v="2"/>
    <x v="2"/>
    <x v="1"/>
    <s v="Batting First Won"/>
    <n v="245"/>
    <n v="10"/>
    <n v="8"/>
    <n v="43"/>
    <n v="1"/>
    <n v="23"/>
    <n v="6"/>
    <n v="29"/>
    <n v="5.69"/>
    <x v="8"/>
    <n v="0"/>
    <n v="5"/>
    <n v="1"/>
    <n v="8"/>
    <n v="1"/>
    <n v="1"/>
    <n v="0"/>
    <s v="Win"/>
    <n v="0"/>
    <n v="0"/>
    <x v="0"/>
  </r>
  <r>
    <n v="30"/>
    <d v="2023-10-30T00:00:00"/>
    <s v="Pune"/>
    <s v="Maharashtra Cricket Association Stadium"/>
    <s v="Sri Lanka"/>
    <s v="Afghanistan"/>
    <s v="Afghanistan"/>
    <s v="Afghanistan"/>
    <x v="0"/>
    <n v="241"/>
    <n v="242"/>
    <n v="483"/>
    <n v="13"/>
    <n v="38"/>
    <n v="7"/>
    <n v="45"/>
    <s v="7 Wickets"/>
    <n v="7"/>
    <s v="Wickets"/>
    <s v="Chasing Won"/>
    <n v="1"/>
    <s v="Toss Winner Won"/>
    <s v="Fazalhaq Farooqi"/>
    <x v="0"/>
    <x v="0"/>
    <m/>
    <n v="15"/>
    <d v="2023-10-17T00:00:00"/>
    <x v="6"/>
    <s v="Netherlands"/>
    <x v="2"/>
    <x v="2"/>
    <x v="1"/>
    <s v="Batting First Won"/>
    <n v="207"/>
    <n v="8"/>
    <n v="10"/>
    <n v="42.5"/>
    <n v="3"/>
    <n v="19"/>
    <n v="5"/>
    <n v="24"/>
    <n v="4.83"/>
    <x v="8"/>
    <n v="0"/>
    <n v="21"/>
    <n v="1"/>
    <n v="32"/>
    <n v="1"/>
    <n v="0"/>
    <n v="1"/>
    <s v="Loss"/>
    <n v="1"/>
    <n v="0"/>
    <x v="0"/>
  </r>
  <r>
    <n v="31"/>
    <d v="2023-10-31T00:00:00"/>
    <s v="Kolkata"/>
    <s v="Eden Gardens"/>
    <s v="Bangladesh"/>
    <s v="Pakistan"/>
    <s v="Bangladesh"/>
    <s v="Pakistan"/>
    <x v="1"/>
    <n v="205"/>
    <n v="204"/>
    <n v="409"/>
    <n v="13"/>
    <n v="38"/>
    <n v="12"/>
    <n v="50"/>
    <s v="7 Wickets"/>
    <n v="7"/>
    <s v="Wickets"/>
    <s v="Chasing Won"/>
    <n v="0"/>
    <s v="Toss Winner Lost"/>
    <s v="Fakhar Zaman"/>
    <x v="0"/>
    <x v="0"/>
    <m/>
    <n v="16"/>
    <d v="2023-10-18T00:00:00"/>
    <x v="1"/>
    <s v="Afghanistan"/>
    <x v="4"/>
    <x v="4"/>
    <x v="1"/>
    <s v="Batting First Won"/>
    <n v="288"/>
    <n v="10"/>
    <n v="6"/>
    <n v="50"/>
    <n v="4"/>
    <n v="19"/>
    <n v="11"/>
    <n v="30"/>
    <n v="5.76"/>
    <x v="0"/>
    <n v="0"/>
    <n v="5"/>
    <n v="0"/>
    <n v="5"/>
    <n v="1"/>
    <n v="1"/>
    <n v="0"/>
    <s v="Win"/>
    <n v="0"/>
    <n v="0"/>
    <x v="0"/>
  </r>
  <r>
    <n v="32"/>
    <d v="2023-11-01T00:00:00"/>
    <s v="Pune"/>
    <s v="Maharashtra Cricket Association Stadium"/>
    <s v="South Africa"/>
    <s v="New Zealand"/>
    <s v="New Zealand"/>
    <s v="South Africa"/>
    <x v="0"/>
    <n v="357"/>
    <n v="167"/>
    <n v="524"/>
    <n v="14"/>
    <n v="43"/>
    <n v="19"/>
    <n v="62"/>
    <s v="190 Runs"/>
    <n v="190"/>
    <s v="Runs"/>
    <s v="Batting First Won"/>
    <n v="0"/>
    <s v="Toss Winner Lost"/>
    <s v="Rassie van der Dussen"/>
    <x v="5"/>
    <x v="1"/>
    <m/>
    <n v="16"/>
    <d v="2023-10-18T00:00:00"/>
    <x v="4"/>
    <s v="New Zealand"/>
    <x v="4"/>
    <x v="4"/>
    <x v="1"/>
    <s v="Batting First Won"/>
    <n v="139"/>
    <n v="6"/>
    <n v="10"/>
    <n v="34.4"/>
    <n v="2"/>
    <n v="11"/>
    <n v="2"/>
    <n v="13"/>
    <n v="4"/>
    <x v="0"/>
    <n v="0"/>
    <n v="5"/>
    <n v="1"/>
    <n v="10"/>
    <n v="1"/>
    <n v="0"/>
    <n v="1"/>
    <s v="Loss"/>
    <n v="1"/>
    <n v="0"/>
    <x v="0"/>
  </r>
  <r>
    <n v="33"/>
    <d v="2023-11-02T00:00:00"/>
    <s v="Mumbai"/>
    <s v="Wankhede Stadium"/>
    <s v="India"/>
    <s v="Sri Lanka"/>
    <s v="Sri Lanka"/>
    <s v="India"/>
    <x v="0"/>
    <n v="357"/>
    <n v="55"/>
    <n v="412"/>
    <n v="18"/>
    <n v="37"/>
    <n v="9"/>
    <n v="46"/>
    <s v="302 Runs"/>
    <n v="302"/>
    <s v="Runs"/>
    <s v="Batting First Won"/>
    <n v="0"/>
    <s v="Toss Winner Lost"/>
    <s v="Mohammed Shami"/>
    <x v="4"/>
    <x v="1"/>
    <m/>
    <n v="17"/>
    <d v="2023-10-19T00:00:00"/>
    <x v="5"/>
    <s v="India"/>
    <x v="6"/>
    <x v="6"/>
    <x v="0"/>
    <s v="Chasing Won"/>
    <n v="256"/>
    <n v="3"/>
    <n v="8"/>
    <n v="50"/>
    <n v="0"/>
    <n v="18"/>
    <n v="8"/>
    <n v="26"/>
    <n v="5.12"/>
    <x v="4"/>
    <n v="0"/>
    <n v="2"/>
    <n v="2"/>
    <n v="4"/>
    <n v="1"/>
    <n v="0"/>
    <n v="1"/>
    <s v="Loss"/>
    <n v="1"/>
    <n v="0"/>
    <x v="1"/>
  </r>
  <r>
    <n v="34"/>
    <d v="2023-11-03T00:00:00"/>
    <s v="Lucknow"/>
    <s v="BRSABV Ekana Cricket Stadium"/>
    <s v="Netherlands"/>
    <s v="Afghanistan"/>
    <s v="Netherlands"/>
    <s v="Afghanistan"/>
    <x v="1"/>
    <n v="181"/>
    <n v="179"/>
    <n v="360"/>
    <n v="13"/>
    <n v="40"/>
    <n v="0"/>
    <n v="40"/>
    <s v="7 Wickets"/>
    <n v="7"/>
    <s v="Wickets"/>
    <s v="Chasing Won"/>
    <n v="0"/>
    <s v="Toss Winner Lost"/>
    <s v="Mohammad Nabi"/>
    <x v="0"/>
    <x v="0"/>
    <m/>
    <n v="17"/>
    <d v="2023-10-19T00:00:00"/>
    <x v="9"/>
    <s v="Bangladesh"/>
    <x v="6"/>
    <x v="6"/>
    <x v="0"/>
    <s v="Chasing Won"/>
    <n v="261"/>
    <n v="8"/>
    <n v="3"/>
    <n v="41.3"/>
    <n v="1"/>
    <n v="23"/>
    <n v="9"/>
    <n v="32"/>
    <n v="6.28"/>
    <x v="4"/>
    <n v="0"/>
    <n v="5"/>
    <n v="0"/>
    <n v="6"/>
    <n v="1"/>
    <n v="1"/>
    <n v="0"/>
    <s v="Win"/>
    <n v="0"/>
    <n v="0"/>
    <x v="1"/>
  </r>
  <r>
    <n v="35"/>
    <d v="2023-11-04T00:00:00"/>
    <s v="Bangalore"/>
    <s v="M. Chinnaswamy Stadium"/>
    <s v="New Zealand"/>
    <s v="Pakistan"/>
    <s v="Pakistan"/>
    <s v="Pakistan"/>
    <x v="0"/>
    <n v="401"/>
    <n v="200"/>
    <n v="601"/>
    <n v="7"/>
    <n v="61"/>
    <n v="21"/>
    <n v="82"/>
    <s v="21 Runs DLS Method"/>
    <n v="21"/>
    <s v="Runs (DLS) Method"/>
    <s v="DLS Result"/>
    <n v="1"/>
    <s v="Toss Winner Won"/>
    <s v="Fakhar Zaman"/>
    <x v="0"/>
    <x v="1"/>
    <m/>
    <n v="18"/>
    <d v="2023-10-20T00:00:00"/>
    <x v="8"/>
    <s v="Pakistan"/>
    <x v="7"/>
    <x v="7"/>
    <x v="1"/>
    <s v="Batting First Won"/>
    <n v="367"/>
    <n v="10"/>
    <n v="9"/>
    <n v="50"/>
    <n v="1"/>
    <n v="29"/>
    <n v="19"/>
    <n v="48"/>
    <n v="7.34"/>
    <x v="7"/>
    <n v="1"/>
    <n v="11"/>
    <n v="0"/>
    <n v="19"/>
    <n v="1"/>
    <n v="1"/>
    <n v="0"/>
    <s v="Win"/>
    <n v="0"/>
    <n v="0"/>
    <x v="0"/>
  </r>
  <r>
    <n v="36"/>
    <d v="2023-11-04T00:00:00"/>
    <s v="Ahmedabad"/>
    <s v="Narendra Modi Stadium"/>
    <s v="Australia"/>
    <s v="England"/>
    <s v="England"/>
    <s v="Australia"/>
    <x v="0"/>
    <n v="286"/>
    <n v="253"/>
    <n v="539"/>
    <n v="20"/>
    <n v="47"/>
    <n v="9"/>
    <n v="56"/>
    <s v="33 Runs"/>
    <n v="33"/>
    <s v="Runs"/>
    <s v="Batting First Won"/>
    <n v="0"/>
    <s v="Toss Winner Lost"/>
    <s v="Adam Zampa"/>
    <x v="3"/>
    <x v="1"/>
    <m/>
    <n v="18"/>
    <d v="2023-10-20T00:00:00"/>
    <x v="2"/>
    <s v="Australia"/>
    <x v="7"/>
    <x v="7"/>
    <x v="1"/>
    <s v="Batting First Won"/>
    <n v="305"/>
    <n v="9"/>
    <n v="10"/>
    <n v="45.3"/>
    <n v="1"/>
    <n v="34"/>
    <n v="6"/>
    <n v="40"/>
    <n v="6.7"/>
    <x v="7"/>
    <n v="1"/>
    <n v="14"/>
    <n v="0"/>
    <n v="25"/>
    <n v="1"/>
    <n v="0"/>
    <n v="1"/>
    <s v="Loss"/>
    <n v="1"/>
    <n v="0"/>
    <x v="0"/>
  </r>
  <r>
    <n v="37"/>
    <d v="2023-11-05T00:00:00"/>
    <s v="Kolkata"/>
    <s v="Eden Gardens"/>
    <s v="India"/>
    <s v="South Africa"/>
    <s v="India"/>
    <s v="India"/>
    <x v="1"/>
    <n v="326"/>
    <n v="83"/>
    <n v="409"/>
    <n v="15"/>
    <n v="45"/>
    <n v="6"/>
    <n v="51"/>
    <s v="243 Runs"/>
    <n v="243"/>
    <s v="Runs"/>
    <s v="Batting First Won"/>
    <n v="1"/>
    <s v="Toss Winner Won"/>
    <s v="Virat Kohli"/>
    <x v="4"/>
    <x v="1"/>
    <m/>
    <n v="19"/>
    <d v="2023-10-21T00:00:00"/>
    <x v="3"/>
    <s v="Sri Lanka"/>
    <x v="5"/>
    <x v="5"/>
    <x v="0"/>
    <s v="Chasing Won"/>
    <n v="262"/>
    <n v="5"/>
    <n v="10"/>
    <n v="49.4"/>
    <n v="1"/>
    <n v="14"/>
    <n v="3"/>
    <n v="17"/>
    <n v="5.27"/>
    <x v="9"/>
    <n v="13"/>
    <n v="11"/>
    <n v="0"/>
    <n v="24"/>
    <n v="1"/>
    <n v="0"/>
    <n v="1"/>
    <s v="Loss"/>
    <n v="1"/>
    <n v="0"/>
    <x v="1"/>
  </r>
  <r>
    <n v="38"/>
    <d v="2023-11-06T00:00:00"/>
    <s v="Delhi"/>
    <s v="Arun Jaitley Stadium"/>
    <s v="Sri Lanka"/>
    <s v="Bangladesh"/>
    <s v="Bangladesh"/>
    <s v="Bangladesh"/>
    <x v="0"/>
    <n v="279"/>
    <n v="282"/>
    <n v="561"/>
    <n v="17"/>
    <n v="60"/>
    <n v="14"/>
    <n v="74"/>
    <s v="3 Wickets"/>
    <n v="3"/>
    <s v="Wickets"/>
    <s v="Chasing Won"/>
    <n v="1"/>
    <s v="Toss Winner Won"/>
    <s v="Shakib Al Hasan"/>
    <x v="0"/>
    <x v="3"/>
    <m/>
    <n v="19"/>
    <d v="2023-10-21T00:00:00"/>
    <x v="7"/>
    <s v="Netherlands"/>
    <x v="5"/>
    <x v="5"/>
    <x v="0"/>
    <s v="Chasing Won"/>
    <n v="263"/>
    <n v="10"/>
    <n v="5"/>
    <n v="9"/>
    <n v="2"/>
    <n v="23"/>
    <n v="3"/>
    <n v="26"/>
    <n v="5.44"/>
    <x v="9"/>
    <n v="0"/>
    <n v="26"/>
    <n v="1"/>
    <n v="33"/>
    <n v="1"/>
    <n v="1"/>
    <n v="0"/>
    <s v="Win"/>
    <n v="0"/>
    <n v="0"/>
    <x v="1"/>
  </r>
  <r>
    <n v="39"/>
    <d v="2023-11-07T00:00:00"/>
    <s v="Mumbai"/>
    <s v="Wankhede Stadium"/>
    <s v="Australia"/>
    <s v="Afghanistan"/>
    <s v="Afghanistan"/>
    <s v="Australia"/>
    <x v="1"/>
    <n v="293"/>
    <n v="291"/>
    <n v="584"/>
    <n v="12"/>
    <n v="46"/>
    <n v="21"/>
    <n v="67"/>
    <s v="3 Wickets"/>
    <n v="3"/>
    <s v="Wickets"/>
    <s v="Chasing Won"/>
    <n v="0"/>
    <s v="Toss Winner Lost"/>
    <s v="Glenn Maxwell"/>
    <x v="0"/>
    <x v="3"/>
    <m/>
    <n v="20"/>
    <d v="2023-10-21T00:00:00"/>
    <x v="6"/>
    <s v="England"/>
    <x v="8"/>
    <x v="8"/>
    <x v="1"/>
    <s v="Batting First Won"/>
    <n v="399"/>
    <n v="10"/>
    <n v="7"/>
    <n v="50"/>
    <n v="2"/>
    <n v="38"/>
    <n v="13"/>
    <n v="51"/>
    <n v="7.98"/>
    <x v="3"/>
    <n v="0"/>
    <n v="5"/>
    <n v="1"/>
    <n v="15"/>
    <n v="1"/>
    <n v="1"/>
    <n v="0"/>
    <s v="Win"/>
    <n v="0"/>
    <n v="0"/>
    <x v="0"/>
  </r>
  <r>
    <n v="40"/>
    <d v="2023-11-08T00:00:00"/>
    <s v="Pune"/>
    <s v="Maharashtra Cricket Association Stadium"/>
    <s v="England"/>
    <s v="Netherlands"/>
    <s v="England"/>
    <s v="England"/>
    <x v="1"/>
    <n v="179"/>
    <n v="339"/>
    <n v="518"/>
    <n v="19"/>
    <n v="41"/>
    <n v="16"/>
    <n v="57"/>
    <s v="160 Runs"/>
    <n v="160"/>
    <s v="Runs"/>
    <s v="Batting First Won"/>
    <n v="1"/>
    <s v="Toss Winner Won"/>
    <s v="Ben Stokes"/>
    <x v="5"/>
    <x v="1"/>
    <m/>
    <n v="20"/>
    <d v="2023-10-21T00:00:00"/>
    <x v="0"/>
    <s v="South Africa"/>
    <x v="8"/>
    <x v="8"/>
    <x v="1"/>
    <s v="Batting First Won"/>
    <n v="170"/>
    <n v="7"/>
    <n v="10"/>
    <n v="22"/>
    <n v="1"/>
    <n v="18"/>
    <n v="9"/>
    <n v="27"/>
    <n v="7.72"/>
    <x v="3"/>
    <n v="2"/>
    <n v="9"/>
    <n v="1"/>
    <n v="15"/>
    <n v="1"/>
    <n v="0"/>
    <n v="1"/>
    <s v="Loss"/>
    <n v="1"/>
    <n v="0"/>
    <x v="0"/>
  </r>
  <r>
    <n v="41"/>
    <d v="2023-11-09T00:00:00"/>
    <s v="Bangalore"/>
    <s v="M. Chinnaswamy Stadium"/>
    <s v="New Zealand"/>
    <s v="Sri Lanka"/>
    <s v="New Zealand"/>
    <s v="New Zealand"/>
    <x v="0"/>
    <n v="171"/>
    <n v="172"/>
    <n v="343"/>
    <n v="15"/>
    <n v="44"/>
    <n v="8"/>
    <n v="52"/>
    <s v="5 Wickets"/>
    <n v="5"/>
    <s v="Wickets"/>
    <s v="Chasing Won"/>
    <n v="1"/>
    <s v="Toss Winner Won"/>
    <s v="Trent Boult"/>
    <x v="0"/>
    <x v="2"/>
    <m/>
    <n v="21"/>
    <d v="2023-10-22T00:00:00"/>
    <x v="1"/>
    <s v="India"/>
    <x v="2"/>
    <x v="2"/>
    <x v="0"/>
    <s v="Chasing Won"/>
    <n v="273"/>
    <n v="6"/>
    <n v="10"/>
    <n v="50"/>
    <n v="0"/>
    <n v="19"/>
    <n v="7"/>
    <n v="26"/>
    <n v="5.46"/>
    <x v="4"/>
    <n v="0"/>
    <n v="4"/>
    <n v="0"/>
    <n v="5"/>
    <n v="1"/>
    <n v="0"/>
    <n v="1"/>
    <s v="Loss"/>
    <n v="0"/>
    <n v="0"/>
    <x v="0"/>
  </r>
  <r>
    <n v="42"/>
    <d v="2023-11-10T00:00:00"/>
    <s v="Ahmedabad"/>
    <s v="Narendra Modi Stadium"/>
    <s v="Afghanistan"/>
    <s v="South Africa"/>
    <s v="Afghanistan"/>
    <s v="South Africa"/>
    <x v="1"/>
    <n v="244"/>
    <n v="247"/>
    <n v="491"/>
    <n v="15"/>
    <n v="35"/>
    <n v="15"/>
    <n v="50"/>
    <s v="5 Wickets"/>
    <n v="5"/>
    <s v="Wickets"/>
    <s v="Chasing Won"/>
    <n v="0"/>
    <s v="Toss Winner Lost"/>
    <s v="Rassie van der Dussen"/>
    <x v="0"/>
    <x v="2"/>
    <m/>
    <n v="21"/>
    <d v="2023-10-22T00:00:00"/>
    <x v="9"/>
    <s v="New Zealand"/>
    <x v="2"/>
    <x v="2"/>
    <x v="0"/>
    <s v="Chasing Won"/>
    <n v="274"/>
    <n v="10"/>
    <n v="6"/>
    <n v="48"/>
    <n v="2"/>
    <n v="29"/>
    <n v="7"/>
    <n v="36"/>
    <n v="5.7"/>
    <x v="4"/>
    <n v="3"/>
    <n v="7"/>
    <n v="0"/>
    <n v="15"/>
    <n v="1"/>
    <n v="1"/>
    <n v="0"/>
    <s v="Win"/>
    <n v="1"/>
    <n v="1"/>
    <x v="0"/>
  </r>
  <r>
    <n v="43"/>
    <d v="2023-11-11T00:00:00"/>
    <s v="Pune"/>
    <s v="Maharashtra Cricket Association Stadium"/>
    <s v="Australia"/>
    <s v="Bangladesh"/>
    <s v="Australia"/>
    <s v="Australia"/>
    <x v="0"/>
    <n v="306"/>
    <n v="307"/>
    <n v="613"/>
    <n v="10"/>
    <n v="56"/>
    <n v="16"/>
    <n v="72"/>
    <s v="8 Wickets"/>
    <n v="8"/>
    <s v="Wickets"/>
    <s v="Chasing Won"/>
    <n v="1"/>
    <s v="Toss Winner Won"/>
    <s v="Mitchell Marsh"/>
    <x v="0"/>
    <x v="0"/>
    <m/>
    <n v="22"/>
    <d v="2023-10-23T00:00:00"/>
    <x v="2"/>
    <s v="Afghanistan"/>
    <x v="4"/>
    <x v="4"/>
    <x v="0"/>
    <s v="Chasing Won"/>
    <n v="282"/>
    <n v="2"/>
    <n v="7"/>
    <n v="50"/>
    <n v="2"/>
    <n v="17"/>
    <n v="9"/>
    <n v="26"/>
    <n v="5.64"/>
    <x v="6"/>
    <n v="0"/>
    <n v="8"/>
    <n v="1"/>
    <n v="9"/>
    <n v="1"/>
    <n v="0"/>
    <n v="1"/>
    <s v="Loss"/>
    <n v="1"/>
    <n v="0"/>
    <x v="1"/>
  </r>
  <r>
    <n v="44"/>
    <d v="2023-11-11T00:00:00"/>
    <s v="Kolkata"/>
    <s v="Eden Gardens"/>
    <s v="England"/>
    <s v="Pakistan"/>
    <s v="England"/>
    <s v="England"/>
    <x v="1"/>
    <n v="244"/>
    <n v="337"/>
    <n v="581"/>
    <n v="19"/>
    <n v="62"/>
    <n v="14"/>
    <n v="76"/>
    <s v="93 Runs"/>
    <n v="93"/>
    <s v="Runs"/>
    <s v="Batting First Won"/>
    <n v="1"/>
    <s v="Toss Winner Won"/>
    <s v="David Willey"/>
    <x v="1"/>
    <x v="1"/>
    <m/>
    <n v="22"/>
    <d v="2023-10-23T00:00:00"/>
    <x v="4"/>
    <s v="Pakistan"/>
    <x v="4"/>
    <x v="4"/>
    <x v="0"/>
    <s v="Chasing Won"/>
    <n v="286"/>
    <n v="7"/>
    <n v="2"/>
    <n v="49"/>
    <n v="0"/>
    <n v="28"/>
    <n v="3"/>
    <n v="31"/>
    <n v="5.83"/>
    <x v="6"/>
    <n v="0"/>
    <n v="12"/>
    <n v="1"/>
    <n v="17"/>
    <n v="1"/>
    <n v="1"/>
    <n v="0"/>
    <s v="Win"/>
    <n v="0"/>
    <n v="0"/>
    <x v="1"/>
  </r>
  <r>
    <n v="45"/>
    <d v="2023-11-12T00:00:00"/>
    <s v="Bangalore"/>
    <s v="M. Chinnaswamy Stadium"/>
    <s v="India"/>
    <s v="Netherlands"/>
    <s v="India"/>
    <s v="India"/>
    <x v="1"/>
    <n v="410"/>
    <n v="250"/>
    <n v="660"/>
    <n v="14"/>
    <n v="56"/>
    <n v="25"/>
    <n v="81"/>
    <s v="160 Runs"/>
    <n v="160"/>
    <s v="Runs"/>
    <s v="Batting First Won"/>
    <n v="1"/>
    <s v="Toss Winner Won"/>
    <s v="Shreyas Iyer"/>
    <x v="5"/>
    <x v="1"/>
    <m/>
    <n v="23"/>
    <d v="2023-10-24T00:00:00"/>
    <x v="6"/>
    <s v="Bangladesh"/>
    <x v="8"/>
    <x v="8"/>
    <x v="1"/>
    <s v="Batting First Won"/>
    <n v="382"/>
    <n v="10"/>
    <n v="5"/>
    <n v="50"/>
    <n v="2"/>
    <n v="26"/>
    <n v="19"/>
    <n v="45"/>
    <n v="7.64"/>
    <x v="3"/>
    <n v="0"/>
    <n v="13"/>
    <n v="2"/>
    <n v="17"/>
    <n v="1"/>
    <n v="1"/>
    <n v="0"/>
    <s v="Win"/>
    <n v="1"/>
    <n v="1"/>
    <x v="1"/>
  </r>
  <r>
    <n v="46"/>
    <d v="2023-11-15T00:00:00"/>
    <s v="Mumbai"/>
    <s v="Wankhede Stadium"/>
    <s v="India"/>
    <s v="New Zealand"/>
    <s v="India"/>
    <s v="India"/>
    <x v="1"/>
    <n v="397"/>
    <n v="327"/>
    <n v="724"/>
    <n v="14"/>
    <n v="59"/>
    <n v="30"/>
    <n v="89"/>
    <s v="70 Runs"/>
    <n v="70"/>
    <s v="Runs"/>
    <s v="Batting First Won"/>
    <n v="1"/>
    <s v="Toss Winner Won"/>
    <s v="Mohammed Shami"/>
    <x v="1"/>
    <x v="1"/>
    <m/>
    <n v="23"/>
    <d v="2023-10-24T00:00:00"/>
    <x v="5"/>
    <s v="South Africa"/>
    <x v="8"/>
    <x v="8"/>
    <x v="1"/>
    <s v="Batting First Won"/>
    <n v="233"/>
    <n v="5"/>
    <n v="10"/>
    <n v="46.4"/>
    <n v="0"/>
    <n v="25"/>
    <n v="5"/>
    <n v="30"/>
    <n v="4.99"/>
    <x v="3"/>
    <n v="0"/>
    <n v="7"/>
    <n v="0"/>
    <n v="10"/>
    <n v="1"/>
    <n v="0"/>
    <n v="1"/>
    <s v="Loss"/>
    <n v="0"/>
    <n v="0"/>
    <x v="1"/>
  </r>
  <r>
    <n v="47"/>
    <d v="2023-11-16T00:00:00"/>
    <s v="Kolkata"/>
    <s v="Eden Gardens"/>
    <s v="Australia"/>
    <s v="South Africa"/>
    <s v="South Africa"/>
    <s v="Australia"/>
    <x v="1"/>
    <n v="215"/>
    <n v="212"/>
    <n v="427"/>
    <n v="17"/>
    <n v="37"/>
    <n v="14"/>
    <n v="51"/>
    <s v="3 Wickets"/>
    <n v="3"/>
    <s v="Wickets"/>
    <s v="Chasing Won"/>
    <n v="0"/>
    <s v="Toss Winner Lost"/>
    <s v="Travis Head"/>
    <x v="0"/>
    <x v="3"/>
    <m/>
    <n v="24"/>
    <d v="2023-10-25T00:00:00"/>
    <x v="8"/>
    <s v="Netherlands"/>
    <x v="3"/>
    <x v="3"/>
    <x v="1"/>
    <s v="Batting First Won"/>
    <n v="399"/>
    <n v="10"/>
    <n v="8"/>
    <n v="50"/>
    <n v="0"/>
    <n v="42"/>
    <n v="15"/>
    <n v="57"/>
    <n v="7.98"/>
    <x v="7"/>
    <n v="0"/>
    <n v="7"/>
    <n v="0"/>
    <n v="7"/>
    <n v="1"/>
    <n v="1"/>
    <n v="0"/>
    <s v="Win"/>
    <n v="1"/>
    <n v="1"/>
    <x v="1"/>
  </r>
  <r>
    <n v="48"/>
    <d v="2023-11-19T00:00:00"/>
    <s v="Ahmedabad"/>
    <s v="Narendra Modi Stadium"/>
    <s v="India"/>
    <s v="Australia"/>
    <s v="Australia"/>
    <s v="Australia"/>
    <x v="0"/>
    <n v="240"/>
    <n v="241"/>
    <n v="481"/>
    <n v="14"/>
    <n v="35"/>
    <n v="8"/>
    <n v="43"/>
    <s v="6 Wickets"/>
    <n v="6"/>
    <s v="Wickets"/>
    <s v="Chasing Won"/>
    <n v="1"/>
    <s v="Toss Winner Won"/>
    <s v="Travis Head"/>
    <x v="0"/>
    <x v="2"/>
    <m/>
    <n v="24"/>
    <d v="2023-10-25T00:00:00"/>
    <x v="3"/>
    <s v="Australia"/>
    <x v="3"/>
    <x v="3"/>
    <x v="1"/>
    <s v="Batting First Won"/>
    <n v="90"/>
    <n v="8"/>
    <n v="10"/>
    <n v="21"/>
    <n v="0"/>
    <n v="13"/>
    <n v="0"/>
    <n v="13"/>
    <n v="4.28"/>
    <x v="7"/>
    <n v="0"/>
    <n v="11"/>
    <n v="1"/>
    <n v="12"/>
    <n v="1"/>
    <n v="0"/>
    <n v="1"/>
    <s v="Loss"/>
    <n v="0"/>
    <n v="0"/>
    <x v="1"/>
  </r>
  <r>
    <m/>
    <m/>
    <m/>
    <m/>
    <m/>
    <m/>
    <m/>
    <m/>
    <x v="2"/>
    <m/>
    <m/>
    <m/>
    <m/>
    <m/>
    <m/>
    <m/>
    <m/>
    <m/>
    <m/>
    <m/>
    <m/>
    <m/>
    <m/>
    <x v="6"/>
    <x v="4"/>
    <m/>
    <n v="25"/>
    <d v="2023-10-26T00:00:00"/>
    <x v="0"/>
    <s v="Sri Lanka"/>
    <x v="7"/>
    <x v="7"/>
    <x v="0"/>
    <s v="Chasing Won"/>
    <n v="156"/>
    <n v="2"/>
    <n v="10"/>
    <n v="33.200000000000003"/>
    <n v="0"/>
    <n v="19"/>
    <n v="1"/>
    <n v="20"/>
    <n v="4.68"/>
    <x v="9"/>
    <n v="0"/>
    <n v="3"/>
    <n v="0"/>
    <n v="3"/>
    <n v="1"/>
    <n v="0"/>
    <n v="1"/>
    <s v="Loss"/>
    <n v="1"/>
    <n v="0"/>
    <x v="1"/>
  </r>
  <r>
    <m/>
    <m/>
    <m/>
    <m/>
    <m/>
    <m/>
    <m/>
    <m/>
    <x v="2"/>
    <m/>
    <m/>
    <m/>
    <m/>
    <m/>
    <m/>
    <m/>
    <m/>
    <m/>
    <m/>
    <m/>
    <m/>
    <m/>
    <m/>
    <x v="6"/>
    <x v="4"/>
    <m/>
    <n v="25"/>
    <d v="2023-10-26T00:00:00"/>
    <x v="7"/>
    <s v="England"/>
    <x v="7"/>
    <x v="7"/>
    <x v="0"/>
    <s v="Chasing Won"/>
    <n v="160"/>
    <n v="10"/>
    <n v="2"/>
    <n v="25.4"/>
    <n v="2"/>
    <n v="17"/>
    <n v="3"/>
    <n v="20"/>
    <n v="6.23"/>
    <x v="9"/>
    <n v="0"/>
    <n v="4"/>
    <n v="0"/>
    <n v="7"/>
    <n v="1"/>
    <n v="1"/>
    <n v="0"/>
    <s v="Win"/>
    <n v="0"/>
    <n v="0"/>
    <x v="1"/>
  </r>
  <r>
    <m/>
    <m/>
    <m/>
    <m/>
    <m/>
    <m/>
    <m/>
    <m/>
    <x v="2"/>
    <m/>
    <m/>
    <m/>
    <m/>
    <m/>
    <m/>
    <m/>
    <m/>
    <m/>
    <m/>
    <m/>
    <m/>
    <m/>
    <m/>
    <x v="6"/>
    <x v="4"/>
    <m/>
    <n v="26"/>
    <d v="2023-10-27T00:00:00"/>
    <x v="2"/>
    <s v="South Africa"/>
    <x v="4"/>
    <x v="4"/>
    <x v="0"/>
    <s v="Chasing Won"/>
    <n v="270"/>
    <n v="9"/>
    <n v="10"/>
    <n v="46.4"/>
    <n v="1"/>
    <n v="23"/>
    <n v="8"/>
    <n v="31"/>
    <n v="5.78"/>
    <x v="3"/>
    <n v="1"/>
    <n v="15"/>
    <n v="0"/>
    <n v="21"/>
    <n v="1"/>
    <n v="0"/>
    <n v="1"/>
    <s v="Loss"/>
    <n v="1"/>
    <n v="0"/>
    <x v="1"/>
  </r>
  <r>
    <m/>
    <m/>
    <m/>
    <m/>
    <m/>
    <m/>
    <m/>
    <m/>
    <x v="2"/>
    <m/>
    <m/>
    <m/>
    <m/>
    <m/>
    <m/>
    <m/>
    <m/>
    <m/>
    <m/>
    <m/>
    <m/>
    <m/>
    <m/>
    <x v="6"/>
    <x v="4"/>
    <m/>
    <n v="26"/>
    <d v="2023-10-27T00:00:00"/>
    <x v="6"/>
    <s v="Pakistan"/>
    <x v="4"/>
    <x v="4"/>
    <x v="0"/>
    <s v="Chasing Won"/>
    <n v="271"/>
    <n v="10"/>
    <n v="9"/>
    <n v="47.2"/>
    <n v="1"/>
    <n v="21"/>
    <n v="8"/>
    <n v="29"/>
    <n v="5.22"/>
    <x v="3"/>
    <n v="4"/>
    <n v="11"/>
    <n v="4"/>
    <n v="19"/>
    <n v="1"/>
    <n v="1"/>
    <n v="0"/>
    <s v="Win"/>
    <n v="0"/>
    <n v="0"/>
    <x v="1"/>
  </r>
  <r>
    <m/>
    <m/>
    <m/>
    <m/>
    <m/>
    <m/>
    <m/>
    <m/>
    <x v="2"/>
    <m/>
    <m/>
    <m/>
    <m/>
    <m/>
    <m/>
    <m/>
    <m/>
    <m/>
    <m/>
    <m/>
    <m/>
    <m/>
    <m/>
    <x v="6"/>
    <x v="4"/>
    <m/>
    <n v="27"/>
    <d v="2023-10-28T00:00:00"/>
    <x v="8"/>
    <s v="New Zealand"/>
    <x v="2"/>
    <x v="2"/>
    <x v="1"/>
    <s v="Batting First Won"/>
    <n v="388"/>
    <n v="9"/>
    <n v="10"/>
    <n v="49.2"/>
    <n v="0"/>
    <n v="32"/>
    <n v="20"/>
    <n v="52"/>
    <n v="7.86"/>
    <x v="7"/>
    <n v="0"/>
    <n v="22"/>
    <n v="0"/>
    <n v="26"/>
    <n v="1"/>
    <n v="1"/>
    <n v="0"/>
    <s v="Win"/>
    <n v="0"/>
    <n v="0"/>
    <x v="0"/>
  </r>
  <r>
    <m/>
    <m/>
    <m/>
    <m/>
    <m/>
    <m/>
    <m/>
    <m/>
    <x v="2"/>
    <m/>
    <m/>
    <m/>
    <m/>
    <m/>
    <m/>
    <m/>
    <m/>
    <m/>
    <m/>
    <m/>
    <m/>
    <m/>
    <m/>
    <x v="6"/>
    <x v="4"/>
    <m/>
    <n v="27"/>
    <d v="2023-10-28T00:00:00"/>
    <x v="1"/>
    <s v="Australia"/>
    <x v="2"/>
    <x v="2"/>
    <x v="1"/>
    <s v="Batting First Won"/>
    <n v="383"/>
    <n v="10"/>
    <n v="9"/>
    <n v="50"/>
    <n v="0"/>
    <n v="33"/>
    <n v="12"/>
    <n v="45"/>
    <n v="7.66"/>
    <x v="7"/>
    <n v="1"/>
    <n v="6"/>
    <n v="2"/>
    <n v="9"/>
    <n v="1"/>
    <n v="0"/>
    <n v="1"/>
    <s v="Loss"/>
    <n v="1"/>
    <n v="0"/>
    <x v="0"/>
  </r>
  <r>
    <m/>
    <m/>
    <m/>
    <m/>
    <m/>
    <m/>
    <m/>
    <m/>
    <x v="2"/>
    <m/>
    <m/>
    <m/>
    <m/>
    <m/>
    <m/>
    <m/>
    <m/>
    <m/>
    <m/>
    <m/>
    <m/>
    <m/>
    <m/>
    <x v="6"/>
    <x v="4"/>
    <m/>
    <n v="28"/>
    <d v="2023-10-28T00:00:00"/>
    <x v="3"/>
    <s v="Bangladesh"/>
    <x v="9"/>
    <x v="9"/>
    <x v="1"/>
    <s v="Batting First Won"/>
    <n v="142"/>
    <n v="10"/>
    <n v="10"/>
    <n v="42.2"/>
    <n v="5"/>
    <n v="22"/>
    <n v="2"/>
    <n v="24"/>
    <n v="3.35"/>
    <x v="8"/>
    <n v="0"/>
    <n v="6"/>
    <n v="0"/>
    <n v="6"/>
    <n v="1"/>
    <n v="1"/>
    <n v="0"/>
    <s v="Win"/>
    <n v="1"/>
    <n v="1"/>
    <x v="1"/>
  </r>
  <r>
    <m/>
    <m/>
    <m/>
    <m/>
    <m/>
    <m/>
    <m/>
    <m/>
    <x v="2"/>
    <m/>
    <m/>
    <m/>
    <m/>
    <m/>
    <m/>
    <m/>
    <m/>
    <m/>
    <m/>
    <m/>
    <m/>
    <m/>
    <m/>
    <x v="6"/>
    <x v="4"/>
    <m/>
    <n v="28"/>
    <d v="2023-10-28T00:00:00"/>
    <x v="5"/>
    <s v="Netherlands"/>
    <x v="9"/>
    <x v="9"/>
    <x v="1"/>
    <s v="Batting First Won"/>
    <n v="229"/>
    <n v="10"/>
    <n v="10"/>
    <n v="50"/>
    <n v="3"/>
    <n v="16"/>
    <n v="2"/>
    <n v="18"/>
    <n v="4.58"/>
    <x v="8"/>
    <n v="4"/>
    <n v="7"/>
    <n v="0"/>
    <n v="12"/>
    <n v="1"/>
    <n v="0"/>
    <n v="1"/>
    <s v="Loss"/>
    <n v="0"/>
    <n v="0"/>
    <x v="1"/>
  </r>
  <r>
    <m/>
    <m/>
    <m/>
    <m/>
    <m/>
    <m/>
    <m/>
    <m/>
    <x v="2"/>
    <m/>
    <m/>
    <m/>
    <m/>
    <m/>
    <m/>
    <m/>
    <m/>
    <m/>
    <m/>
    <m/>
    <m/>
    <m/>
    <m/>
    <x v="6"/>
    <x v="4"/>
    <m/>
    <n v="29"/>
    <d v="2023-10-29T00:00:00"/>
    <x v="9"/>
    <s v="England"/>
    <x v="5"/>
    <x v="5"/>
    <x v="1"/>
    <s v="Batting First Won"/>
    <n v="229"/>
    <n v="10"/>
    <n v="9"/>
    <n v="50"/>
    <n v="4"/>
    <n v="20"/>
    <n v="4"/>
    <n v="24"/>
    <n v="4.58"/>
    <x v="4"/>
    <n v="0"/>
    <n v="6"/>
    <n v="0"/>
    <n v="8"/>
    <n v="1"/>
    <n v="1"/>
    <n v="0"/>
    <s v="Win"/>
    <n v="0"/>
    <n v="0"/>
    <x v="0"/>
  </r>
  <r>
    <m/>
    <m/>
    <m/>
    <m/>
    <m/>
    <m/>
    <m/>
    <m/>
    <x v="2"/>
    <m/>
    <m/>
    <m/>
    <m/>
    <m/>
    <m/>
    <m/>
    <m/>
    <m/>
    <m/>
    <m/>
    <m/>
    <m/>
    <m/>
    <x v="6"/>
    <x v="4"/>
    <m/>
    <n v="29"/>
    <d v="2023-10-29T00:00:00"/>
    <x v="0"/>
    <s v="India"/>
    <x v="5"/>
    <x v="5"/>
    <x v="1"/>
    <s v="Batting First Won"/>
    <n v="129"/>
    <n v="9"/>
    <n v="10"/>
    <n v="34.5"/>
    <n v="5"/>
    <n v="10"/>
    <n v="3"/>
    <n v="13"/>
    <n v="3.7"/>
    <x v="4"/>
    <n v="4"/>
    <n v="3"/>
    <n v="0"/>
    <n v="7"/>
    <n v="1"/>
    <n v="0"/>
    <n v="1"/>
    <s v="Loss"/>
    <n v="1"/>
    <n v="0"/>
    <x v="0"/>
  </r>
  <r>
    <m/>
    <m/>
    <m/>
    <m/>
    <m/>
    <m/>
    <m/>
    <m/>
    <x v="2"/>
    <m/>
    <m/>
    <m/>
    <m/>
    <m/>
    <m/>
    <m/>
    <m/>
    <m/>
    <m/>
    <m/>
    <m/>
    <m/>
    <m/>
    <x v="6"/>
    <x v="4"/>
    <m/>
    <n v="30"/>
    <d v="2023-10-30T00:00:00"/>
    <x v="7"/>
    <s v="Afghanistan"/>
    <x v="6"/>
    <x v="6"/>
    <x v="0"/>
    <s v="Chasing Won"/>
    <n v="241"/>
    <n v="3"/>
    <n v="10"/>
    <n v="49.3"/>
    <n v="0"/>
    <n v="19"/>
    <n v="2"/>
    <n v="21"/>
    <n v="4.8600000000000003"/>
    <x v="6"/>
    <n v="0"/>
    <n v="9"/>
    <n v="0"/>
    <n v="10"/>
    <n v="1"/>
    <n v="0"/>
    <n v="1"/>
    <s v="Loss"/>
    <n v="0"/>
    <n v="0"/>
    <x v="0"/>
  </r>
  <r>
    <m/>
    <m/>
    <m/>
    <m/>
    <m/>
    <m/>
    <m/>
    <m/>
    <x v="2"/>
    <m/>
    <m/>
    <m/>
    <m/>
    <m/>
    <m/>
    <m/>
    <m/>
    <m/>
    <m/>
    <m/>
    <m/>
    <m/>
    <m/>
    <x v="6"/>
    <x v="4"/>
    <m/>
    <n v="30"/>
    <d v="2023-10-30T00:00:00"/>
    <x v="4"/>
    <s v="Sri Lanka"/>
    <x v="6"/>
    <x v="6"/>
    <x v="0"/>
    <s v="Chasing Won"/>
    <n v="242"/>
    <n v="10"/>
    <n v="3"/>
    <n v="45.2"/>
    <n v="1"/>
    <n v="19"/>
    <n v="5"/>
    <n v="24"/>
    <n v="5.33"/>
    <x v="6"/>
    <n v="0"/>
    <n v="9"/>
    <n v="0"/>
    <n v="11"/>
    <n v="1"/>
    <n v="1"/>
    <n v="0"/>
    <s v="Win"/>
    <n v="1"/>
    <n v="1"/>
    <x v="0"/>
  </r>
  <r>
    <m/>
    <m/>
    <m/>
    <m/>
    <m/>
    <m/>
    <m/>
    <m/>
    <x v="2"/>
    <m/>
    <m/>
    <m/>
    <m/>
    <m/>
    <m/>
    <m/>
    <m/>
    <m/>
    <m/>
    <m/>
    <m/>
    <m/>
    <m/>
    <x v="6"/>
    <x v="4"/>
    <m/>
    <n v="31"/>
    <d v="2023-10-31T00:00:00"/>
    <x v="5"/>
    <s v="Pakistan"/>
    <x v="9"/>
    <x v="9"/>
    <x v="0"/>
    <s v="Chasing Won"/>
    <n v="205"/>
    <n v="10"/>
    <n v="3"/>
    <n v="32.299999999999997"/>
    <n v="2"/>
    <n v="19"/>
    <n v="3"/>
    <n v="22"/>
    <n v="6.3"/>
    <x v="1"/>
    <n v="0"/>
    <n v="2"/>
    <n v="0"/>
    <n v="4"/>
    <n v="1"/>
    <n v="0"/>
    <n v="1"/>
    <s v="Loss"/>
    <n v="1"/>
    <n v="0"/>
    <x v="1"/>
  </r>
  <r>
    <m/>
    <m/>
    <m/>
    <m/>
    <m/>
    <m/>
    <m/>
    <m/>
    <x v="2"/>
    <m/>
    <m/>
    <m/>
    <m/>
    <m/>
    <m/>
    <m/>
    <m/>
    <m/>
    <m/>
    <m/>
    <m/>
    <m/>
    <m/>
    <x v="6"/>
    <x v="4"/>
    <m/>
    <n v="31"/>
    <d v="2023-10-31T00:00:00"/>
    <x v="2"/>
    <s v="Bangladesh"/>
    <x v="9"/>
    <x v="9"/>
    <x v="0"/>
    <s v="Chasing Won"/>
    <n v="204"/>
    <n v="3"/>
    <n v="10"/>
    <n v="45.1"/>
    <n v="2"/>
    <n v="19"/>
    <n v="9"/>
    <n v="28"/>
    <n v="4.51"/>
    <x v="1"/>
    <n v="0"/>
    <n v="5"/>
    <n v="0"/>
    <n v="9"/>
    <n v="1"/>
    <n v="1"/>
    <n v="0"/>
    <s v="Win"/>
    <n v="0"/>
    <n v="0"/>
    <x v="1"/>
  </r>
  <r>
    <m/>
    <m/>
    <m/>
    <m/>
    <m/>
    <m/>
    <m/>
    <m/>
    <x v="2"/>
    <m/>
    <m/>
    <m/>
    <m/>
    <m/>
    <m/>
    <m/>
    <m/>
    <m/>
    <m/>
    <m/>
    <m/>
    <m/>
    <m/>
    <x v="6"/>
    <x v="4"/>
    <m/>
    <n v="32"/>
    <d v="2023-11-01T00:00:00"/>
    <x v="6"/>
    <s v="New Zealand"/>
    <x v="6"/>
    <x v="6"/>
    <x v="1"/>
    <s v="Batting First Won"/>
    <n v="357"/>
    <n v="10"/>
    <n v="4"/>
    <n v="50"/>
    <n v="4"/>
    <n v="26"/>
    <n v="15"/>
    <n v="41"/>
    <n v="7.14"/>
    <x v="3"/>
    <n v="4"/>
    <n v="6"/>
    <n v="1"/>
    <n v="12"/>
    <n v="1"/>
    <n v="1"/>
    <n v="0"/>
    <s v="Win"/>
    <n v="0"/>
    <n v="0"/>
    <x v="0"/>
  </r>
  <r>
    <m/>
    <m/>
    <m/>
    <m/>
    <m/>
    <m/>
    <m/>
    <m/>
    <x v="2"/>
    <m/>
    <m/>
    <m/>
    <m/>
    <m/>
    <m/>
    <m/>
    <m/>
    <m/>
    <m/>
    <m/>
    <m/>
    <m/>
    <m/>
    <x v="6"/>
    <x v="4"/>
    <m/>
    <n v="32"/>
    <d v="2023-11-01T00:00:00"/>
    <x v="1"/>
    <s v="South Africa"/>
    <x v="6"/>
    <x v="6"/>
    <x v="1"/>
    <s v="Batting First Won"/>
    <n v="167"/>
    <n v="4"/>
    <n v="10"/>
    <n v="35.299999999999997"/>
    <n v="1"/>
    <n v="17"/>
    <n v="4"/>
    <n v="21"/>
    <n v="4.7"/>
    <x v="3"/>
    <n v="0"/>
    <n v="8"/>
    <n v="0"/>
    <n v="12"/>
    <n v="1"/>
    <n v="0"/>
    <n v="1"/>
    <s v="Loss"/>
    <n v="1"/>
    <n v="0"/>
    <x v="0"/>
  </r>
  <r>
    <m/>
    <m/>
    <m/>
    <m/>
    <m/>
    <m/>
    <m/>
    <m/>
    <x v="2"/>
    <m/>
    <m/>
    <m/>
    <m/>
    <m/>
    <m/>
    <m/>
    <m/>
    <m/>
    <m/>
    <m/>
    <m/>
    <m/>
    <m/>
    <x v="6"/>
    <x v="4"/>
    <m/>
    <n v="33"/>
    <d v="2023-11-02T00:00:00"/>
    <x v="9"/>
    <s v="Sri Lanka"/>
    <x v="8"/>
    <x v="8"/>
    <x v="1"/>
    <s v="Batting First Won"/>
    <n v="357"/>
    <n v="10"/>
    <n v="8"/>
    <n v="50"/>
    <n v="4"/>
    <n v="31"/>
    <n v="9"/>
    <n v="40"/>
    <n v="7.14"/>
    <x v="4"/>
    <n v="5"/>
    <n v="4"/>
    <n v="0"/>
    <n v="10"/>
    <n v="1"/>
    <n v="1"/>
    <n v="0"/>
    <s v="Win"/>
    <n v="0"/>
    <n v="0"/>
    <x v="0"/>
  </r>
  <r>
    <m/>
    <m/>
    <m/>
    <m/>
    <m/>
    <m/>
    <m/>
    <m/>
    <x v="2"/>
    <m/>
    <m/>
    <m/>
    <m/>
    <m/>
    <m/>
    <m/>
    <m/>
    <m/>
    <m/>
    <m/>
    <m/>
    <m/>
    <m/>
    <x v="6"/>
    <x v="4"/>
    <m/>
    <n v="33"/>
    <d v="2023-11-02T00:00:00"/>
    <x v="7"/>
    <s v="India"/>
    <x v="8"/>
    <x v="8"/>
    <x v="1"/>
    <s v="Batting First Won"/>
    <n v="55"/>
    <n v="8"/>
    <n v="10"/>
    <n v="19.399999999999999"/>
    <n v="2"/>
    <n v="6"/>
    <n v="0"/>
    <n v="6"/>
    <n v="2.79"/>
    <x v="4"/>
    <n v="5"/>
    <n v="8"/>
    <n v="1"/>
    <n v="20"/>
    <n v="1"/>
    <n v="0"/>
    <n v="1"/>
    <s v="Loss"/>
    <n v="1"/>
    <n v="0"/>
    <x v="0"/>
  </r>
  <r>
    <m/>
    <m/>
    <m/>
    <m/>
    <m/>
    <m/>
    <m/>
    <m/>
    <x v="2"/>
    <m/>
    <m/>
    <m/>
    <m/>
    <m/>
    <m/>
    <m/>
    <m/>
    <m/>
    <m/>
    <m/>
    <m/>
    <m/>
    <m/>
    <x v="6"/>
    <x v="4"/>
    <m/>
    <n v="34"/>
    <d v="2023-11-03T00:00:00"/>
    <x v="3"/>
    <s v="Afghanistan"/>
    <x v="5"/>
    <x v="5"/>
    <x v="0"/>
    <s v="Chasing Won"/>
    <n v="181"/>
    <n v="10"/>
    <n v="3"/>
    <n v="31.3"/>
    <n v="0"/>
    <n v="19"/>
    <n v="0"/>
    <n v="19"/>
    <n v="5.74"/>
    <x v="6"/>
    <n v="0"/>
    <n v="7"/>
    <n v="2"/>
    <n v="12"/>
    <n v="1"/>
    <n v="0"/>
    <n v="1"/>
    <s v="Loss"/>
    <n v="1"/>
    <n v="0"/>
    <x v="1"/>
  </r>
  <r>
    <m/>
    <m/>
    <m/>
    <m/>
    <m/>
    <m/>
    <m/>
    <m/>
    <x v="2"/>
    <m/>
    <m/>
    <m/>
    <m/>
    <m/>
    <m/>
    <m/>
    <m/>
    <m/>
    <m/>
    <m/>
    <m/>
    <m/>
    <m/>
    <x v="6"/>
    <x v="4"/>
    <m/>
    <n v="34"/>
    <d v="2023-11-03T00:00:00"/>
    <x v="4"/>
    <s v="Netherlands"/>
    <x v="5"/>
    <x v="5"/>
    <x v="0"/>
    <s v="Chasing Won"/>
    <n v="179"/>
    <n v="3"/>
    <n v="10"/>
    <n v="46.3"/>
    <n v="1"/>
    <n v="21"/>
    <n v="0"/>
    <n v="21"/>
    <n v="3.84"/>
    <x v="6"/>
    <n v="0"/>
    <n v="14"/>
    <n v="0"/>
    <n v="16"/>
    <n v="1"/>
    <n v="1"/>
    <n v="0"/>
    <s v="Win"/>
    <n v="0"/>
    <n v="0"/>
    <x v="1"/>
  </r>
  <r>
    <m/>
    <m/>
    <m/>
    <m/>
    <m/>
    <m/>
    <m/>
    <m/>
    <x v="2"/>
    <m/>
    <m/>
    <m/>
    <m/>
    <m/>
    <m/>
    <m/>
    <m/>
    <m/>
    <m/>
    <m/>
    <m/>
    <m/>
    <m/>
    <x v="6"/>
    <x v="4"/>
    <m/>
    <n v="35"/>
    <d v="2023-11-04T00:00:00"/>
    <x v="1"/>
    <s v="Pakistan"/>
    <x v="7"/>
    <x v="7"/>
    <x v="2"/>
    <s v="DLS Result"/>
    <n v="401"/>
    <n v="1"/>
    <n v="6"/>
    <n v="50"/>
    <n v="1"/>
    <n v="46"/>
    <n v="8"/>
    <n v="54"/>
    <n v="8.02"/>
    <x v="1"/>
    <n v="0"/>
    <n v="3"/>
    <n v="0"/>
    <n v="4"/>
    <n v="1"/>
    <n v="0"/>
    <n v="1"/>
    <s v="Loss"/>
    <n v="0"/>
    <n v="0"/>
    <x v="0"/>
  </r>
  <r>
    <m/>
    <m/>
    <m/>
    <m/>
    <m/>
    <m/>
    <m/>
    <m/>
    <x v="2"/>
    <m/>
    <m/>
    <m/>
    <m/>
    <m/>
    <m/>
    <m/>
    <m/>
    <m/>
    <m/>
    <m/>
    <m/>
    <m/>
    <m/>
    <x v="6"/>
    <x v="4"/>
    <m/>
    <n v="35"/>
    <d v="2023-11-04T00:00:00"/>
    <x v="2"/>
    <s v="New Zealand"/>
    <x v="7"/>
    <x v="7"/>
    <x v="2"/>
    <s v="DLS Result"/>
    <n v="200"/>
    <n v="6"/>
    <n v="1"/>
    <n v="25.3"/>
    <n v="0"/>
    <n v="15"/>
    <n v="13"/>
    <n v="28"/>
    <n v="7.84"/>
    <x v="1"/>
    <n v="0"/>
    <n v="17"/>
    <n v="1"/>
    <n v="26"/>
    <n v="1"/>
    <n v="1"/>
    <n v="0"/>
    <s v="Win"/>
    <n v="1"/>
    <n v="1"/>
    <x v="0"/>
  </r>
  <r>
    <m/>
    <m/>
    <m/>
    <m/>
    <m/>
    <m/>
    <m/>
    <m/>
    <x v="2"/>
    <m/>
    <m/>
    <m/>
    <m/>
    <m/>
    <m/>
    <m/>
    <m/>
    <m/>
    <m/>
    <m/>
    <m/>
    <m/>
    <m/>
    <x v="6"/>
    <x v="4"/>
    <m/>
    <n v="36"/>
    <d v="2023-11-04T00:00:00"/>
    <x v="8"/>
    <s v="England"/>
    <x v="0"/>
    <x v="0"/>
    <x v="1"/>
    <s v="Batting First Won"/>
    <n v="286"/>
    <n v="10"/>
    <n v="10"/>
    <n v="49.3"/>
    <n v="2"/>
    <n v="25"/>
    <n v="3"/>
    <n v="28"/>
    <n v="5.77"/>
    <x v="7"/>
    <n v="0"/>
    <n v="8"/>
    <n v="0"/>
    <n v="14"/>
    <n v="1"/>
    <n v="1"/>
    <n v="0"/>
    <s v="Win"/>
    <n v="0"/>
    <n v="0"/>
    <x v="0"/>
  </r>
  <r>
    <m/>
    <m/>
    <m/>
    <m/>
    <m/>
    <m/>
    <m/>
    <m/>
    <x v="2"/>
    <m/>
    <m/>
    <m/>
    <m/>
    <m/>
    <m/>
    <m/>
    <m/>
    <m/>
    <m/>
    <m/>
    <m/>
    <m/>
    <m/>
    <x v="6"/>
    <x v="4"/>
    <m/>
    <n v="36"/>
    <d v="2023-11-04T00:00:00"/>
    <x v="0"/>
    <s v="Australia"/>
    <x v="0"/>
    <x v="0"/>
    <x v="1"/>
    <s v="Batting First Won"/>
    <n v="253"/>
    <n v="10"/>
    <n v="10"/>
    <n v="48.1"/>
    <n v="1"/>
    <n v="22"/>
    <n v="6"/>
    <n v="28"/>
    <n v="5.25"/>
    <x v="7"/>
    <n v="0"/>
    <n v="4"/>
    <n v="0"/>
    <n v="10"/>
    <n v="1"/>
    <n v="0"/>
    <n v="1"/>
    <s v="Loss"/>
    <n v="1"/>
    <n v="0"/>
    <x v="0"/>
  </r>
  <r>
    <m/>
    <m/>
    <m/>
    <m/>
    <m/>
    <m/>
    <m/>
    <m/>
    <x v="2"/>
    <m/>
    <m/>
    <m/>
    <m/>
    <m/>
    <m/>
    <m/>
    <m/>
    <m/>
    <m/>
    <m/>
    <m/>
    <m/>
    <m/>
    <x v="6"/>
    <x v="4"/>
    <m/>
    <n v="37"/>
    <d v="2023-11-05T00:00:00"/>
    <x v="9"/>
    <s v="South Africa"/>
    <x v="9"/>
    <x v="9"/>
    <x v="1"/>
    <s v="Batting First Won"/>
    <n v="326"/>
    <n v="10"/>
    <n v="5"/>
    <n v="50"/>
    <n v="3"/>
    <n v="35"/>
    <n v="6"/>
    <n v="41"/>
    <n v="6.52"/>
    <x v="4"/>
    <n v="0"/>
    <n v="2"/>
    <n v="0"/>
    <n v="2"/>
    <n v="1"/>
    <n v="1"/>
    <n v="0"/>
    <s v="Win"/>
    <n v="1"/>
    <n v="1"/>
    <x v="1"/>
  </r>
  <r>
    <m/>
    <m/>
    <m/>
    <m/>
    <m/>
    <m/>
    <m/>
    <m/>
    <x v="2"/>
    <m/>
    <m/>
    <m/>
    <m/>
    <m/>
    <m/>
    <m/>
    <m/>
    <m/>
    <m/>
    <m/>
    <m/>
    <m/>
    <m/>
    <x v="6"/>
    <x v="4"/>
    <m/>
    <n v="37"/>
    <d v="2023-11-05T00:00:00"/>
    <x v="6"/>
    <s v="India"/>
    <x v="9"/>
    <x v="9"/>
    <x v="1"/>
    <s v="Batting First Won"/>
    <n v="83"/>
    <n v="5"/>
    <n v="10"/>
    <n v="27.1"/>
    <n v="1"/>
    <n v="10"/>
    <n v="0"/>
    <n v="10"/>
    <n v="3.05"/>
    <x v="4"/>
    <n v="0"/>
    <n v="22"/>
    <n v="2"/>
    <n v="26"/>
    <n v="1"/>
    <n v="0"/>
    <n v="1"/>
    <s v="Loss"/>
    <n v="0"/>
    <n v="0"/>
    <x v="1"/>
  </r>
  <r>
    <m/>
    <m/>
    <m/>
    <m/>
    <m/>
    <m/>
    <m/>
    <m/>
    <x v="2"/>
    <m/>
    <m/>
    <m/>
    <m/>
    <m/>
    <m/>
    <m/>
    <m/>
    <m/>
    <m/>
    <m/>
    <m/>
    <m/>
    <m/>
    <x v="6"/>
    <x v="4"/>
    <m/>
    <n v="38"/>
    <d v="2023-11-06T00:00:00"/>
    <x v="7"/>
    <s v="Bangladesh"/>
    <x v="3"/>
    <x v="3"/>
    <x v="0"/>
    <s v="Chasing Won"/>
    <n v="279"/>
    <n v="7"/>
    <n v="10"/>
    <n v="49.3"/>
    <n v="2"/>
    <n v="27"/>
    <n v="7"/>
    <n v="34"/>
    <n v="5.63"/>
    <x v="2"/>
    <n v="0"/>
    <n v="10"/>
    <n v="0"/>
    <n v="23"/>
    <n v="1"/>
    <n v="0"/>
    <n v="1"/>
    <s v="Loss"/>
    <n v="0"/>
    <n v="0"/>
    <x v="0"/>
  </r>
  <r>
    <m/>
    <m/>
    <m/>
    <m/>
    <m/>
    <m/>
    <m/>
    <m/>
    <x v="2"/>
    <m/>
    <m/>
    <m/>
    <m/>
    <m/>
    <m/>
    <m/>
    <m/>
    <m/>
    <m/>
    <m/>
    <m/>
    <m/>
    <m/>
    <x v="6"/>
    <x v="4"/>
    <m/>
    <n v="38"/>
    <d v="2023-11-06T00:00:00"/>
    <x v="5"/>
    <s v="Sri Lanka"/>
    <x v="3"/>
    <x v="3"/>
    <x v="0"/>
    <s v="Chasing Won"/>
    <n v="282"/>
    <n v="10"/>
    <n v="7"/>
    <n v="41.1"/>
    <n v="1"/>
    <n v="33"/>
    <n v="7"/>
    <n v="40"/>
    <n v="6.85"/>
    <x v="2"/>
    <n v="0"/>
    <n v="4"/>
    <n v="0"/>
    <n v="6"/>
    <n v="1"/>
    <n v="1"/>
    <n v="0"/>
    <s v="Win"/>
    <n v="1"/>
    <n v="1"/>
    <x v="0"/>
  </r>
  <r>
    <m/>
    <m/>
    <m/>
    <m/>
    <m/>
    <m/>
    <m/>
    <m/>
    <x v="2"/>
    <m/>
    <m/>
    <m/>
    <m/>
    <m/>
    <m/>
    <m/>
    <m/>
    <m/>
    <m/>
    <m/>
    <m/>
    <m/>
    <m/>
    <x v="6"/>
    <x v="4"/>
    <m/>
    <n v="39"/>
    <d v="2023-11-07T00:00:00"/>
    <x v="8"/>
    <s v="Afghanistan"/>
    <x v="8"/>
    <x v="8"/>
    <x v="0"/>
    <s v="Chasing Won"/>
    <n v="293"/>
    <n v="5"/>
    <n v="7"/>
    <n v="46.5"/>
    <n v="0"/>
    <n v="30"/>
    <n v="12"/>
    <n v="42"/>
    <n v="6.25"/>
    <x v="7"/>
    <n v="0"/>
    <n v="10"/>
    <n v="1"/>
    <n v="16"/>
    <n v="1"/>
    <n v="1"/>
    <n v="0"/>
    <s v="Win"/>
    <n v="0"/>
    <n v="0"/>
    <x v="1"/>
  </r>
  <r>
    <m/>
    <m/>
    <m/>
    <m/>
    <m/>
    <m/>
    <m/>
    <m/>
    <x v="2"/>
    <m/>
    <m/>
    <m/>
    <m/>
    <m/>
    <m/>
    <m/>
    <m/>
    <m/>
    <m/>
    <m/>
    <m/>
    <m/>
    <m/>
    <x v="6"/>
    <x v="4"/>
    <m/>
    <n v="39"/>
    <d v="2023-11-07T00:00:00"/>
    <x v="4"/>
    <s v="Australia"/>
    <x v="8"/>
    <x v="8"/>
    <x v="0"/>
    <s v="Chasing Won"/>
    <n v="291"/>
    <n v="7"/>
    <n v="5"/>
    <n v="50"/>
    <n v="3"/>
    <n v="16"/>
    <n v="9"/>
    <n v="25"/>
    <n v="5.82"/>
    <x v="7"/>
    <n v="4"/>
    <n v="10"/>
    <n v="0"/>
    <n v="15"/>
    <n v="1"/>
    <n v="0"/>
    <n v="1"/>
    <s v="Loss"/>
    <n v="1"/>
    <n v="0"/>
    <x v="1"/>
  </r>
  <r>
    <m/>
    <m/>
    <m/>
    <m/>
    <m/>
    <m/>
    <m/>
    <m/>
    <x v="2"/>
    <m/>
    <m/>
    <m/>
    <m/>
    <m/>
    <m/>
    <m/>
    <m/>
    <m/>
    <m/>
    <m/>
    <m/>
    <m/>
    <m/>
    <x v="6"/>
    <x v="4"/>
    <m/>
    <n v="40"/>
    <d v="2023-11-08T00:00:00"/>
    <x v="0"/>
    <s v="Netherlands"/>
    <x v="6"/>
    <x v="6"/>
    <x v="1"/>
    <s v="Batting First Won"/>
    <n v="179"/>
    <n v="9"/>
    <n v="10"/>
    <n v="37.200000000000003"/>
    <n v="2"/>
    <n v="26"/>
    <n v="10"/>
    <n v="36"/>
    <n v="4.79"/>
    <x v="5"/>
    <n v="0"/>
    <n v="4"/>
    <n v="0"/>
    <n v="8"/>
    <n v="1"/>
    <n v="1"/>
    <n v="0"/>
    <s v="Win"/>
    <n v="1"/>
    <n v="1"/>
    <x v="1"/>
  </r>
  <r>
    <m/>
    <m/>
    <m/>
    <m/>
    <m/>
    <m/>
    <m/>
    <m/>
    <x v="2"/>
    <m/>
    <m/>
    <m/>
    <m/>
    <m/>
    <m/>
    <m/>
    <m/>
    <m/>
    <m/>
    <m/>
    <m/>
    <m/>
    <m/>
    <x v="6"/>
    <x v="4"/>
    <m/>
    <n v="40"/>
    <d v="2023-11-08T00:00:00"/>
    <x v="3"/>
    <s v="England"/>
    <x v="6"/>
    <x v="6"/>
    <x v="1"/>
    <s v="Batting First Won"/>
    <n v="339"/>
    <n v="10"/>
    <n v="9"/>
    <n v="50"/>
    <n v="0"/>
    <n v="15"/>
    <n v="6"/>
    <n v="21"/>
    <n v="6.78"/>
    <x v="5"/>
    <n v="0"/>
    <n v="20"/>
    <n v="1"/>
    <n v="21"/>
    <n v="1"/>
    <n v="0"/>
    <n v="1"/>
    <s v="Loss"/>
    <n v="0"/>
    <n v="0"/>
    <x v="1"/>
  </r>
  <r>
    <m/>
    <m/>
    <m/>
    <m/>
    <m/>
    <m/>
    <m/>
    <m/>
    <x v="2"/>
    <m/>
    <m/>
    <m/>
    <m/>
    <m/>
    <m/>
    <m/>
    <m/>
    <m/>
    <m/>
    <m/>
    <m/>
    <m/>
    <m/>
    <x v="6"/>
    <x v="4"/>
    <m/>
    <n v="41"/>
    <d v="2023-11-09T00:00:00"/>
    <x v="1"/>
    <s v="Sri Lanka"/>
    <x v="7"/>
    <x v="7"/>
    <x v="0"/>
    <s v="Chasing Won"/>
    <n v="171"/>
    <n v="5"/>
    <n v="10"/>
    <n v="46.4"/>
    <n v="7"/>
    <n v="23"/>
    <n v="5"/>
    <n v="28"/>
    <n v="3.66"/>
    <x v="0"/>
    <n v="0"/>
    <n v="3"/>
    <n v="0"/>
    <n v="4"/>
    <n v="1"/>
    <n v="1"/>
    <n v="0"/>
    <s v="Win"/>
    <n v="1"/>
    <n v="1"/>
    <x v="0"/>
  </r>
  <r>
    <m/>
    <m/>
    <m/>
    <m/>
    <m/>
    <m/>
    <m/>
    <m/>
    <x v="2"/>
    <m/>
    <m/>
    <m/>
    <m/>
    <m/>
    <m/>
    <m/>
    <m/>
    <m/>
    <m/>
    <m/>
    <m/>
    <m/>
    <m/>
    <x v="6"/>
    <x v="4"/>
    <m/>
    <n v="41"/>
    <d v="2023-11-09T00:00:00"/>
    <x v="7"/>
    <s v="New Zealand"/>
    <x v="7"/>
    <x v="7"/>
    <x v="0"/>
    <s v="Chasing Won"/>
    <n v="172"/>
    <n v="10"/>
    <n v="5"/>
    <n v="23.2"/>
    <n v="1"/>
    <n v="21"/>
    <n v="3"/>
    <n v="24"/>
    <n v="7.37"/>
    <x v="0"/>
    <n v="0"/>
    <n v="2"/>
    <n v="0"/>
    <n v="2"/>
    <n v="1"/>
    <n v="0"/>
    <n v="1"/>
    <s v="Loss"/>
    <n v="0"/>
    <n v="0"/>
    <x v="0"/>
  </r>
  <r>
    <m/>
    <m/>
    <m/>
    <m/>
    <m/>
    <m/>
    <m/>
    <m/>
    <x v="2"/>
    <m/>
    <m/>
    <m/>
    <m/>
    <m/>
    <m/>
    <m/>
    <m/>
    <m/>
    <m/>
    <m/>
    <m/>
    <m/>
    <m/>
    <x v="6"/>
    <x v="4"/>
    <m/>
    <n v="42"/>
    <d v="2023-11-10T00:00:00"/>
    <x v="4"/>
    <s v="South Africa"/>
    <x v="0"/>
    <x v="0"/>
    <x v="0"/>
    <s v="Chasing Won"/>
    <n v="244"/>
    <n v="5"/>
    <n v="10"/>
    <n v="50"/>
    <n v="2"/>
    <n v="20"/>
    <n v="6"/>
    <n v="26"/>
    <n v="4.88"/>
    <x v="3"/>
    <n v="0"/>
    <n v="6"/>
    <n v="0"/>
    <n v="9"/>
    <n v="1"/>
    <n v="0"/>
    <n v="1"/>
    <s v="Loss"/>
    <n v="1"/>
    <n v="0"/>
    <x v="1"/>
  </r>
  <r>
    <m/>
    <m/>
    <m/>
    <m/>
    <m/>
    <m/>
    <m/>
    <m/>
    <x v="2"/>
    <m/>
    <m/>
    <m/>
    <m/>
    <m/>
    <m/>
    <m/>
    <m/>
    <m/>
    <m/>
    <m/>
    <m/>
    <m/>
    <m/>
    <x v="6"/>
    <x v="4"/>
    <m/>
    <n v="42"/>
    <d v="2023-11-10T00:00:00"/>
    <x v="6"/>
    <s v="Afghanistan"/>
    <x v="0"/>
    <x v="0"/>
    <x v="0"/>
    <s v="Chasing Won"/>
    <n v="247"/>
    <n v="10"/>
    <n v="5"/>
    <n v="47.3"/>
    <n v="2"/>
    <n v="15"/>
    <n v="9"/>
    <n v="24"/>
    <n v="5.2"/>
    <x v="3"/>
    <n v="4"/>
    <n v="10"/>
    <n v="0"/>
    <n v="15"/>
    <n v="1"/>
    <n v="1"/>
    <n v="0"/>
    <s v="Win"/>
    <n v="0"/>
    <n v="0"/>
    <x v="1"/>
  </r>
  <r>
    <m/>
    <m/>
    <m/>
    <m/>
    <m/>
    <m/>
    <m/>
    <m/>
    <x v="2"/>
    <m/>
    <m/>
    <m/>
    <m/>
    <m/>
    <m/>
    <m/>
    <m/>
    <m/>
    <m/>
    <m/>
    <m/>
    <m/>
    <m/>
    <x v="6"/>
    <x v="4"/>
    <m/>
    <n v="43"/>
    <d v="2023-11-11T00:00:00"/>
    <x v="8"/>
    <s v="Bangladesh"/>
    <x v="6"/>
    <x v="6"/>
    <x v="0"/>
    <s v="Chasing Won"/>
    <n v="306"/>
    <n v="2"/>
    <n v="8"/>
    <n v="50"/>
    <n v="1"/>
    <n v="29"/>
    <n v="10"/>
    <n v="39"/>
    <n v="6.12"/>
    <x v="7"/>
    <n v="0"/>
    <n v="12"/>
    <n v="2"/>
    <n v="24"/>
    <n v="1"/>
    <n v="1"/>
    <n v="0"/>
    <s v="Win"/>
    <n v="1"/>
    <n v="1"/>
    <x v="0"/>
  </r>
  <r>
    <m/>
    <m/>
    <m/>
    <m/>
    <m/>
    <m/>
    <m/>
    <m/>
    <x v="2"/>
    <m/>
    <m/>
    <m/>
    <m/>
    <m/>
    <m/>
    <m/>
    <m/>
    <m/>
    <m/>
    <m/>
    <m/>
    <m/>
    <m/>
    <x v="6"/>
    <x v="4"/>
    <m/>
    <n v="43"/>
    <d v="2023-11-11T00:00:00"/>
    <x v="5"/>
    <s v="Australia"/>
    <x v="6"/>
    <x v="6"/>
    <x v="0"/>
    <s v="Chasing Won"/>
    <n v="307"/>
    <n v="8"/>
    <n v="2"/>
    <n v="44.4"/>
    <n v="1"/>
    <n v="27"/>
    <n v="6"/>
    <n v="33"/>
    <n v="6.87"/>
    <x v="7"/>
    <n v="0"/>
    <n v="4"/>
    <n v="0"/>
    <n v="4"/>
    <n v="1"/>
    <n v="0"/>
    <n v="1"/>
    <s v="Loss"/>
    <n v="0"/>
    <n v="0"/>
    <x v="0"/>
  </r>
  <r>
    <m/>
    <m/>
    <m/>
    <m/>
    <m/>
    <m/>
    <m/>
    <m/>
    <x v="2"/>
    <m/>
    <m/>
    <m/>
    <m/>
    <m/>
    <m/>
    <m/>
    <m/>
    <m/>
    <m/>
    <m/>
    <m/>
    <m/>
    <m/>
    <x v="6"/>
    <x v="4"/>
    <m/>
    <n v="44"/>
    <d v="2023-11-11T00:00:00"/>
    <x v="0"/>
    <s v="Pakistan"/>
    <x v="9"/>
    <x v="9"/>
    <x v="1"/>
    <s v="Batting First Won"/>
    <n v="244"/>
    <n v="9"/>
    <n v="10"/>
    <n v="50"/>
    <n v="1"/>
    <n v="27"/>
    <n v="6"/>
    <n v="33"/>
    <n v="6.74"/>
    <x v="5"/>
    <n v="5"/>
    <n v="12"/>
    <n v="0"/>
    <n v="19"/>
    <n v="1"/>
    <n v="1"/>
    <n v="0"/>
    <s v="Win"/>
    <n v="1"/>
    <n v="1"/>
    <x v="1"/>
  </r>
  <r>
    <m/>
    <m/>
    <m/>
    <m/>
    <m/>
    <m/>
    <m/>
    <m/>
    <x v="2"/>
    <m/>
    <m/>
    <m/>
    <m/>
    <m/>
    <m/>
    <m/>
    <m/>
    <m/>
    <m/>
    <m/>
    <m/>
    <m/>
    <m/>
    <x v="6"/>
    <x v="4"/>
    <m/>
    <n v="44"/>
    <d v="2023-11-11T00:00:00"/>
    <x v="2"/>
    <s v="England"/>
    <x v="9"/>
    <x v="9"/>
    <x v="1"/>
    <s v="Batting First Won"/>
    <n v="337"/>
    <n v="10"/>
    <n v="9"/>
    <n v="43.3"/>
    <n v="0"/>
    <n v="35"/>
    <n v="8"/>
    <n v="43"/>
    <n v="5.6"/>
    <x v="5"/>
    <n v="0"/>
    <n v="5"/>
    <n v="0"/>
    <n v="6"/>
    <n v="1"/>
    <n v="0"/>
    <n v="1"/>
    <s v="Loss"/>
    <n v="0"/>
    <n v="0"/>
    <x v="1"/>
  </r>
  <r>
    <m/>
    <m/>
    <m/>
    <m/>
    <m/>
    <m/>
    <m/>
    <m/>
    <x v="2"/>
    <m/>
    <m/>
    <m/>
    <m/>
    <m/>
    <m/>
    <m/>
    <m/>
    <m/>
    <m/>
    <m/>
    <m/>
    <m/>
    <m/>
    <x v="6"/>
    <x v="4"/>
    <m/>
    <n v="45"/>
    <d v="2023-11-12T00:00:00"/>
    <x v="9"/>
    <s v="Netherlands"/>
    <x v="7"/>
    <x v="7"/>
    <x v="1"/>
    <s v="Batting First Won"/>
    <n v="410"/>
    <n v="10"/>
    <n v="4"/>
    <n v="50"/>
    <n v="3"/>
    <n v="37"/>
    <n v="16"/>
    <n v="53"/>
    <n v="8.1999999999999993"/>
    <x v="4"/>
    <n v="0"/>
    <n v="4"/>
    <n v="0"/>
    <n v="13"/>
    <n v="1"/>
    <n v="1"/>
    <n v="0"/>
    <s v="Win"/>
    <n v="1"/>
    <n v="1"/>
    <x v="1"/>
  </r>
  <r>
    <m/>
    <m/>
    <m/>
    <m/>
    <m/>
    <m/>
    <m/>
    <m/>
    <x v="2"/>
    <m/>
    <m/>
    <m/>
    <m/>
    <m/>
    <m/>
    <m/>
    <m/>
    <m/>
    <m/>
    <m/>
    <m/>
    <m/>
    <m/>
    <x v="6"/>
    <x v="4"/>
    <m/>
    <n v="45"/>
    <d v="2023-11-12T00:00:00"/>
    <x v="3"/>
    <s v="India"/>
    <x v="7"/>
    <x v="7"/>
    <x v="1"/>
    <s v="Batting First Won"/>
    <n v="250"/>
    <n v="4"/>
    <n v="10"/>
    <n v="47.5"/>
    <n v="0"/>
    <n v="19"/>
    <n v="9"/>
    <n v="28"/>
    <n v="5.22"/>
    <x v="4"/>
    <n v="0"/>
    <n v="13"/>
    <n v="1"/>
    <n v="15"/>
    <n v="1"/>
    <n v="0"/>
    <n v="1"/>
    <s v="Loss"/>
    <n v="0"/>
    <n v="0"/>
    <x v="1"/>
  </r>
  <r>
    <m/>
    <m/>
    <m/>
    <m/>
    <m/>
    <m/>
    <m/>
    <m/>
    <x v="2"/>
    <m/>
    <m/>
    <m/>
    <m/>
    <m/>
    <m/>
    <m/>
    <m/>
    <m/>
    <m/>
    <m/>
    <m/>
    <m/>
    <m/>
    <x v="6"/>
    <x v="4"/>
    <m/>
    <n v="46"/>
    <d v="2023-11-15T00:00:00"/>
    <x v="9"/>
    <s v="New Zealand"/>
    <x v="8"/>
    <x v="8"/>
    <x v="1"/>
    <s v="Batting First Won"/>
    <n v="397"/>
    <n v="10"/>
    <n v="4"/>
    <n v="50"/>
    <n v="1"/>
    <n v="30"/>
    <n v="19"/>
    <n v="49"/>
    <n v="7.94"/>
    <x v="4"/>
    <n v="4"/>
    <n v="19"/>
    <n v="1"/>
    <n v="29"/>
    <n v="1"/>
    <n v="1"/>
    <n v="0"/>
    <s v="Win"/>
    <n v="1"/>
    <n v="1"/>
    <x v="1"/>
  </r>
  <r>
    <m/>
    <m/>
    <m/>
    <m/>
    <m/>
    <m/>
    <m/>
    <m/>
    <x v="2"/>
    <m/>
    <m/>
    <m/>
    <m/>
    <m/>
    <m/>
    <m/>
    <m/>
    <m/>
    <m/>
    <m/>
    <m/>
    <m/>
    <m/>
    <x v="6"/>
    <x v="4"/>
    <m/>
    <n v="46"/>
    <d v="2023-11-15T00:00:00"/>
    <x v="1"/>
    <s v="India"/>
    <x v="8"/>
    <x v="8"/>
    <x v="1"/>
    <s v="Batting First Won"/>
    <n v="327"/>
    <n v="4"/>
    <n v="10"/>
    <n v="48.5"/>
    <n v="1"/>
    <n v="29"/>
    <n v="11"/>
    <n v="40"/>
    <n v="6.69"/>
    <x v="4"/>
    <n v="1"/>
    <n v="6"/>
    <n v="0"/>
    <n v="8"/>
    <n v="1"/>
    <n v="0"/>
    <n v="1"/>
    <s v="Loss"/>
    <n v="0"/>
    <n v="0"/>
    <x v="1"/>
  </r>
  <r>
    <m/>
    <m/>
    <m/>
    <m/>
    <m/>
    <m/>
    <m/>
    <m/>
    <x v="2"/>
    <m/>
    <m/>
    <m/>
    <m/>
    <m/>
    <m/>
    <m/>
    <m/>
    <m/>
    <m/>
    <m/>
    <m/>
    <m/>
    <m/>
    <x v="6"/>
    <x v="4"/>
    <m/>
    <n v="47"/>
    <d v="2023-11-16T00:00:00"/>
    <x v="8"/>
    <s v="South Africa"/>
    <x v="9"/>
    <x v="9"/>
    <x v="0"/>
    <s v="Chasing Won"/>
    <n v="215"/>
    <n v="10"/>
    <n v="7"/>
    <n v="47.2"/>
    <n v="4"/>
    <n v="21"/>
    <n v="6"/>
    <n v="27"/>
    <n v="4.54"/>
    <x v="7"/>
    <n v="0"/>
    <n v="7"/>
    <n v="0"/>
    <n v="11"/>
    <n v="1"/>
    <n v="1"/>
    <n v="0"/>
    <s v="Win"/>
    <n v="0"/>
    <n v="0"/>
    <x v="1"/>
  </r>
  <r>
    <m/>
    <m/>
    <m/>
    <m/>
    <m/>
    <m/>
    <m/>
    <m/>
    <x v="2"/>
    <m/>
    <m/>
    <m/>
    <m/>
    <m/>
    <m/>
    <m/>
    <m/>
    <m/>
    <m/>
    <m/>
    <m/>
    <m/>
    <m/>
    <x v="6"/>
    <x v="4"/>
    <m/>
    <n v="47"/>
    <d v="2023-11-16T00:00:00"/>
    <x v="6"/>
    <s v="Australia"/>
    <x v="9"/>
    <x v="9"/>
    <x v="0"/>
    <s v="Chasing Won"/>
    <n v="212"/>
    <n v="7"/>
    <n v="10"/>
    <n v="49.4"/>
    <n v="1"/>
    <n v="16"/>
    <n v="8"/>
    <n v="24"/>
    <n v="4.26"/>
    <x v="7"/>
    <n v="0"/>
    <n v="12"/>
    <n v="2"/>
    <n v="17"/>
    <n v="1"/>
    <n v="0"/>
    <n v="1"/>
    <s v="Loss"/>
    <n v="1"/>
    <n v="0"/>
    <x v="1"/>
  </r>
  <r>
    <m/>
    <m/>
    <m/>
    <m/>
    <m/>
    <m/>
    <m/>
    <m/>
    <x v="2"/>
    <m/>
    <m/>
    <m/>
    <m/>
    <m/>
    <m/>
    <m/>
    <m/>
    <m/>
    <m/>
    <m/>
    <m/>
    <m/>
    <m/>
    <x v="6"/>
    <x v="4"/>
    <m/>
    <n v="48"/>
    <d v="2023-11-19T00:00:00"/>
    <x v="9"/>
    <s v="Australia"/>
    <x v="0"/>
    <x v="0"/>
    <x v="0"/>
    <s v="Chasing Won"/>
    <n v="240"/>
    <n v="4"/>
    <n v="10"/>
    <n v="50"/>
    <n v="3"/>
    <n v="13"/>
    <n v="3"/>
    <n v="16"/>
    <n v="4.8"/>
    <x v="7"/>
    <n v="5"/>
    <n v="11"/>
    <n v="0"/>
    <n v="18"/>
    <n v="1"/>
    <n v="0"/>
    <n v="1"/>
    <s v="Loss"/>
    <n v="0"/>
    <n v="0"/>
    <x v="0"/>
  </r>
  <r>
    <m/>
    <m/>
    <m/>
    <m/>
    <m/>
    <m/>
    <m/>
    <m/>
    <x v="2"/>
    <m/>
    <m/>
    <m/>
    <m/>
    <m/>
    <m/>
    <m/>
    <m/>
    <m/>
    <m/>
    <m/>
    <m/>
    <m/>
    <m/>
    <x v="6"/>
    <x v="4"/>
    <m/>
    <n v="48"/>
    <d v="2023-11-19T00:00:00"/>
    <x v="8"/>
    <s v="India"/>
    <x v="0"/>
    <x v="0"/>
    <x v="0"/>
    <s v="Chasing Won"/>
    <n v="241"/>
    <n v="10"/>
    <n v="4"/>
    <n v="43"/>
    <n v="0"/>
    <n v="22"/>
    <n v="5"/>
    <n v="27"/>
    <n v="5.6"/>
    <x v="7"/>
    <n v="0"/>
    <n v="9"/>
    <n v="0"/>
    <n v="12"/>
    <n v="1"/>
    <n v="1"/>
    <n v="0"/>
    <s v="Win"/>
    <n v="1"/>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501C61-38A2-4430-8A75-EF636DABCC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
  <location ref="A4:N15" firstHeaderRow="0"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pivotField showAll="0"/>
    <pivotField showAll="0"/>
    <pivotField showAll="0"/>
    <pivotField dataField="1" showAll="0"/>
    <pivotField numFmtId="1" showAll="0"/>
    <pivotField dataField="1" showAll="0"/>
    <pivotField showAll="0"/>
    <pivotField dataField="1" showAll="0"/>
    <pivotField dataField="1" showAll="0"/>
    <pivotField dataField="1"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dataField="1" showAll="0"/>
    <pivotField dataField="1" showAll="0"/>
    <pivotField dragToRow="0" dragToCol="0" dragToPage="0" showAll="0" defaultSubtotal="0"/>
  </pivotFields>
  <rowFields count="1">
    <field x="28"/>
  </rowFields>
  <rowItems count="11">
    <i>
      <x/>
    </i>
    <i>
      <x v="1"/>
    </i>
    <i>
      <x v="2"/>
    </i>
    <i>
      <x v="3"/>
    </i>
    <i>
      <x v="4"/>
    </i>
    <i>
      <x v="5"/>
    </i>
    <i>
      <x v="6"/>
    </i>
    <i>
      <x v="7"/>
    </i>
    <i>
      <x v="8"/>
    </i>
    <i>
      <x v="9"/>
    </i>
    <i t="grand">
      <x/>
    </i>
  </rowItems>
  <colFields count="1">
    <field x="-2"/>
  </colFields>
  <colItems count="13">
    <i>
      <x/>
    </i>
    <i i="1">
      <x v="1"/>
    </i>
    <i i="2">
      <x v="2"/>
    </i>
    <i i="3">
      <x v="3"/>
    </i>
    <i i="4">
      <x v="4"/>
    </i>
    <i i="5">
      <x v="5"/>
    </i>
    <i i="6">
      <x v="6"/>
    </i>
    <i i="7">
      <x v="7"/>
    </i>
    <i i="8">
      <x v="8"/>
    </i>
    <i i="9">
      <x v="9"/>
    </i>
    <i i="10">
      <x v="10"/>
    </i>
    <i i="11">
      <x v="11"/>
    </i>
    <i i="12">
      <x v="12"/>
    </i>
  </colItems>
  <dataFields count="13">
    <dataField name="Match Played" fld="48" baseField="0" baseItem="0"/>
    <dataField name="Win" fld="49" baseField="0" baseItem="0"/>
    <dataField name="Losses" fld="50" baseField="0" baseItem="0"/>
    <dataField name="Total Runs" fld="34" baseField="0" baseItem="0"/>
    <dataField name="Highest Score" fld="34" subtotal="max" baseField="0" baseItem="0"/>
    <dataField name="Avg Score" fld="34" subtotal="average" baseField="0" baseItem="0" numFmtId="165"/>
    <dataField name="Avg Run rate " fld="42" subtotal="average" baseField="0" baseItem="0" numFmtId="2"/>
    <dataField name="4s" fld="39" baseField="0" baseItem="0"/>
    <dataField name="6s" fld="40" baseField="0" baseItem="0"/>
    <dataField name="Avg Wickets Lost / Match" fld="36" subtotal="average" baseField="0" baseItem="0" numFmtId="165"/>
    <dataField name="Maiden Overs" fld="38" baseField="0" baseItem="0"/>
    <dataField name="Toss Won" fld="52" baseField="0" baseItem="0"/>
    <dataField name="Sum of Toss Won &amp; Match Won" fld="53" baseField="0" baseItem="0"/>
  </dataFields>
  <formats count="20">
    <format dxfId="311">
      <pivotArea type="all" dataOnly="0" outline="0" fieldPosition="0"/>
    </format>
    <format dxfId="310">
      <pivotArea outline="0" collapsedLevelsAreSubtotals="1" fieldPosition="0"/>
    </format>
    <format dxfId="309">
      <pivotArea field="28" type="button" dataOnly="0" labelOnly="1" outline="0" axis="axisRow" fieldPosition="0"/>
    </format>
    <format dxfId="308">
      <pivotArea dataOnly="0" labelOnly="1" fieldPosition="0">
        <references count="1">
          <reference field="28" count="0"/>
        </references>
      </pivotArea>
    </format>
    <format dxfId="307">
      <pivotArea dataOnly="0" labelOnly="1" grandRow="1" outline="0" fieldPosition="0"/>
    </format>
    <format dxfId="306">
      <pivotArea dataOnly="0" labelOnly="1" outline="0" fieldPosition="0">
        <references count="1">
          <reference field="4294967294" count="12">
            <x v="0"/>
            <x v="1"/>
            <x v="2"/>
            <x v="3"/>
            <x v="4"/>
            <x v="5"/>
            <x v="6"/>
            <x v="7"/>
            <x v="8"/>
            <x v="9"/>
            <x v="10"/>
            <x v="11"/>
          </reference>
        </references>
      </pivotArea>
    </format>
    <format dxfId="305">
      <pivotArea field="28" type="button" dataOnly="0" labelOnly="1" outline="0" axis="axisRow" fieldPosition="0"/>
    </format>
    <format dxfId="304">
      <pivotArea dataOnly="0" labelOnly="1" outline="0" fieldPosition="0">
        <references count="1">
          <reference field="4294967294" count="12">
            <x v="0"/>
            <x v="1"/>
            <x v="2"/>
            <x v="3"/>
            <x v="4"/>
            <x v="5"/>
            <x v="6"/>
            <x v="7"/>
            <x v="8"/>
            <x v="9"/>
            <x v="10"/>
            <x v="11"/>
          </reference>
        </references>
      </pivotArea>
    </format>
    <format dxfId="303">
      <pivotArea grandRow="1" outline="0" collapsedLevelsAreSubtotals="1" fieldPosition="0"/>
    </format>
    <format dxfId="302">
      <pivotArea dataOnly="0" labelOnly="1" grandRow="1" outline="0" fieldPosition="0"/>
    </format>
    <format dxfId="301">
      <pivotArea collapsedLevelsAreSubtotals="1" fieldPosition="0">
        <references count="1">
          <reference field="28" count="0"/>
        </references>
      </pivotArea>
    </format>
    <format dxfId="300">
      <pivotArea dataOnly="0" labelOnly="1" fieldPosition="0">
        <references count="1">
          <reference field="28" count="0"/>
        </references>
      </pivotArea>
    </format>
    <format dxfId="299">
      <pivotArea collapsedLevelsAreSubtotals="1" fieldPosition="0">
        <references count="2">
          <reference field="4294967294" count="1" selected="0">
            <x v="6"/>
          </reference>
          <reference field="28" count="1">
            <x v="9"/>
          </reference>
        </references>
      </pivotArea>
    </format>
    <format dxfId="298">
      <pivotArea field="28" grandRow="1" outline="0" collapsedLevelsAreSubtotals="1" axis="axisRow" fieldPosition="0">
        <references count="1">
          <reference field="4294967294" count="6" selected="0">
            <x v="7"/>
            <x v="8"/>
            <x v="9"/>
            <x v="10"/>
            <x v="11"/>
            <x v="12"/>
          </reference>
        </references>
      </pivotArea>
    </format>
    <format dxfId="297">
      <pivotArea field="28" grandRow="1" outline="0" collapsedLevelsAreSubtotals="1" axis="axisRow" fieldPosition="0">
        <references count="1">
          <reference field="4294967294" count="1" selected="0">
            <x v="5"/>
          </reference>
        </references>
      </pivotArea>
    </format>
    <format dxfId="296">
      <pivotArea dataOnly="0" labelOnly="1" outline="0" fieldPosition="0">
        <references count="1">
          <reference field="4294967294" count="1">
            <x v="12"/>
          </reference>
        </references>
      </pivotArea>
    </format>
    <format dxfId="295">
      <pivotArea grandRow="1" outline="0" collapsedLevelsAreSubtotals="1" fieldPosition="0"/>
    </format>
    <format dxfId="294">
      <pivotArea dataOnly="0" labelOnly="1" grandRow="1" outline="0" fieldPosition="0"/>
    </format>
    <format dxfId="293">
      <pivotArea grandRow="1" outline="0" collapsedLevelsAreSubtotals="1" fieldPosition="0"/>
    </format>
    <format dxfId="292">
      <pivotArea dataOnly="0" labelOnly="1" grandRow="1" outline="0" fieldPosition="0"/>
    </format>
  </formats>
  <conditionalFormats count="10">
    <conditionalFormat priority="4">
      <pivotAreas count="1">
        <pivotArea type="data" collapsedLevelsAreSubtotals="1" fieldPosition="0">
          <references count="2">
            <reference field="4294967294" count="1" selected="0">
              <x v="11"/>
            </reference>
            <reference field="28" count="10">
              <x v="0"/>
              <x v="1"/>
              <x v="2"/>
              <x v="3"/>
              <x v="4"/>
              <x v="5"/>
              <x v="6"/>
              <x v="7"/>
              <x v="8"/>
              <x v="9"/>
            </reference>
          </references>
        </pivotArea>
      </pivotAreas>
    </conditionalFormat>
    <conditionalFormat priority="5">
      <pivotAreas count="1">
        <pivotArea type="data" collapsedLevelsAreSubtotals="1" fieldPosition="0">
          <references count="2">
            <reference field="4294967294" count="1" selected="0">
              <x v="10"/>
            </reference>
            <reference field="28" count="10">
              <x v="0"/>
              <x v="1"/>
              <x v="2"/>
              <x v="3"/>
              <x v="4"/>
              <x v="5"/>
              <x v="6"/>
              <x v="7"/>
              <x v="8"/>
              <x v="9"/>
            </reference>
          </references>
        </pivotArea>
      </pivotAreas>
    </conditionalFormat>
    <conditionalFormat priority="6">
      <pivotAreas count="1">
        <pivotArea type="data" collapsedLevelsAreSubtotals="1" fieldPosition="0">
          <references count="2">
            <reference field="4294967294" count="1" selected="0">
              <x v="9"/>
            </reference>
            <reference field="28" count="10">
              <x v="0"/>
              <x v="1"/>
              <x v="2"/>
              <x v="3"/>
              <x v="4"/>
              <x v="5"/>
              <x v="6"/>
              <x v="7"/>
              <x v="8"/>
              <x v="9"/>
            </reference>
          </references>
        </pivotArea>
      </pivotAreas>
    </conditionalFormat>
    <conditionalFormat priority="7">
      <pivotAreas count="1">
        <pivotArea type="data" collapsedLevelsAreSubtotals="1" fieldPosition="0">
          <references count="2">
            <reference field="4294967294" count="1" selected="0">
              <x v="8"/>
            </reference>
            <reference field="28" count="10">
              <x v="0"/>
              <x v="1"/>
              <x v="2"/>
              <x v="3"/>
              <x v="4"/>
              <x v="5"/>
              <x v="6"/>
              <x v="7"/>
              <x v="8"/>
              <x v="9"/>
            </reference>
          </references>
        </pivotArea>
      </pivotAreas>
    </conditionalFormat>
    <conditionalFormat priority="8">
      <pivotAreas count="1">
        <pivotArea type="data" collapsedLevelsAreSubtotals="1" fieldPosition="0">
          <references count="2">
            <reference field="4294967294" count="1" selected="0">
              <x v="7"/>
            </reference>
            <reference field="28" count="10">
              <x v="0"/>
              <x v="1"/>
              <x v="2"/>
              <x v="3"/>
              <x v="4"/>
              <x v="5"/>
              <x v="6"/>
              <x v="7"/>
              <x v="8"/>
              <x v="9"/>
            </reference>
          </references>
        </pivotArea>
      </pivotAreas>
    </conditionalFormat>
    <conditionalFormat priority="9">
      <pivotAreas count="1">
        <pivotArea type="data" collapsedLevelsAreSubtotals="1" fieldPosition="0">
          <references count="2">
            <reference field="4294967294" count="1" selected="0">
              <x v="6"/>
            </reference>
            <reference field="28" count="10">
              <x v="0"/>
              <x v="1"/>
              <x v="2"/>
              <x v="3"/>
              <x v="4"/>
              <x v="5"/>
              <x v="6"/>
              <x v="7"/>
              <x v="8"/>
              <x v="9"/>
            </reference>
          </references>
        </pivotArea>
      </pivotAreas>
    </conditionalFormat>
    <conditionalFormat priority="10">
      <pivotAreas count="1">
        <pivotArea type="data" collapsedLevelsAreSubtotals="1" fieldPosition="0">
          <references count="2">
            <reference field="4294967294" count="1" selected="0">
              <x v="5"/>
            </reference>
            <reference field="28" count="10">
              <x v="0"/>
              <x v="1"/>
              <x v="2"/>
              <x v="3"/>
              <x v="4"/>
              <x v="5"/>
              <x v="6"/>
              <x v="7"/>
              <x v="8"/>
              <x v="9"/>
            </reference>
          </references>
        </pivotArea>
      </pivotAreas>
    </conditionalFormat>
    <conditionalFormat priority="11">
      <pivotAreas count="1">
        <pivotArea type="data" collapsedLevelsAreSubtotals="1" fieldPosition="0">
          <references count="2">
            <reference field="4294967294" count="1" selected="0">
              <x v="4"/>
            </reference>
            <reference field="28" count="10">
              <x v="0"/>
              <x v="1"/>
              <x v="2"/>
              <x v="3"/>
              <x v="4"/>
              <x v="5"/>
              <x v="6"/>
              <x v="7"/>
              <x v="8"/>
              <x v="9"/>
            </reference>
          </references>
        </pivotArea>
      </pivotAreas>
    </conditionalFormat>
    <conditionalFormat priority="12">
      <pivotAreas count="1">
        <pivotArea type="data" collapsedLevelsAreSubtotals="1" fieldPosition="0">
          <references count="2">
            <reference field="4294967294" count="1" selected="0">
              <x v="3"/>
            </reference>
            <reference field="28" count="10">
              <x v="0"/>
              <x v="1"/>
              <x v="2"/>
              <x v="3"/>
              <x v="4"/>
              <x v="5"/>
              <x v="6"/>
              <x v="7"/>
              <x v="8"/>
              <x v="9"/>
            </reference>
          </references>
        </pivotArea>
      </pivotAreas>
    </conditionalFormat>
    <conditionalFormat priority="13">
      <pivotAreas count="1">
        <pivotArea type="data" collapsedLevelsAreSubtotals="1" fieldPosition="0">
          <references count="2">
            <reference field="4294967294" count="1" selected="0">
              <x v="1"/>
            </reference>
            <reference field="28"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75E970-38D6-48F1-866B-CE832C6CFA97}"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City" fieldListSortAscending="1">
  <location ref="B20:C30"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1">
        <item x="4"/>
        <item x="8"/>
        <item x="5"/>
        <item x="0"/>
        <item x="9"/>
        <item x="3"/>
        <item x="1"/>
        <item x="2"/>
        <item x="6"/>
        <item x="7"/>
        <item t="default"/>
      </items>
    </pivotField>
    <pivotField showAll="0"/>
    <pivotField axis="axisRow"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30"/>
  </rowFields>
  <rowItems count="10">
    <i>
      <x/>
    </i>
    <i>
      <x v="1"/>
    </i>
    <i>
      <x v="2"/>
    </i>
    <i>
      <x v="3"/>
    </i>
    <i>
      <x v="4"/>
    </i>
    <i>
      <x v="5"/>
    </i>
    <i>
      <x v="6"/>
    </i>
    <i>
      <x v="7"/>
    </i>
    <i>
      <x v="8"/>
    </i>
    <i>
      <x v="9"/>
    </i>
  </rowItems>
  <colItems count="1">
    <i/>
  </colItems>
  <dataFields count="1">
    <dataField name="Matches" fld="49" baseField="0" baseItem="0"/>
  </dataFields>
  <formats count="10">
    <format dxfId="275">
      <pivotArea field="30" type="button" dataOnly="0" labelOnly="1" outline="0" axis="axisRow" fieldPosition="0"/>
    </format>
    <format dxfId="274">
      <pivotArea dataOnly="0" labelOnly="1" outline="0" fieldPosition="0">
        <references count="1">
          <reference field="4294967294" count="1">
            <x v="0"/>
          </reference>
        </references>
      </pivotArea>
    </format>
    <format dxfId="273">
      <pivotArea field="30" type="button" dataOnly="0" labelOnly="1" outline="0" axis="axisRow" fieldPosition="0"/>
    </format>
    <format dxfId="272">
      <pivotArea dataOnly="0" labelOnly="1" outline="0" fieldPosition="0">
        <references count="1">
          <reference field="4294967294" count="1">
            <x v="0"/>
          </reference>
        </references>
      </pivotArea>
    </format>
    <format dxfId="271">
      <pivotArea field="30" type="button" dataOnly="0" labelOnly="1" outline="0" axis="axisRow" fieldPosition="0"/>
    </format>
    <format dxfId="270">
      <pivotArea dataOnly="0" labelOnly="1" outline="0" fieldPosition="0">
        <references count="1">
          <reference field="4294967294" count="1">
            <x v="0"/>
          </reference>
        </references>
      </pivotArea>
    </format>
    <format dxfId="269">
      <pivotArea field="30" type="button" dataOnly="0" labelOnly="1" outline="0" axis="axisRow" fieldPosition="0"/>
    </format>
    <format dxfId="268">
      <pivotArea dataOnly="0" labelOnly="1" outline="0" fieldPosition="0">
        <references count="1">
          <reference field="4294967294" count="1">
            <x v="0"/>
          </reference>
        </references>
      </pivotArea>
    </format>
    <format dxfId="267">
      <pivotArea dataOnly="0" labelOnly="1" outline="0" axis="axisValues" fieldPosition="0"/>
    </format>
    <format dxfId="26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759714-ED92-43CD-B9B2-EB3CB843DB0D}" name="PivotTable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9" rowHeaderCaption="Stadium" fieldListSortAscending="1">
  <location ref="B4:C14"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axis="axisRow" showAll="0">
      <items count="11">
        <item n="Arun Jaitley Stadiu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31"/>
  </rowFields>
  <rowItems count="10">
    <i>
      <x/>
    </i>
    <i>
      <x v="1"/>
    </i>
    <i>
      <x v="2"/>
    </i>
    <i>
      <x v="3"/>
    </i>
    <i>
      <x v="4"/>
    </i>
    <i>
      <x v="5"/>
    </i>
    <i>
      <x v="6"/>
    </i>
    <i>
      <x v="7"/>
    </i>
    <i>
      <x v="8"/>
    </i>
    <i>
      <x v="9"/>
    </i>
  </rowItems>
  <colItems count="1">
    <i/>
  </colItems>
  <dataFields count="1">
    <dataField name="Matches" fld="49" baseField="31" baseItem="0"/>
  </dataFields>
  <formats count="8">
    <format dxfId="283">
      <pivotArea field="31" type="button" dataOnly="0" labelOnly="1" outline="0" axis="axisRow" fieldPosition="0"/>
    </format>
    <format dxfId="282">
      <pivotArea dataOnly="0" labelOnly="1" outline="0" axis="axisValues" fieldPosition="0"/>
    </format>
    <format dxfId="281">
      <pivotArea dataOnly="0" labelOnly="1" outline="0" axis="axisValues" fieldPosition="0"/>
    </format>
    <format dxfId="280">
      <pivotArea dataOnly="0" labelOnly="1" outline="0" axis="axisValues" fieldPosition="0"/>
    </format>
    <format dxfId="279">
      <pivotArea field="31" type="button" dataOnly="0" labelOnly="1" outline="0" axis="axisRow" fieldPosition="0"/>
    </format>
    <format dxfId="278">
      <pivotArea dataOnly="0" labelOnly="1" outline="0" axis="axisValues" fieldPosition="0"/>
    </format>
    <format dxfId="277">
      <pivotArea field="31" type="button" dataOnly="0" labelOnly="1" outline="0" axis="axisRow" fieldPosition="0"/>
    </format>
    <format dxfId="276">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6081AA-B8A4-4C70-9D05-810DEB58E25C}"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Studium">
  <location ref="I4:J14"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axis="axisRow" showAll="0">
      <items count="11">
        <item x="3"/>
        <item x="5"/>
        <item x="9"/>
        <item x="2"/>
        <item x="4"/>
        <item x="7"/>
        <item x="6"/>
        <item x="0"/>
        <item x="1"/>
        <item x="8"/>
        <item t="default"/>
      </items>
    </pivotField>
    <pivotField showAll="0"/>
    <pivotField showAll="0"/>
    <pivotField dataField="1"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31"/>
  </rowFields>
  <rowItems count="10">
    <i>
      <x/>
    </i>
    <i>
      <x v="1"/>
    </i>
    <i>
      <x v="2"/>
    </i>
    <i>
      <x v="3"/>
    </i>
    <i>
      <x v="4"/>
    </i>
    <i>
      <x v="5"/>
    </i>
    <i>
      <x v="6"/>
    </i>
    <i>
      <x v="7"/>
    </i>
    <i>
      <x v="8"/>
    </i>
    <i>
      <x v="9"/>
    </i>
  </rowItems>
  <colItems count="1">
    <i/>
  </colItems>
  <dataFields count="1">
    <dataField name="Highest Score" fld="34" subtotal="max" baseField="0" baseItem="0"/>
  </dataFields>
  <formats count="8">
    <format dxfId="291">
      <pivotArea field="31" type="button" dataOnly="0" labelOnly="1" outline="0" axis="axisRow" fieldPosition="0"/>
    </format>
    <format dxfId="290">
      <pivotArea dataOnly="0" labelOnly="1" outline="0" axis="axisValues" fieldPosition="0"/>
    </format>
    <format dxfId="289">
      <pivotArea field="31" type="button" dataOnly="0" labelOnly="1" outline="0" axis="axisRow" fieldPosition="0"/>
    </format>
    <format dxfId="288">
      <pivotArea dataOnly="0" labelOnly="1" outline="0" axis="axisValues" fieldPosition="0"/>
    </format>
    <format dxfId="287">
      <pivotArea field="31" type="button" dataOnly="0" labelOnly="1" outline="0" axis="axisRow" fieldPosition="0"/>
    </format>
    <format dxfId="286">
      <pivotArea dataOnly="0" labelOnly="1" outline="0" axis="axisValues" fieldPosition="0"/>
    </format>
    <format dxfId="285">
      <pivotArea field="31" type="button" dataOnly="0" labelOnly="1" outline="0" axis="axisRow" fieldPosition="0"/>
    </format>
    <format dxfId="28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1"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12410C-4C0F-48B1-8EC2-FC317822394A}" name="PivotTable9"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rowHeaderCaption="Winning Runs Range">
  <location ref="A223:B228" firstHeaderRow="1" firstDataRow="1" firstDataCol="1"/>
  <pivotFields count="5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h="1" x="0"/>
        <item x="3"/>
        <item x="1"/>
        <item x="2"/>
        <item x="5"/>
        <item x="4"/>
        <item h="1" x="6"/>
        <item t="default"/>
      </items>
    </pivotField>
    <pivotField showAll="0"/>
    <pivotField showAll="0"/>
    <pivotField showAll="0"/>
    <pivotField numFmtId="164" showAll="0"/>
    <pivotField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3"/>
  </rowFields>
  <rowItems count="5">
    <i>
      <x v="1"/>
    </i>
    <i>
      <x v="2"/>
    </i>
    <i>
      <x v="3"/>
    </i>
    <i>
      <x v="4"/>
    </i>
    <i>
      <x v="5"/>
    </i>
  </rowItems>
  <colItems count="1">
    <i/>
  </colItems>
  <dataFields count="1">
    <dataField name="Match" fld="0" subtotal="count" baseField="0" baseItem="0"/>
  </dataFields>
  <formats count="8">
    <format dxfId="15">
      <pivotArea field="23" type="button" dataOnly="0" labelOnly="1" outline="0" axis="axisRow" fieldPosition="0"/>
    </format>
    <format dxfId="14">
      <pivotArea dataOnly="0" labelOnly="1" outline="0" axis="axisValues" fieldPosition="0"/>
    </format>
    <format dxfId="13">
      <pivotArea field="23"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s>
  <chartFormats count="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C278C7-6BCB-48ED-A430-4801B01F5575}" name="PivotTable5"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Team">
  <location ref="A115:B125"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dataField="1"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Wickets taken" fld="35" baseField="0" baseItem="0" numFmtId="1"/>
  </dataFields>
  <formats count="8">
    <format dxfId="23">
      <pivotArea field="28" type="button" dataOnly="0" labelOnly="1" outline="0" axis="axisRow" fieldPosition="0"/>
    </format>
    <format dxfId="22">
      <pivotArea dataOnly="0" labelOnly="1" outline="0" axis="axisValues" fieldPosition="0"/>
    </format>
    <format dxfId="21">
      <pivotArea field="28"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3598E0-4103-4592-87E7-1A1A1C87162F}" name="PivotTable4"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Team">
  <location ref="A37:B47"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Played " fld="48" baseField="28" baseItem="0"/>
  </dataFields>
  <formats count="8">
    <format dxfId="31">
      <pivotArea field="28" type="button" dataOnly="0" labelOnly="1" outline="0" axis="axisRow" fieldPosition="0"/>
    </format>
    <format dxfId="30">
      <pivotArea dataOnly="0" labelOnly="1" outline="0" axis="axisValues" fieldPosition="0"/>
    </format>
    <format dxfId="29">
      <pivotArea field="28"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 dxfId="25">
      <pivotArea grandRow="1" outline="0" collapsedLevelsAreSubtotals="1" fieldPosition="0"/>
    </format>
    <format dxfId="2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07E222-0EE5-4EAB-952A-63836C105264}" name="PivotTable3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am">
  <location ref="A99:B109" firstHeaderRow="1"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dataField="1"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Run Rate" fld="42" subtotal="average" baseField="28" baseItem="1" numFmtId="165"/>
  </dataFields>
  <formats count="24">
    <format dxfId="55">
      <pivotArea field="28" type="button" dataOnly="0" labelOnly="1" outline="0" axis="axisRow" fieldPosition="0"/>
    </format>
    <format dxfId="54">
      <pivotArea dataOnly="0" labelOnly="1" outline="0" axis="axisValues" fieldPosition="0"/>
    </format>
    <format dxfId="53">
      <pivotArea field="28" type="button" dataOnly="0" labelOnly="1" outline="0" axis="axisRow" fieldPosition="0"/>
    </format>
    <format dxfId="52">
      <pivotArea dataOnly="0" labelOnly="1" outline="0" axis="axisValues" fieldPosition="0"/>
    </format>
    <format dxfId="51">
      <pivotArea field="28" type="button" dataOnly="0" labelOnly="1" outline="0" axis="axisRow" fieldPosition="0"/>
    </format>
    <format dxfId="50">
      <pivotArea dataOnly="0" labelOnly="1" outline="0" axis="axisValues" fieldPosition="0"/>
    </format>
    <format dxfId="49">
      <pivotArea field="28" type="button" dataOnly="0" labelOnly="1" outline="0" axis="axisRow"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28" type="button" dataOnly="0" labelOnly="1" outline="0" axis="axisRow" fieldPosition="0"/>
    </format>
    <format dxfId="44">
      <pivotArea dataOnly="0" labelOnly="1" fieldPosition="0">
        <references count="1">
          <reference field="28" count="0"/>
        </references>
      </pivotArea>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28" type="button" dataOnly="0" labelOnly="1" outline="0" axis="axisRow" fieldPosition="0"/>
    </format>
    <format dxfId="39">
      <pivotArea dataOnly="0" labelOnly="1" fieldPosition="0">
        <references count="1">
          <reference field="28" count="0"/>
        </references>
      </pivotArea>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28" type="button" dataOnly="0" labelOnly="1" outline="0" axis="axisRow" fieldPosition="0"/>
    </format>
    <format dxfId="34">
      <pivotArea dataOnly="0" labelOnly="1" fieldPosition="0">
        <references count="1">
          <reference field="28" count="0"/>
        </references>
      </pivotArea>
    </format>
    <format dxfId="33">
      <pivotArea dataOnly="0" labelOnly="1" outline="0" axis="axisValues" fieldPosition="0"/>
    </format>
    <format dxfId="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427638-0FD6-416F-A121-0C1E9A09174D}"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eam">
  <location ref="A177:C187" firstHeaderRow="0"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dataField="1" showAll="0"/>
    <pivotField dataField="1" showAll="0"/>
    <pivotField showAll="0">
      <items count="3">
        <item x="1"/>
        <item x="0"/>
        <item t="default"/>
      </items>
    </pivotField>
  </pivotFields>
  <rowFields count="1">
    <field x="28"/>
  </rowFields>
  <rowItems count="10">
    <i>
      <x/>
    </i>
    <i>
      <x v="1"/>
    </i>
    <i>
      <x v="2"/>
    </i>
    <i>
      <x v="3"/>
    </i>
    <i>
      <x v="4"/>
    </i>
    <i>
      <x v="5"/>
    </i>
    <i>
      <x v="6"/>
    </i>
    <i>
      <x v="7"/>
    </i>
    <i>
      <x v="8"/>
    </i>
    <i>
      <x v="9"/>
    </i>
  </rowItems>
  <colFields count="1">
    <field x="-2"/>
  </colFields>
  <colItems count="2">
    <i>
      <x/>
    </i>
    <i i="1">
      <x v="1"/>
    </i>
  </colItems>
  <dataFields count="2">
    <dataField name="Toss Win" fld="52" baseField="0" baseItem="0"/>
    <dataField name="Toss &amp; Match Win" fld="53" baseField="0" baseItem="0"/>
  </dataFields>
  <formats count="18">
    <format dxfId="73">
      <pivotArea field="28" type="button" dataOnly="0" labelOnly="1" outline="0" axis="axisRow" fieldPosition="0"/>
    </format>
    <format dxfId="72">
      <pivotArea dataOnly="0" labelOnly="1" outline="0" fieldPosition="0">
        <references count="1">
          <reference field="4294967294" count="2">
            <x v="0"/>
            <x v="1"/>
          </reference>
        </references>
      </pivotArea>
    </format>
    <format dxfId="71">
      <pivotArea field="28" type="button" dataOnly="0" labelOnly="1" outline="0" axis="axisRow" fieldPosition="0"/>
    </format>
    <format dxfId="70">
      <pivotArea dataOnly="0" labelOnly="1" outline="0" fieldPosition="0">
        <references count="1">
          <reference field="4294967294" count="2">
            <x v="0"/>
            <x v="1"/>
          </reference>
        </references>
      </pivotArea>
    </format>
    <format dxfId="69">
      <pivotArea field="28" type="button" dataOnly="0" labelOnly="1" outline="0" axis="axisRow" fieldPosition="0"/>
    </format>
    <format dxfId="68">
      <pivotArea dataOnly="0" labelOnly="1" outline="0" fieldPosition="0">
        <references count="1">
          <reference field="4294967294" count="2">
            <x v="0"/>
            <x v="1"/>
          </reference>
        </references>
      </pivotArea>
    </format>
    <format dxfId="67">
      <pivotArea field="28" type="button" dataOnly="0" labelOnly="1" outline="0" axis="axisRow" fieldPosition="0"/>
    </format>
    <format dxfId="66">
      <pivotArea dataOnly="0" labelOnly="1" outline="0" fieldPosition="0">
        <references count="1">
          <reference field="4294967294" count="2">
            <x v="0"/>
            <x v="1"/>
          </reference>
        </references>
      </pivotArea>
    </format>
    <format dxfId="65">
      <pivotArea type="all" dataOnly="0" outline="0" fieldPosition="0"/>
    </format>
    <format dxfId="64">
      <pivotArea outline="0" collapsedLevelsAreSubtotals="1" fieldPosition="0"/>
    </format>
    <format dxfId="63">
      <pivotArea field="28" type="button" dataOnly="0" labelOnly="1" outline="0" axis="axisRow" fieldPosition="0"/>
    </format>
    <format dxfId="62">
      <pivotArea dataOnly="0" labelOnly="1" fieldPosition="0">
        <references count="1">
          <reference field="28" count="0"/>
        </references>
      </pivotArea>
    </format>
    <format dxfId="61">
      <pivotArea dataOnly="0" labelOnly="1" outline="0" fieldPosition="0">
        <references count="1">
          <reference field="4294967294" count="2">
            <x v="0"/>
            <x v="1"/>
          </reference>
        </references>
      </pivotArea>
    </format>
    <format dxfId="60">
      <pivotArea type="all" dataOnly="0" outline="0" fieldPosition="0"/>
    </format>
    <format dxfId="59">
      <pivotArea outline="0" collapsedLevelsAreSubtotals="1" fieldPosition="0"/>
    </format>
    <format dxfId="58">
      <pivotArea field="28" type="button" dataOnly="0" labelOnly="1" outline="0" axis="axisRow" fieldPosition="0"/>
    </format>
    <format dxfId="57">
      <pivotArea dataOnly="0" labelOnly="1" fieldPosition="0">
        <references count="1">
          <reference field="28" count="0"/>
        </references>
      </pivotArea>
    </format>
    <format dxfId="5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27E462-53CA-4F8E-A900-397E93A17F5D}" name="PivotTable7"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Toss Decision: Bat vs Field">
  <location ref="A164:B166" firstHeaderRow="1" firstDataRow="1" firstDataCol="1"/>
  <pivotFields count="55">
    <pivotField showAll="0"/>
    <pivotField showAll="0"/>
    <pivotField showAll="0"/>
    <pivotField showAll="0"/>
    <pivotField showAll="0"/>
    <pivotField showAll="0"/>
    <pivotField showAll="0"/>
    <pivotField showAll="0"/>
    <pivotField axis="axisRow" dataField="1" showAll="0" countASubtotal="1">
      <items count="4">
        <item x="1"/>
        <item x="0"/>
        <item h="1" x="2"/>
        <item t="countA"/>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8"/>
  </rowFields>
  <rowItems count="2">
    <i>
      <x/>
    </i>
    <i>
      <x v="1"/>
    </i>
  </rowItems>
  <colItems count="1">
    <i/>
  </colItems>
  <dataFields count="1">
    <dataField name="Toss Decision" fld="8" subtotal="count" baseField="0" baseItem="0"/>
  </dataFields>
  <formats count="9">
    <format dxfId="82">
      <pivotArea field="8" type="button" dataOnly="0" labelOnly="1" outline="0" axis="axisRow" fieldPosition="0"/>
    </format>
    <format dxfId="81">
      <pivotArea dataOnly="0" labelOnly="1" outline="0" axis="axisValues" fieldPosition="0"/>
    </format>
    <format dxfId="80">
      <pivotArea field="8" type="button" dataOnly="0" labelOnly="1" outline="0" axis="axisRow" fieldPosition="0"/>
    </format>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348721-3974-4511-A377-FBDB0FD18560}"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am">
  <location ref="A53:B63" firstHeaderRow="1"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dataField="1"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Highest Score" fld="34" subtotal="max" baseField="0" baseItem="0"/>
  </dataFields>
  <formats count="27">
    <format dxfId="109">
      <pivotArea field="28" type="button" dataOnly="0" labelOnly="1" outline="0" axis="axisRow" fieldPosition="0"/>
    </format>
    <format dxfId="108">
      <pivotArea dataOnly="0" labelOnly="1" outline="0" axis="axisValues" fieldPosition="0"/>
    </format>
    <format dxfId="107">
      <pivotArea field="28" type="button" dataOnly="0" labelOnly="1" outline="0" axis="axisRow" fieldPosition="0"/>
    </format>
    <format dxfId="106">
      <pivotArea dataOnly="0" labelOnly="1" outline="0" axis="axisValues" fieldPosition="0"/>
    </format>
    <format dxfId="105">
      <pivotArea field="28" type="button" dataOnly="0" labelOnly="1" outline="0" axis="axisRow" fieldPosition="0"/>
    </format>
    <format dxfId="104">
      <pivotArea dataOnly="0" labelOnly="1" outline="0" axis="axisValues" fieldPosition="0"/>
    </format>
    <format dxfId="103">
      <pivotArea field="28" type="button" dataOnly="0" labelOnly="1" outline="0" axis="axisRow" fieldPosition="0"/>
    </format>
    <format dxfId="102">
      <pivotArea dataOnly="0" labelOnly="1" outline="0" axis="axisValues" fieldPosition="0"/>
    </format>
    <format dxfId="101">
      <pivotArea field="28" type="button" dataOnly="0" labelOnly="1" outline="0" axis="axisRow" fieldPosition="0"/>
    </format>
    <format dxfId="100">
      <pivotArea dataOnly="0" labelOnly="1" outline="0" axis="axisValues" fieldPosition="0"/>
    </format>
    <format dxfId="99">
      <pivotArea field="28" type="button" dataOnly="0" labelOnly="1" outline="0" axis="axisRow"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28" type="button" dataOnly="0" labelOnly="1" outline="0" axis="axisRow" fieldPosition="0"/>
    </format>
    <format dxfId="94">
      <pivotArea dataOnly="0" labelOnly="1" fieldPosition="0">
        <references count="1">
          <reference field="28" count="0"/>
        </references>
      </pivotArea>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28" type="button" dataOnly="0" labelOnly="1" outline="0" axis="axisRow" fieldPosition="0"/>
    </format>
    <format dxfId="89">
      <pivotArea dataOnly="0" labelOnly="1" fieldPosition="0">
        <references count="1">
          <reference field="28" count="0"/>
        </references>
      </pivotArea>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8" type="button" dataOnly="0" labelOnly="1" outline="0" axis="axisRow" fieldPosition="0"/>
    </format>
    <format dxfId="84">
      <pivotArea dataOnly="0" labelOnly="1" fieldPosition="0">
        <references count="1">
          <reference field="28" count="0"/>
        </references>
      </pivotArea>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77DDAA-6446-4C75-B504-76131FA9D404}"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Team">
  <location ref="A21:C31" firstHeaderRow="0"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dataField="1" showAll="0"/>
    <pivotField dataField="1"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Fields count="1">
    <field x="-2"/>
  </colFields>
  <colItems count="2">
    <i>
      <x/>
    </i>
    <i i="1">
      <x v="1"/>
    </i>
  </colItems>
  <dataFields count="2">
    <dataField name=" Win" fld="49" baseField="28" baseItem="0"/>
    <dataField name=" Match Played" fld="48" baseField="28" baseItem="0"/>
  </dataFields>
  <formats count="28">
    <format dxfId="137">
      <pivotArea field="28" type="button" dataOnly="0" labelOnly="1" outline="0" axis="axisRow" fieldPosition="0"/>
    </format>
    <format dxfId="136">
      <pivotArea dataOnly="0" labelOnly="1" outline="0" axis="axisValues" fieldPosition="0"/>
    </format>
    <format dxfId="135">
      <pivotArea field="28" type="button" dataOnly="0" labelOnly="1" outline="0" axis="axisRow" fieldPosition="0"/>
    </format>
    <format dxfId="134">
      <pivotArea dataOnly="0" labelOnly="1" outline="0" axis="axisValues" fieldPosition="0"/>
    </format>
    <format dxfId="133">
      <pivotArea type="all" dataOnly="0" outline="0" fieldPosition="0"/>
    </format>
    <format dxfId="132">
      <pivotArea field="28" type="button" dataOnly="0" labelOnly="1" outline="0" axis="axisRow" fieldPosition="0"/>
    </format>
    <format dxfId="131">
      <pivotArea dataOnly="0" labelOnly="1" outline="0" axis="axisValues" fieldPosition="0"/>
    </format>
    <format dxfId="130">
      <pivotArea field="28" type="button" dataOnly="0" labelOnly="1" outline="0" axis="axisRow" fieldPosition="0"/>
    </format>
    <format dxfId="129">
      <pivotArea dataOnly="0" labelOnly="1" outline="0" axis="axisValues" fieldPosition="0"/>
    </format>
    <format dxfId="128">
      <pivotArea field="28" type="button" dataOnly="0" labelOnly="1" outline="0" axis="axisRow"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28" type="button" dataOnly="0" labelOnly="1" outline="0" axis="axisRow" fieldPosition="0"/>
    </format>
    <format dxfId="123">
      <pivotArea dataOnly="0" labelOnly="1" fieldPosition="0">
        <references count="1">
          <reference field="28" count="0"/>
        </references>
      </pivotArea>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28" type="button" dataOnly="0" labelOnly="1" outline="0" axis="axisRow" fieldPosition="0"/>
    </format>
    <format dxfId="118">
      <pivotArea dataOnly="0" labelOnly="1" fieldPosition="0">
        <references count="1">
          <reference field="28" count="0"/>
        </references>
      </pivotArea>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28" type="button" dataOnly="0" labelOnly="1" outline="0" axis="axisRow" fieldPosition="0"/>
    </format>
    <format dxfId="113">
      <pivotArea dataOnly="0" labelOnly="1" fieldPosition="0">
        <references count="1">
          <reference field="28" count="0"/>
        </references>
      </pivotArea>
    </format>
    <format dxfId="112">
      <pivotArea dataOnly="0" labelOnly="1" outline="0" axis="axisValues" fieldPosition="0"/>
    </format>
    <format dxfId="111">
      <pivotArea dataOnly="0" labelOnly="1" outline="0" fieldPosition="0">
        <references count="1">
          <reference field="4294967294" count="2">
            <x v="0"/>
            <x v="1"/>
          </reference>
        </references>
      </pivotArea>
    </format>
    <format dxfId="11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C7DB4F-09B7-4151-AA68-5F7875ADE053}"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am">
  <location ref="A148:B158" firstHeaderRow="1"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dataField="1"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Maiden Overs" fld="38" baseField="0" baseItem="0"/>
  </dataFields>
  <formats count="18">
    <format dxfId="155">
      <pivotArea field="28" type="button" dataOnly="0" labelOnly="1" outline="0" axis="axisRow" fieldPosition="0"/>
    </format>
    <format dxfId="154">
      <pivotArea dataOnly="0" labelOnly="1" outline="0" axis="axisValues" fieldPosition="0"/>
    </format>
    <format dxfId="153">
      <pivotArea field="28" type="button" dataOnly="0" labelOnly="1" outline="0" axis="axisRow" fieldPosition="0"/>
    </format>
    <format dxfId="152">
      <pivotArea dataOnly="0" labelOnly="1" outline="0" axis="axisValues" fieldPosition="0"/>
    </format>
    <format dxfId="151">
      <pivotArea field="28" type="button" dataOnly="0" labelOnly="1" outline="0" axis="axisRow" fieldPosition="0"/>
    </format>
    <format dxfId="150">
      <pivotArea dataOnly="0" labelOnly="1" outline="0" axis="axisValues" fieldPosition="0"/>
    </format>
    <format dxfId="149">
      <pivotArea field="28" type="button" dataOnly="0" labelOnly="1" outline="0" axis="axisRow"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28" type="button" dataOnly="0" labelOnly="1" outline="0" axis="axisRow" fieldPosition="0"/>
    </format>
    <format dxfId="144">
      <pivotArea dataOnly="0" labelOnly="1" fieldPosition="0">
        <references count="1">
          <reference field="28" count="0"/>
        </references>
      </pivotArea>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28" type="button" dataOnly="0" labelOnly="1" outline="0" axis="axisRow" fieldPosition="0"/>
    </format>
    <format dxfId="139">
      <pivotArea dataOnly="0" labelOnly="1" fieldPosition="0">
        <references count="1">
          <reference field="28" count="0"/>
        </references>
      </pivotArea>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07EE4F-10B7-4F2C-9DDA-A7A4FA70AFEA}"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Team" colHeaderCaption="">
  <location ref="A207:D218" firstHeaderRow="1" firstDataRow="2"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axis="axisCol" showAll="0">
      <items count="4">
        <item x="1"/>
        <item x="2"/>
        <item x="0"/>
        <item t="default"/>
      </items>
    </pivotField>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Fields count="1">
    <field x="32"/>
  </colFields>
  <colItems count="3">
    <i>
      <x/>
    </i>
    <i>
      <x v="1"/>
    </i>
    <i>
      <x v="2"/>
    </i>
  </colItems>
  <dataFields count="1">
    <dataField name="Runs vs Wicket" fld="49" baseField="0" baseItem="0"/>
  </dataFields>
  <formats count="20">
    <format dxfId="175">
      <pivotArea type="origin" dataOnly="0" labelOnly="1" outline="0" fieldPosition="0"/>
    </format>
    <format dxfId="174">
      <pivotArea field="32" type="button" dataOnly="0" labelOnly="1" outline="0" axis="axisCol" fieldPosition="0"/>
    </format>
    <format dxfId="173">
      <pivotArea type="topRight" dataOnly="0" labelOnly="1" outline="0" fieldPosition="0"/>
    </format>
    <format dxfId="172">
      <pivotArea field="28" type="button" dataOnly="0" labelOnly="1" outline="0" axis="axisRow" fieldPosition="0"/>
    </format>
    <format dxfId="171">
      <pivotArea dataOnly="0" labelOnly="1" fieldPosition="0">
        <references count="1">
          <reference field="32" count="0"/>
        </references>
      </pivotArea>
    </format>
    <format dxfId="170">
      <pivotArea type="origin" dataOnly="0" labelOnly="1" outline="0" fieldPosition="0"/>
    </format>
    <format dxfId="169">
      <pivotArea field="32" type="button" dataOnly="0" labelOnly="1" outline="0" axis="axisCol" fieldPosition="0"/>
    </format>
    <format dxfId="168">
      <pivotArea type="topRight" dataOnly="0" labelOnly="1" outline="0" fieldPosition="0"/>
    </format>
    <format dxfId="167">
      <pivotArea field="28" type="button" dataOnly="0" labelOnly="1" outline="0" axis="axisRow" fieldPosition="0"/>
    </format>
    <format dxfId="166">
      <pivotArea dataOnly="0" labelOnly="1" fieldPosition="0">
        <references count="1">
          <reference field="32" count="0"/>
        </references>
      </pivotArea>
    </format>
    <format dxfId="165">
      <pivotArea type="origin" dataOnly="0" labelOnly="1" outline="0" fieldPosition="0"/>
    </format>
    <format dxfId="164">
      <pivotArea field="32" type="button" dataOnly="0" labelOnly="1" outline="0" axis="axisCol" fieldPosition="0"/>
    </format>
    <format dxfId="163">
      <pivotArea type="topRight" dataOnly="0" labelOnly="1" outline="0" fieldPosition="0"/>
    </format>
    <format dxfId="162">
      <pivotArea field="28" type="button" dataOnly="0" labelOnly="1" outline="0" axis="axisRow" fieldPosition="0"/>
    </format>
    <format dxfId="161">
      <pivotArea dataOnly="0" labelOnly="1" fieldPosition="0">
        <references count="1">
          <reference field="32" count="0"/>
        </references>
      </pivotArea>
    </format>
    <format dxfId="160">
      <pivotArea type="origin" dataOnly="0" labelOnly="1" outline="0" fieldPosition="0"/>
    </format>
    <format dxfId="159">
      <pivotArea field="32" type="button" dataOnly="0" labelOnly="1" outline="0" axis="axisCol" fieldPosition="0"/>
    </format>
    <format dxfId="158">
      <pivotArea type="topRight" dataOnly="0" labelOnly="1" outline="0" fieldPosition="0"/>
    </format>
    <format dxfId="157">
      <pivotArea field="28" type="button" dataOnly="0" labelOnly="1" outline="0" axis="axisRow" fieldPosition="0"/>
    </format>
    <format dxfId="156">
      <pivotArea dataOnly="0" labelOnly="1" fieldPosition="0">
        <references count="1">
          <reference field="32" count="0"/>
        </references>
      </pivotArea>
    </format>
  </formats>
  <chartFormats count="8">
    <chartFormat chart="0" format="0" series="1">
      <pivotArea type="data" outline="0" fieldPosition="0">
        <references count="2">
          <reference field="4294967294" count="1" selected="0">
            <x v="0"/>
          </reference>
          <reference field="32" count="1" selected="0">
            <x v="0"/>
          </reference>
        </references>
      </pivotArea>
    </chartFormat>
    <chartFormat chart="0" format="1" series="1">
      <pivotArea type="data" outline="0" fieldPosition="0">
        <references count="2">
          <reference field="4294967294" count="1" selected="0">
            <x v="0"/>
          </reference>
          <reference field="32" count="1" selected="0">
            <x v="1"/>
          </reference>
        </references>
      </pivotArea>
    </chartFormat>
    <chartFormat chart="0" format="2" series="1">
      <pivotArea type="data" outline="0" fieldPosition="0">
        <references count="2">
          <reference field="4294967294" count="1" selected="0">
            <x v="0"/>
          </reference>
          <reference field="32" count="1" selected="0">
            <x v="2"/>
          </reference>
        </references>
      </pivotArea>
    </chartFormat>
    <chartFormat chart="7" format="6" series="1">
      <pivotArea type="data" outline="0" fieldPosition="0">
        <references count="2">
          <reference field="4294967294" count="1" selected="0">
            <x v="0"/>
          </reference>
          <reference field="32" count="1" selected="0">
            <x v="0"/>
          </reference>
        </references>
      </pivotArea>
    </chartFormat>
    <chartFormat chart="7" format="7" series="1">
      <pivotArea type="data" outline="0" fieldPosition="0">
        <references count="2">
          <reference field="4294967294" count="1" selected="0">
            <x v="0"/>
          </reference>
          <reference field="32" count="1" selected="0">
            <x v="1"/>
          </reference>
        </references>
      </pivotArea>
    </chartFormat>
    <chartFormat chart="7" format="8" series="1">
      <pivotArea type="data" outline="0" fieldPosition="0">
        <references count="2">
          <reference field="4294967294" count="1" selected="0">
            <x v="0"/>
          </reference>
          <reference field="32" count="1" selected="0">
            <x v="2"/>
          </reference>
        </references>
      </pivotArea>
    </chartFormat>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8BA047-02E7-4D0C-A870-4C617B75DA3E}"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Winning Wickets Range">
  <location ref="A238:B241" firstHeaderRow="1" firstDataRow="1" firstDataCol="1"/>
  <pivotFields count="5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1"/>
        <item h="1" x="4"/>
        <item x="3"/>
        <item x="2"/>
        <item x="0"/>
        <item t="default"/>
      </items>
    </pivotField>
    <pivotField showAll="0"/>
    <pivotField showAll="0"/>
    <pivotField numFmtId="164" showAll="0"/>
    <pivotField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4"/>
  </rowFields>
  <rowItems count="3">
    <i>
      <x v="2"/>
    </i>
    <i>
      <x v="3"/>
    </i>
    <i>
      <x v="4"/>
    </i>
  </rowItems>
  <colItems count="1">
    <i/>
  </colItems>
  <dataFields count="1">
    <dataField name="Match" fld="0" subtotal="count" baseField="0" baseItem="0"/>
  </dataFields>
  <formats count="10">
    <format dxfId="185">
      <pivotArea field="24" type="button" dataOnly="0" labelOnly="1" outline="0" axis="axisRow" fieldPosition="0"/>
    </format>
    <format dxfId="184">
      <pivotArea dataOnly="0" labelOnly="1" outline="0" axis="axisValues" fieldPosition="0"/>
    </format>
    <format dxfId="183">
      <pivotArea field="24" type="button" dataOnly="0" labelOnly="1" outline="0" axis="axisRow" fieldPosition="0"/>
    </format>
    <format dxfId="182">
      <pivotArea dataOnly="0" labelOnly="1" outline="0" axis="axisValues" fieldPosition="0"/>
    </format>
    <format dxfId="181">
      <pivotArea field="24" type="button" dataOnly="0" labelOnly="1" outline="0" axis="axisRow" fieldPosition="0"/>
    </format>
    <format dxfId="180">
      <pivotArea dataOnly="0" labelOnly="1" outline="0" axis="axisValues" fieldPosition="0"/>
    </format>
    <format dxfId="179">
      <pivotArea grandRow="1" outline="0" collapsedLevelsAreSubtotals="1" fieldPosition="0"/>
    </format>
    <format dxfId="178">
      <pivotArea dataOnly="0" labelOnly="1" grandRow="1" outline="0" fieldPosition="0"/>
    </format>
    <format dxfId="177">
      <pivotArea grandRow="1" outline="0" collapsedLevelsAreSubtotals="1" fieldPosition="0"/>
    </format>
    <format dxfId="176">
      <pivotArea dataOnly="0" labelOnly="1" grandRow="1" outline="0"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5BDA7C-5121-4615-A172-B95778405D86}" name="PivotTable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Team">
  <location ref="A6:B16" firstHeaderRow="1"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Win" fld="49" baseField="0" baseItem="0"/>
  </dataFields>
  <formats count="12">
    <format dxfId="197">
      <pivotArea field="28" type="button" dataOnly="0" labelOnly="1" outline="0" axis="axisRow" fieldPosition="0"/>
    </format>
    <format dxfId="196">
      <pivotArea dataOnly="0" labelOnly="1" outline="0" axis="axisValues" fieldPosition="0"/>
    </format>
    <format dxfId="195">
      <pivotArea field="28" type="button" dataOnly="0" labelOnly="1" outline="0" axis="axisRow" fieldPosition="0"/>
    </format>
    <format dxfId="194">
      <pivotArea dataOnly="0" labelOnly="1" outline="0" axis="axisValues" fieldPosition="0"/>
    </format>
    <format dxfId="193">
      <pivotArea field="28" type="button" dataOnly="0" labelOnly="1" outline="0" axis="axisRow" fieldPosition="0"/>
    </format>
    <format dxfId="192">
      <pivotArea dataOnly="0" labelOnly="1" outline="0" axis="axisValues" fieldPosition="0"/>
    </format>
    <format dxfId="191">
      <pivotArea field="28" type="button" dataOnly="0" labelOnly="1" outline="0" axis="axisRow" fieldPosition="0"/>
    </format>
    <format dxfId="190">
      <pivotArea dataOnly="0" labelOnly="1" outline="0" axis="axisValues" fieldPosition="0"/>
    </format>
    <format dxfId="189">
      <pivotArea grandRow="1" outline="0" collapsedLevelsAreSubtotals="1" fieldPosition="0"/>
    </format>
    <format dxfId="188">
      <pivotArea dataOnly="0" labelOnly="1" grandRow="1" outline="0" fieldPosition="0"/>
    </format>
    <format dxfId="187">
      <pivotArea grandRow="1" outline="0" collapsedLevelsAreSubtotals="1" fieldPosition="0"/>
    </format>
    <format dxfId="18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139A42C-E399-40E3-9711-1B10CB40BC2B}" name="PivotTable2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am">
  <location ref="A82:C92" firstHeaderRow="0"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showAll="0"/>
    <pivotField showAll="0"/>
    <pivotField showAll="0"/>
    <pivotField dataField="1" showAll="0"/>
    <pivotField dataField="1"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Fields count="1">
    <field x="-2"/>
  </colFields>
  <colItems count="2">
    <i>
      <x/>
    </i>
    <i i="1">
      <x v="1"/>
    </i>
  </colItems>
  <dataFields count="2">
    <dataField name="4s" fld="39" baseField="0" baseItem="0"/>
    <dataField name="6s" fld="40" baseField="0" baseItem="0"/>
  </dataFields>
  <formats count="32">
    <format dxfId="229">
      <pivotArea field="28" type="button" dataOnly="0" labelOnly="1" outline="0" axis="axisRow" fieldPosition="0"/>
    </format>
    <format dxfId="228">
      <pivotArea dataOnly="0" labelOnly="1" outline="0" fieldPosition="0">
        <references count="1">
          <reference field="4294967294" count="2">
            <x v="0"/>
            <x v="1"/>
          </reference>
        </references>
      </pivotArea>
    </format>
    <format dxfId="227">
      <pivotArea field="28" type="button" dataOnly="0" labelOnly="1" outline="0" axis="axisRow" fieldPosition="0"/>
    </format>
    <format dxfId="226">
      <pivotArea dataOnly="0" labelOnly="1" outline="0" fieldPosition="0">
        <references count="1">
          <reference field="4294967294" count="2">
            <x v="0"/>
            <x v="1"/>
          </reference>
        </references>
      </pivotArea>
    </format>
    <format dxfId="225">
      <pivotArea field="28" type="button" dataOnly="0" labelOnly="1" outline="0" axis="axisRow" fieldPosition="0"/>
    </format>
    <format dxfId="224">
      <pivotArea dataOnly="0" labelOnly="1" outline="0" fieldPosition="0">
        <references count="1">
          <reference field="4294967294" count="2">
            <x v="0"/>
            <x v="1"/>
          </reference>
        </references>
      </pivotArea>
    </format>
    <format dxfId="223">
      <pivotArea field="28" type="button" dataOnly="0" labelOnly="1" outline="0" axis="axisRow" fieldPosition="0"/>
    </format>
    <format dxfId="222">
      <pivotArea dataOnly="0" labelOnly="1" outline="0" fieldPosition="0">
        <references count="1">
          <reference field="4294967294" count="2">
            <x v="0"/>
            <x v="1"/>
          </reference>
        </references>
      </pivotArea>
    </format>
    <format dxfId="221">
      <pivotArea field="28" type="button" dataOnly="0" labelOnly="1" outline="0" axis="axisRow" fieldPosition="0"/>
    </format>
    <format dxfId="220">
      <pivotArea dataOnly="0" labelOnly="1" outline="0" fieldPosition="0">
        <references count="1">
          <reference field="4294967294" count="2">
            <x v="0"/>
            <x v="1"/>
          </reference>
        </references>
      </pivotArea>
    </format>
    <format dxfId="219">
      <pivotArea grandRow="1" outline="0" collapsedLevelsAreSubtotals="1" fieldPosition="0"/>
    </format>
    <format dxfId="218">
      <pivotArea dataOnly="0" labelOnly="1" grandRow="1" outline="0" fieldPosition="0"/>
    </format>
    <format dxfId="217">
      <pivotArea grandRow="1" outline="0" collapsedLevelsAreSubtotals="1" fieldPosition="0"/>
    </format>
    <format dxfId="216">
      <pivotArea dataOnly="0" labelOnly="1" grandRow="1" outline="0" fieldPosition="0"/>
    </format>
    <format dxfId="215">
      <pivotArea type="all" dataOnly="0" outline="0" fieldPosition="0"/>
    </format>
    <format dxfId="214">
      <pivotArea outline="0" collapsedLevelsAreSubtotals="1" fieldPosition="0"/>
    </format>
    <format dxfId="213">
      <pivotArea field="28" type="button" dataOnly="0" labelOnly="1" outline="0" axis="axisRow" fieldPosition="0"/>
    </format>
    <format dxfId="212">
      <pivotArea dataOnly="0" labelOnly="1" fieldPosition="0">
        <references count="1">
          <reference field="28" count="0"/>
        </references>
      </pivotArea>
    </format>
    <format dxfId="211">
      <pivotArea dataOnly="0" labelOnly="1" grandRow="1" outline="0" fieldPosition="0"/>
    </format>
    <format dxfId="210">
      <pivotArea dataOnly="0" labelOnly="1" outline="0" fieldPosition="0">
        <references count="1">
          <reference field="4294967294" count="2">
            <x v="0"/>
            <x v="1"/>
          </reference>
        </references>
      </pivotArea>
    </format>
    <format dxfId="209">
      <pivotArea type="all" dataOnly="0" outline="0" fieldPosition="0"/>
    </format>
    <format dxfId="208">
      <pivotArea outline="0" collapsedLevelsAreSubtotals="1" fieldPosition="0"/>
    </format>
    <format dxfId="207">
      <pivotArea field="28" type="button" dataOnly="0" labelOnly="1" outline="0" axis="axisRow" fieldPosition="0"/>
    </format>
    <format dxfId="206">
      <pivotArea dataOnly="0" labelOnly="1" fieldPosition="0">
        <references count="1">
          <reference field="28" count="0"/>
        </references>
      </pivotArea>
    </format>
    <format dxfId="205">
      <pivotArea dataOnly="0" labelOnly="1" grandRow="1" outline="0" fieldPosition="0"/>
    </format>
    <format dxfId="204">
      <pivotArea dataOnly="0" labelOnly="1" outline="0" fieldPosition="0">
        <references count="1">
          <reference field="4294967294" count="2">
            <x v="0"/>
            <x v="1"/>
          </reference>
        </references>
      </pivotArea>
    </format>
    <format dxfId="203">
      <pivotArea type="all" dataOnly="0" outline="0" fieldPosition="0"/>
    </format>
    <format dxfId="202">
      <pivotArea outline="0" collapsedLevelsAreSubtotals="1" fieldPosition="0"/>
    </format>
    <format dxfId="201">
      <pivotArea field="28" type="button" dataOnly="0" labelOnly="1" outline="0" axis="axisRow" fieldPosition="0"/>
    </format>
    <format dxfId="200">
      <pivotArea dataOnly="0" labelOnly="1" fieldPosition="0">
        <references count="1">
          <reference field="28" count="0"/>
        </references>
      </pivotArea>
    </format>
    <format dxfId="199">
      <pivotArea dataOnly="0" labelOnly="1" grandRow="1" outline="0" fieldPosition="0"/>
    </format>
    <format dxfId="19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C74D92-F95B-453D-A398-0F02981517FB}" name="PivotTable2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am">
  <location ref="A67:B77" firstHeaderRow="1" firstDataRow="1" firstDataCol="1"/>
  <pivotFields count="55">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dataField="1" showAll="0"/>
    <pivotField numFmtId="1" showAll="0"/>
    <pivotField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Avg Score" fld="34" subtotal="average" baseField="0" baseItem="0" numFmtId="2"/>
  </dataFields>
  <formats count="26">
    <format dxfId="255">
      <pivotArea field="28" type="button" dataOnly="0" labelOnly="1" outline="0" axis="axisRow" fieldPosition="0"/>
    </format>
    <format dxfId="254">
      <pivotArea dataOnly="0" labelOnly="1" outline="0" axis="axisValues" fieldPosition="0"/>
    </format>
    <format dxfId="253">
      <pivotArea field="28" type="button" dataOnly="0" labelOnly="1" outline="0" axis="axisRow" fieldPosition="0"/>
    </format>
    <format dxfId="252">
      <pivotArea dataOnly="0" labelOnly="1" outline="0" axis="axisValues" fieldPosition="0"/>
    </format>
    <format dxfId="251">
      <pivotArea type="all" dataOnly="0" outline="0" fieldPosition="0"/>
    </format>
    <format dxfId="250">
      <pivotArea field="28" type="button" dataOnly="0" labelOnly="1" outline="0" axis="axisRow" fieldPosition="0"/>
    </format>
    <format dxfId="249">
      <pivotArea dataOnly="0" labelOnly="1" outline="0" axis="axisValues" fieldPosition="0"/>
    </format>
    <format dxfId="248">
      <pivotArea field="28" type="button" dataOnly="0" labelOnly="1" outline="0" axis="axisRow" fieldPosition="0"/>
    </format>
    <format dxfId="247">
      <pivotArea dataOnly="0" labelOnly="1" outline="0" axis="axisValues" fieldPosition="0"/>
    </format>
    <format dxfId="246">
      <pivotArea field="28" type="button" dataOnly="0" labelOnly="1" outline="0" axis="axisRow" fieldPosition="0"/>
    </format>
    <format dxfId="245">
      <pivotArea dataOnly="0" labelOnly="1" outline="0" axis="axisValues" fieldPosition="0"/>
    </format>
    <format dxfId="244">
      <pivotArea type="all" dataOnly="0" outline="0" fieldPosition="0"/>
    </format>
    <format dxfId="243">
      <pivotArea outline="0" collapsedLevelsAreSubtotals="1" fieldPosition="0"/>
    </format>
    <format dxfId="242">
      <pivotArea field="28" type="button" dataOnly="0" labelOnly="1" outline="0" axis="axisRow" fieldPosition="0"/>
    </format>
    <format dxfId="241">
      <pivotArea dataOnly="0" labelOnly="1" fieldPosition="0">
        <references count="1">
          <reference field="28" count="0"/>
        </references>
      </pivotArea>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field="28" type="button" dataOnly="0" labelOnly="1" outline="0" axis="axisRow" fieldPosition="0"/>
    </format>
    <format dxfId="236">
      <pivotArea dataOnly="0" labelOnly="1" fieldPosition="0">
        <references count="1">
          <reference field="28" count="0"/>
        </references>
      </pivotArea>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28" type="button" dataOnly="0" labelOnly="1" outline="0" axis="axisRow" fieldPosition="0"/>
    </format>
    <format dxfId="231">
      <pivotArea dataOnly="0" labelOnly="1" fieldPosition="0">
        <references count="1">
          <reference field="28" count="0"/>
        </references>
      </pivotArea>
    </format>
    <format dxfId="2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C788EB7-40E8-40BE-A964-524FCFD101CE}" name="PivotTable1"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Team">
  <location ref="A190:C200" firstHeaderRow="0"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s>
  <rowFields count="1">
    <field x="28"/>
  </rowFields>
  <rowItems count="10">
    <i>
      <x/>
    </i>
    <i>
      <x v="1"/>
    </i>
    <i>
      <x v="2"/>
    </i>
    <i>
      <x v="3"/>
    </i>
    <i>
      <x v="4"/>
    </i>
    <i>
      <x v="5"/>
    </i>
    <i>
      <x v="6"/>
    </i>
    <i>
      <x v="7"/>
    </i>
    <i>
      <x v="8"/>
    </i>
    <i>
      <x v="9"/>
    </i>
  </rowItems>
  <colFields count="1">
    <field x="-2"/>
  </colFields>
  <colItems count="2">
    <i>
      <x/>
    </i>
    <i i="1">
      <x v="1"/>
    </i>
  </colItems>
  <dataFields count="2">
    <dataField name="Toss Won &amp; Match Won " fld="53" baseField="28" baseItem="0"/>
    <dataField name="Toss Won" fld="52" baseField="28" baseItem="0"/>
  </dataFields>
  <formats count="4">
    <format dxfId="259">
      <pivotArea field="28" type="button" dataOnly="0" labelOnly="1" outline="0" axis="axisRow" fieldPosition="0"/>
    </format>
    <format dxfId="258">
      <pivotArea dataOnly="0" labelOnly="1" outline="0" fieldPosition="0">
        <references count="1">
          <reference field="4294967294" count="2">
            <x v="0"/>
            <x v="1"/>
          </reference>
        </references>
      </pivotArea>
    </format>
    <format dxfId="257">
      <pivotArea field="28" type="button" dataOnly="0" labelOnly="1" outline="0" axis="axisRow" fieldPosition="0"/>
    </format>
    <format dxfId="2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BCCC85E-F8EF-4D6F-A0E3-1741E0BE80C4}" name="PivotTable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Team">
  <location ref="A130:B140" firstHeaderRow="1" firstDataRow="1" firstDataCol="1"/>
  <pivotFields count="5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11">
        <item x="4"/>
        <item x="8"/>
        <item x="5"/>
        <item x="0"/>
        <item x="9"/>
        <item x="3"/>
        <item x="1"/>
        <item x="2"/>
        <item x="6"/>
        <item x="7"/>
        <item t="default"/>
      </items>
    </pivotField>
    <pivotField showAll="0"/>
    <pivotField showAll="0">
      <items count="11">
        <item x="6"/>
        <item x="8"/>
        <item x="0"/>
        <item x="7"/>
        <item x="4"/>
        <item x="3"/>
        <item x="2"/>
        <item x="1"/>
        <item x="9"/>
        <item x="5"/>
        <item t="default"/>
      </items>
    </pivotField>
    <pivotField showAll="0">
      <items count="11">
        <item x="3"/>
        <item x="5"/>
        <item x="9"/>
        <item x="2"/>
        <item x="4"/>
        <item x="7"/>
        <item x="6"/>
        <item x="0"/>
        <item x="1"/>
        <item x="8"/>
        <item t="default"/>
      </items>
    </pivotField>
    <pivotField showAll="0"/>
    <pivotField showAll="0"/>
    <pivotField showAll="0"/>
    <pivotField numFmtId="1" showAll="0"/>
    <pivotField dataField="1" showAll="0"/>
    <pivotField showAll="0"/>
    <pivotField showAll="0"/>
    <pivotField showAll="0"/>
    <pivotField showAll="0"/>
    <pivotField showAll="0"/>
    <pivotField showAll="0"/>
    <pivotField showAll="0">
      <items count="11">
        <item x="6"/>
        <item x="7"/>
        <item x="2"/>
        <item x="5"/>
        <item x="4"/>
        <item x="8"/>
        <item x="0"/>
        <item x="1"/>
        <item x="3"/>
        <item x="9"/>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8"/>
  </rowFields>
  <rowItems count="10">
    <i>
      <x/>
    </i>
    <i>
      <x v="1"/>
    </i>
    <i>
      <x v="2"/>
    </i>
    <i>
      <x v="3"/>
    </i>
    <i>
      <x v="4"/>
    </i>
    <i>
      <x v="5"/>
    </i>
    <i>
      <x v="6"/>
    </i>
    <i>
      <x v="7"/>
    </i>
    <i>
      <x v="8"/>
    </i>
    <i>
      <x v="9"/>
    </i>
  </rowItems>
  <colItems count="1">
    <i/>
  </colItems>
  <dataFields count="1">
    <dataField name="Wickets  Lost" fld="36" baseField="0" baseItem="0"/>
  </dataFields>
  <formats count="6">
    <format dxfId="265">
      <pivotArea field="28" type="button" dataOnly="0" labelOnly="1" outline="0" axis="axisRow" fieldPosition="0"/>
    </format>
    <format dxfId="264">
      <pivotArea dataOnly="0" labelOnly="1" outline="0" axis="axisValues" fieldPosition="0"/>
    </format>
    <format dxfId="263">
      <pivotArea field="28" type="button" dataOnly="0" labelOnly="1" outline="0" axis="axisRow" fieldPosition="0"/>
    </format>
    <format dxfId="262">
      <pivotArea dataOnly="0" labelOnly="1" outline="0" axis="axisValues" fieldPosition="0"/>
    </format>
    <format dxfId="261">
      <pivotArea field="28" dataOnly="0" grandRow="1" axis="axisRow" fieldPosition="0">
        <references count="1">
          <reference field="28" count="0"/>
        </references>
      </pivotArea>
    </format>
    <format dxfId="260">
      <pivotArea field="28" dataOnly="0" grandRow="1" axis="axisRow" fieldPosition="0">
        <references count="1">
          <reference field="2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7E0A966B-6852-444A-BFE5-B8B7F396F307}" sourceName="Team">
  <pivotTables>
    <pivotTable tabId="33" name="PivotTable3"/>
    <pivotTable tabId="33" name="PivotTable10"/>
    <pivotTable tabId="33" name="PivotTable11"/>
    <pivotTable tabId="33" name="PivotTable12"/>
    <pivotTable tabId="33" name="PivotTable16"/>
    <pivotTable tabId="33" name="PivotTable19"/>
    <pivotTable tabId="33" name="PivotTable24"/>
    <pivotTable tabId="33" name="PivotTable27"/>
    <pivotTable tabId="33" name="PivotTable32"/>
    <pivotTable tabId="33" name="PivotTable4"/>
    <pivotTable tabId="33" name="PivotTable5"/>
    <pivotTable tabId="33" name="PivotTable6"/>
    <pivotTable tabId="33" name="PivotTable7"/>
    <pivotTable tabId="33" name="PivotTable8"/>
    <pivotTable tabId="33" name="PivotTable9"/>
    <pivotTable tabId="30" name="PivotTable2"/>
    <pivotTable tabId="30" name="PivotTable3"/>
    <pivotTable tabId="30" name="PivotTable4"/>
  </pivotTables>
  <data>
    <tabular pivotCacheId="1413419364">
      <items count="10">
        <i x="4" s="1"/>
        <i x="8" s="1"/>
        <i x="5" s="1"/>
        <i x="0" s="1"/>
        <i x="9" s="1"/>
        <i x="3" s="1"/>
        <i x="1" s="1"/>
        <i x="2"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8EFE352A-BE52-4A64-A96D-58BA44E3A429}" sourceName="City2">
  <pivotTables>
    <pivotTable tabId="33" name="PivotTable3"/>
    <pivotTable tabId="33" name="PivotTable10"/>
    <pivotTable tabId="33" name="PivotTable11"/>
    <pivotTable tabId="33" name="PivotTable12"/>
    <pivotTable tabId="33" name="PivotTable16"/>
    <pivotTable tabId="33" name="PivotTable19"/>
    <pivotTable tabId="33" name="PivotTable24"/>
    <pivotTable tabId="33" name="PivotTable27"/>
    <pivotTable tabId="33" name="PivotTable32"/>
    <pivotTable tabId="33" name="PivotTable4"/>
    <pivotTable tabId="33" name="PivotTable5"/>
    <pivotTable tabId="33" name="PivotTable6"/>
    <pivotTable tabId="33" name="PivotTable7"/>
    <pivotTable tabId="33" name="PivotTable8"/>
    <pivotTable tabId="33" name="PivotTable9"/>
    <pivotTable tabId="30" name="PivotTable2"/>
    <pivotTable tabId="30" name="PivotTable3"/>
    <pivotTable tabId="30" name="PivotTable4"/>
  </pivotTables>
  <data>
    <tabular pivotCacheId="1413419364">
      <items count="10">
        <i x="6" s="1"/>
        <i x="8" s="1"/>
        <i x="0" s="1"/>
        <i x="7" s="1"/>
        <i x="4" s="1"/>
        <i x="3" s="1"/>
        <i x="2" s="1"/>
        <i x="1"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dium2" xr10:uid="{939EC88D-2733-498F-A522-72ABC690A006}" sourceName="Stadium2">
  <pivotTables>
    <pivotTable tabId="33" name="PivotTable3"/>
    <pivotTable tabId="33" name="PivotTable10"/>
    <pivotTable tabId="33" name="PivotTable11"/>
    <pivotTable tabId="33" name="PivotTable12"/>
    <pivotTable tabId="33" name="PivotTable16"/>
    <pivotTable tabId="33" name="PivotTable19"/>
    <pivotTable tabId="33" name="PivotTable24"/>
    <pivotTable tabId="33" name="PivotTable27"/>
    <pivotTable tabId="33" name="PivotTable32"/>
    <pivotTable tabId="33" name="PivotTable4"/>
    <pivotTable tabId="33" name="PivotTable5"/>
    <pivotTable tabId="33" name="PivotTable6"/>
    <pivotTable tabId="33" name="PivotTable7"/>
    <pivotTable tabId="33" name="PivotTable8"/>
    <pivotTable tabId="33" name="PivotTable9"/>
    <pivotTable tabId="30" name="PivotTable2"/>
    <pivotTable tabId="30" name="PivotTable3"/>
    <pivotTable tabId="30" name="PivotTable4"/>
  </pivotTables>
  <data>
    <tabular pivotCacheId="1413419364">
      <items count="10">
        <i x="3" s="1"/>
        <i x="5" s="1"/>
        <i x="9" s="1"/>
        <i x="2" s="1"/>
        <i x="4" s="1"/>
        <i x="7" s="1"/>
        <i x="6" s="1"/>
        <i x="0" s="1"/>
        <i x="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ss_Decision2" xr10:uid="{B6684B08-A6DE-41D7-B9DE-57C52E524AFD}" sourceName="Toss Decision2">
  <pivotTables>
    <pivotTable tabId="33" name="PivotTable3"/>
    <pivotTable tabId="33" name="PivotTable10"/>
    <pivotTable tabId="33" name="PivotTable11"/>
    <pivotTable tabId="33" name="PivotTable12"/>
    <pivotTable tabId="33" name="PivotTable16"/>
    <pivotTable tabId="33" name="PivotTable19"/>
    <pivotTable tabId="33" name="PivotTable24"/>
    <pivotTable tabId="33" name="PivotTable27"/>
    <pivotTable tabId="33" name="PivotTable32"/>
    <pivotTable tabId="33" name="PivotTable4"/>
    <pivotTable tabId="33" name="PivotTable5"/>
    <pivotTable tabId="33" name="PivotTable6"/>
    <pivotTable tabId="33" name="PivotTable7"/>
    <pivotTable tabId="33" name="PivotTable8"/>
    <pivotTable tabId="33" name="PivotTable9"/>
    <pivotTable tabId="30" name="PivotTable2"/>
    <pivotTable tabId="30" name="PivotTable3"/>
    <pivotTable tabId="30" name="PivotTable4"/>
  </pivotTables>
  <data>
    <tabular pivotCacheId="141341936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ing_Team2" xr10:uid="{3DF73FDF-BC26-423A-954C-77B040D63EB9}" sourceName="Winning Team2">
  <pivotTables>
    <pivotTable tabId="33" name="PivotTable3"/>
    <pivotTable tabId="33" name="PivotTable10"/>
    <pivotTable tabId="33" name="PivotTable11"/>
    <pivotTable tabId="33" name="PivotTable12"/>
    <pivotTable tabId="33" name="PivotTable16"/>
    <pivotTable tabId="33" name="PivotTable19"/>
    <pivotTable tabId="33" name="PivotTable24"/>
    <pivotTable tabId="33" name="PivotTable27"/>
    <pivotTable tabId="33" name="PivotTable32"/>
    <pivotTable tabId="33" name="PivotTable4"/>
    <pivotTable tabId="33" name="PivotTable5"/>
    <pivotTable tabId="33" name="PivotTable6"/>
    <pivotTable tabId="33" name="PivotTable7"/>
    <pivotTable tabId="33" name="PivotTable8"/>
    <pivotTable tabId="33" name="PivotTable9"/>
    <pivotTable tabId="30" name="PivotTable2"/>
    <pivotTable tabId="30" name="PivotTable3"/>
    <pivotTable tabId="30" name="PivotTable4"/>
  </pivotTables>
  <data>
    <tabular pivotCacheId="1413419364">
      <items count="10">
        <i x="6" s="1"/>
        <i x="7" s="1"/>
        <i x="2" s="1"/>
        <i x="5" s="1"/>
        <i x="4" s="1"/>
        <i x="8" s="1"/>
        <i x="0" s="1"/>
        <i x="1" s="1"/>
        <i x="3"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E856B7DE-162E-478D-ACC9-A5ABB48BCED1}" cache="Slicer_Team" caption="Team" style="SlicerStyleLight4" rowHeight="247650"/>
  <slicer name="City" xr10:uid="{329B2755-64C9-45BA-9A9D-E6D3FF0CE1E6}" cache="Slicer_City2" caption="City" style="SlicerStyleLight5" rowHeight="247650"/>
  <slicer name="Stadium" xr10:uid="{AB4B4902-914E-4439-B778-E45D223649F9}" cache="Slicer_Stadium2" caption="Stadium" style="SlicerStyleLight3" rowHeight="247650"/>
  <slicer name="Toss Decision" xr10:uid="{F9BB18BB-4B7A-4F0C-858F-11A67A3C4B6F}" cache="Slicer_Toss_Decision2" caption="Toss Decision" style="SlicerStyleLight2" rowHeight="247650"/>
  <slicer name="Winning Team" xr10:uid="{2DA517E7-5F88-4E38-B4A6-5343463FDAC5}" cache="Slicer_Winning_Team2" caption="Winning Team"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788BD8D8-DACF-4939-BDE0-6391436E0F75}" cache="Slicer_Team" caption="Team" columnCount="5" style="CWC 2023" rowHeight="247650"/>
  <slicer name="City 1" xr10:uid="{7C6C9693-C323-496F-B852-524D2A1A0E75}" cache="Slicer_City2" caption="City" columnCount="5" style="CWC 2023" rowHeight="247650"/>
  <slicer name="Stadium 1" xr10:uid="{936CB7DB-9F7A-4A45-A032-F95C653CE366}" cache="Slicer_Stadium2" caption="Stadium" columnCount="3" style="CWC 2023" rowHeight="247650"/>
  <slicer name="Toss Decision 1" xr10:uid="{5907AD93-D83F-46EC-82A0-0592411E7B39}" cache="Slicer_Toss_Decision2" caption="Toss Decision" columnCount="2" style="CWC 2023" rowHeight="247650"/>
  <slicer name="Winning Team 1" xr10:uid="{4552D887-BCCA-4560-9694-71059D096BFE}" cache="Slicer_Winning_Team2" caption="Winning Team" columnCount="5" style="CWC 202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6D0F7-7E85-4D03-92DA-E8D4F49BE15C}" name="Table1" displayName="Table1" ref="A1:AR49" totalsRowShown="0">
  <autoFilter ref="A1:AR49" xr:uid="{D236D0F7-7E85-4D03-92DA-E8D4F49BE15C}"/>
  <tableColumns count="44">
    <tableColumn id="1" xr3:uid="{F2EE3BB7-64A9-4DDE-AED7-2D8AE1033BB1}" name="Match ID"/>
    <tableColumn id="45" xr3:uid="{77D4EA67-0DE2-4863-BB58-D9133CA1A645}" name="Match Date" dataDxfId="382"/>
    <tableColumn id="3" xr3:uid="{19D49379-3ADD-4A4D-B7AB-B7CA97841DF5}" name="Match Time" dataDxfId="381"/>
    <tableColumn id="4" xr3:uid="{9E6B5859-941C-4ACC-B8D9-7B1CAB312A09}" name="City"/>
    <tableColumn id="5" xr3:uid="{B7F7CC4F-C5DB-4B78-B156-B081353FA8E0}" name="Stadium"/>
    <tableColumn id="6" xr3:uid="{BAD07F03-F6F0-4129-895E-3E41F9DE9D3D}" name="Team A"/>
    <tableColumn id="7" xr3:uid="{6B7EF30E-80F5-4E51-B968-90E4866DE3F6}" name="Team B"/>
    <tableColumn id="8" xr3:uid="{6C7047F4-D430-429F-BADC-EE00A25B4F1E}" name="Toss Winner"/>
    <tableColumn id="9" xr3:uid="{201C160F-D4C8-4927-BFCF-082564D4AA4E}" name="Toss Decision"/>
    <tableColumn id="10" xr3:uid="{6A66973A-941F-45F8-8B96-46A56D8E2D4C}" name="Score A"/>
    <tableColumn id="11" xr3:uid="{2861F0E6-D83D-4FF6-ACC3-CCD12311410F}" name="Wickets A"/>
    <tableColumn id="12" xr3:uid="{4BEA3DD7-CD14-4CDD-9EC5-0A330ECE8BCF}" name="Overs Played A"/>
    <tableColumn id="13" xr3:uid="{DC48E63B-657A-47DD-BB88-71F12D7B037D}" name="Maiden Overs A"/>
    <tableColumn id="14" xr3:uid="{A3D60CB0-4300-45EE-A64C-8C978CF06532}" name="4s A"/>
    <tableColumn id="15" xr3:uid="{8B4E636A-24F2-4338-9835-A4EA7AB5748E}" name="6s A"/>
    <tableColumn id="16" xr3:uid="{11FEC0C3-FC4F-4FF8-8532-684436E1E7B0}" name="Boundaries A"/>
    <tableColumn id="17" xr3:uid="{60904695-9AAC-4A74-994B-5924647199F7}" name="Runrate A"/>
    <tableColumn id="18" xr3:uid="{3F27F0D0-80E5-424D-B13C-890215FE4B65}" name="Leg Byes A"/>
    <tableColumn id="19" xr3:uid="{5E7EA8D8-CC06-4E8A-BD6A-CC2A5A3B2E01}" name="Byes A"/>
    <tableColumn id="20" xr3:uid="{50A172A6-2CA7-4032-9A2D-07E0940428E5}" name="Wides A"/>
    <tableColumn id="21" xr3:uid="{DE0F4D07-7472-4520-AFFB-C1A5CF871B7F}" name="No Balls A"/>
    <tableColumn id="22" xr3:uid="{5EDA8BBE-1C32-43B1-8FD8-C89976C6C79D}" name="Penalty A"/>
    <tableColumn id="23" xr3:uid="{B0F99782-DB75-449F-9830-BF5B32A8E746}" name="Extras A"/>
    <tableColumn id="24" xr3:uid="{382FC8DF-60BD-43D9-9B67-C17333D17197}" name="Score B"/>
    <tableColumn id="25" xr3:uid="{D409AFD2-232B-4842-9B39-1A513C492FE1}" name="Wickets B"/>
    <tableColumn id="26" xr3:uid="{8FD2FD9E-BACF-4A31-B4E7-CAA84C573933}" name="Overs Played B"/>
    <tableColumn id="27" xr3:uid="{9EA8074E-2DDA-4DE7-939E-C9BCE2EB20C4}" name="Maiden Overs B"/>
    <tableColumn id="28" xr3:uid="{7CC3AAE3-96AC-4CBA-B8D2-BBDC6CF3771A}" name="4s B"/>
    <tableColumn id="29" xr3:uid="{4644987A-0E37-4092-A96D-4281CD7425AC}" name="6s B"/>
    <tableColumn id="30" xr3:uid="{D02C27F7-1888-43DA-AA65-BAEDFABB9BEA}" name="Boundaries B"/>
    <tableColumn id="31" xr3:uid="{47827F3B-C542-455E-AD10-35B2FF8632C6}" name="Runrate B"/>
    <tableColumn id="32" xr3:uid="{3075B010-4994-4A1C-9FEF-474E89194B9A}" name="Leg Byes B"/>
    <tableColumn id="33" xr3:uid="{EB038FD3-051F-4657-A897-1D7BA0A60C71}" name="Byes B"/>
    <tableColumn id="34" xr3:uid="{7C45D7E9-B628-4319-87C8-220513050E89}" name="Wides B"/>
    <tableColumn id="35" xr3:uid="{7AF2D3D9-E9F6-4DBF-A24A-F902A4C0A9DB}" name="No Balls B"/>
    <tableColumn id="36" xr3:uid="{F8286FD9-1833-49DB-8E1E-E89ED939B79F}" name="Penalty B"/>
    <tableColumn id="37" xr3:uid="{B1D1AD2F-C847-4308-A8CC-11E2A03915E9}" name="Extras B"/>
    <tableColumn id="38" xr3:uid="{B75AA17A-37F2-47F2-AD99-71D36856374B}" name="Wining Team"/>
    <tableColumn id="39" xr3:uid="{79870224-3FA8-4D76-97AD-1D8562C74893}" name="Margin"/>
    <tableColumn id="40" xr3:uid="{5DD5ADF7-2F28-4FAC-B845-75C834FA9BBC}" name="Man of the Match"/>
    <tableColumn id="41" xr3:uid="{58FCA4D3-D6E7-4B07-AD2B-1E9B669464D3}" name="Umpire 1"/>
    <tableColumn id="42" xr3:uid="{48205428-5829-45BB-8867-C40666000AF4}" name="Umpire 2"/>
    <tableColumn id="43" xr3:uid="{78F0D826-CC8E-4DD1-B523-3AE4B4A87884}" name="TV Umpire"/>
    <tableColumn id="44" xr3:uid="{6962A147-8CDA-4DDE-B10D-6BE781305741}" name="Match Refre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5CF14F-7936-49F8-B766-20A550143EC9}" name="Calculations_1" displayName="Calculations_1" ref="A1:Y49" totalsRowShown="0" headerRowDxfId="380" dataDxfId="379">
  <autoFilter ref="A1:Y49" xr:uid="{AD5CF14F-7936-49F8-B766-20A550143EC9}"/>
  <tableColumns count="25">
    <tableColumn id="1" xr3:uid="{E093690D-5C2B-4E6D-B4FD-BC31413EC661}" name="Match ID" dataDxfId="378"/>
    <tableColumn id="3" xr3:uid="{09D35C3D-7A9A-44DB-91B7-9C19286E3687}" name="Match Date" dataDxfId="377">
      <calculatedColumnFormula>IF(ISNUMBER(Table1[[#This Row],[Match Date]]),DATE(YEAR(Table1[[#This Row],[Match Date]]),DAY(Table1[[#This Row],[Match Date]]),MONTH(Table1[[#This Row],[Match Date]])),DATE(VALUE(RIGHT(TRIM(Table1[[#This Row],[Match Date]]),4)),VALUE(MID(TRIM(Table1[[#This Row],[Match Date]]),4,2)),VALUE(LEFT(TRIM(Table1[[#This Row],[Match Date]]),2))))</calculatedColumnFormula>
    </tableColumn>
    <tableColumn id="4" xr3:uid="{5C878605-9F07-4E03-BDA8-5D3FFCF1FA66}" name="City" dataDxfId="376">
      <calculatedColumnFormula>TRIM(Table1[[#This Row],[City]])</calculatedColumnFormula>
    </tableColumn>
    <tableColumn id="5" xr3:uid="{FA9CA9B4-0F8F-4BC9-9C63-D22154ABE597}" name="Stadium" dataDxfId="375">
      <calculatedColumnFormula>IF(AND(TRIM(Table1[[#This Row],[Stadium]])="Eden Gardens",TRIM(Table1[[#This Row],[City]])&lt;&gt;"Kolkata"),"Rajiv Gandhi International Stadium",TRIM(Table1[[#This Row],[Stadium]]))</calculatedColumnFormula>
    </tableColumn>
    <tableColumn id="6" xr3:uid="{47401361-6499-4E59-B00D-F44B6624AC01}" name="Team A" dataDxfId="374">
      <calculatedColumnFormula>SUBSTITUTE(Table1[[#This Row],[Team A]],"NewZealand","New Zealand")</calculatedColumnFormula>
    </tableColumn>
    <tableColumn id="7" xr3:uid="{1482A410-6BD7-45B8-8989-465F6350622E}" name="Team B" dataDxfId="373">
      <calculatedColumnFormula>SUBSTITUTE(Table1[[#This Row],[Team B]],"NewZealand","New Zealand")</calculatedColumnFormula>
    </tableColumn>
    <tableColumn id="8" xr3:uid="{92483AE4-801D-4076-9401-5C09BFA508DB}" name="Toss Winner" dataDxfId="372">
      <calculatedColumnFormula>SUBSTITUTE(Table1[[#This Row],[Toss Winner]],"NewZealand","New Zealand")</calculatedColumnFormula>
    </tableColumn>
    <tableColumn id="9" xr3:uid="{D03872FB-D576-4B0F-950C-E709F6283F15}" name="Winning Team" dataDxfId="371">
      <calculatedColumnFormula>SUBSTITUTE(Table1[[#This Row],[Wining Team]],"NewZealand","New Zealand")</calculatedColumnFormula>
    </tableColumn>
    <tableColumn id="10" xr3:uid="{7AF04E51-2CFC-4D54-B34A-B8D23BC3E936}" name="Toss Decision" dataDxfId="370">
      <calculatedColumnFormula>TRIM(Table1[[#This Row],[Toss Decision]])</calculatedColumnFormula>
    </tableColumn>
    <tableColumn id="11" xr3:uid="{CB844A9C-9BE9-411B-9CF5-F149E6BD3017}" name="Score A" dataDxfId="369">
      <calculatedColumnFormula>Table1[[#This Row],[Score A]]</calculatedColumnFormula>
    </tableColumn>
    <tableColumn id="12" xr3:uid="{A34747BA-74F2-4A97-A1CF-2332ACF404D7}" name="Score B" dataDxfId="368">
      <calculatedColumnFormula>Table1[[#This Row],[Score B]]</calculatedColumnFormula>
    </tableColumn>
    <tableColumn id="13" xr3:uid="{0648DE8F-FE7D-45B3-8FFC-84330112216F}" name="Total Runs (match) " dataDxfId="367">
      <calculatedColumnFormula>SUM(Calculations_1[[#This Row],[Score A]],Calculations_1[[#This Row],[Score B]])</calculatedColumnFormula>
    </tableColumn>
    <tableColumn id="14" xr3:uid="{41CDA45E-C8CC-4BFA-A8A5-4914EF5FED28}" name="Total Wickets (match)" dataDxfId="366">
      <calculatedColumnFormula>SUM(Table1[[#This Row],[Wickets A]],Table1[[#This Row],[Wickets B]])</calculatedColumnFormula>
    </tableColumn>
    <tableColumn id="15" xr3:uid="{C26C0957-7109-4FD4-B7B9-E0BD14552BB0}" name="Total 4s (match)" dataDxfId="365">
      <calculatedColumnFormula>SUM(Table1[[#This Row],[4s A]],Table1[[#This Row],[4s B]])</calculatedColumnFormula>
    </tableColumn>
    <tableColumn id="16" xr3:uid="{7158B61E-38B4-45B4-9F5D-16E2AA309A04}" name="Total 6s (match)" dataDxfId="364">
      <calculatedColumnFormula>SUM(Table1[[#This Row],[6s A]],Table1[[#This Row],[6s B]])</calculatedColumnFormula>
    </tableColumn>
    <tableColumn id="17" xr3:uid="{7B6C1B35-C709-4EBA-8C4C-4834089BDE1E}" name="Total Boundaries (match)" dataDxfId="363">
      <calculatedColumnFormula>SUM(Calculations_1[[#This Row],[Total 4s (match)]],Calculations_1[[#This Row],[Total 6s (match)]])</calculatedColumnFormula>
    </tableColumn>
    <tableColumn id="18" xr3:uid="{6EA6F2C4-F16A-4F05-BE81-2E9C5DACE11D}" name="Margin (text)" dataDxfId="362">
      <calculatedColumnFormula>TRIM(Table1[[#This Row],[Margin]])</calculatedColumnFormula>
    </tableColumn>
    <tableColumn id="19" xr3:uid="{EA00CED8-A8BE-443E-BC1C-DF0D82DA79BF}" name="Margin Value" dataDxfId="361">
      <calculatedColumnFormula>VALUE(LEFT(Calculations_1[[#This Row],[Margin (text)]],FIND(" ",Calculations_1[[#This Row],[Margin (text)]])-1))</calculatedColumnFormula>
    </tableColumn>
    <tableColumn id="20" xr3:uid="{3F3DE53C-F1F4-4070-B380-B63ADBC197CB}" name="Winning Margin Type" dataDxfId="360">
      <calculatedColumnFormula>IF(ISNUMBER(SEARCH("DLS",Calculations_1[[#This Row],[Margin (text)]])),"Runs (DLS) Method",IF(ISNUMBER(SEARCH("run",Calculations_1[[#This Row],[Margin (text)]])),"Runs","Wickets"))</calculatedColumnFormula>
    </tableColumn>
    <tableColumn id="2" xr3:uid="{22D4B1F7-CFE8-4F93-99E5-B122B28486C8}" name="Match Result" dataDxfId="359">
      <calculatedColumnFormula>IF(Calculations_1[[#This Row],[Winning Margin Type]]="Wickets","Chasing Won",IF(Calculations_1[[#This Row],[Winning Margin Type]]="Runs","Batting First Won","DLS Result"))</calculatedColumnFormula>
    </tableColumn>
    <tableColumn id="21" xr3:uid="{E8E59714-FD4F-4846-9F0B-DD4237BE5CF8}" name="Toss Winner Won Match (1/0)" dataDxfId="358">
      <calculatedColumnFormula>IF(Calculations_1[[#This Row],[Toss Winner]]=Calculations_1[[#This Row],[Winning Team]],1,0)</calculatedColumnFormula>
    </tableColumn>
    <tableColumn id="22" xr3:uid="{FAF77E3E-DD13-40DB-9FB5-8F49EE46B8F9}" name="Match Result by Toss" dataDxfId="357">
      <calculatedColumnFormula>IF(Calculations_1[[#This Row],[Toss Winner Won Match (1/0)]]=1,"Toss Winner Won","Toss Winner Lost")</calculatedColumnFormula>
    </tableColumn>
    <tableColumn id="23" xr3:uid="{BF290C4B-3529-485A-BCC9-F43ACD191236}" name="Man of the Match" dataDxfId="356">
      <calculatedColumnFormula>TRIM(Table1[[#This Row],[Man of the Match]])</calculatedColumnFormula>
    </tableColumn>
    <tableColumn id="24" xr3:uid="{128B6711-3E13-4307-8EAD-80975CE0DE7E}" name="Winning Runs Range" dataDxfId="355">
      <calculatedColumnFormula array="1">IF(Calculations_1[[#This Row],[Winning Margin Type]]="Runs",_xlfn.IFS(Calculations_1[[#This Row],[Margin Value]]&lt;=50,"1-50",Calculations_1[[#This Row],[Margin Value]]&lt;=100,"51-100",Calculations_1[[#This Row],[Margin Value]]&lt;=150,"101-150",Calculations_1[[#This Row],[Margin Value]]&lt;=200,"151-200",TRUE,"201+"),"")</calculatedColumnFormula>
    </tableColumn>
    <tableColumn id="25" xr3:uid="{5C0151E5-C743-40D9-A3D4-A6FAEFD32CAB}" name="Winning Wickets Range" dataDxfId="354">
      <calculatedColumnFormula array="1">IF(Calculations_1[[#This Row],[Winning Margin Type]]="Wickets",_xlfn.IFS(Calculations_1[[#This Row],[Margin Value]]&lt;=3,"1-3",Calculations_1[[#This Row],[Margin Value]]&lt;=6,"4-6",Calculations_1[[#This Row],[Margin Value]]&lt;=10,"7-10"),"")</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A17BD7-4448-460F-B221-82B9E8E8BA1C}" name="Table354" displayName="Table354" ref="AA1:BC97" totalsRowShown="0" headerRowDxfId="353" dataDxfId="352">
  <autoFilter ref="AA1:BC97" xr:uid="{3AA17BD7-4448-460F-B221-82B9E8E8BA1C}"/>
  <tableColumns count="29">
    <tableColumn id="1" xr3:uid="{B152C2DD-FDCD-41F1-A46D-D83D0E004E03}" name="Match ID" dataDxfId="351"/>
    <tableColumn id="2" xr3:uid="{7FF6E2F6-247A-4320-8251-19F2BD86B4E6}" name="Match Date" dataDxfId="350"/>
    <tableColumn id="3" xr3:uid="{35301983-7AFA-4F62-B15A-959E65101C2C}" name="Team" dataDxfId="349"/>
    <tableColumn id="4" xr3:uid="{D37500E1-9385-483D-89B6-9CACFCEAAE5D}" name="Opponent" dataDxfId="348"/>
    <tableColumn id="5" xr3:uid="{FC168BEB-97DE-4A21-B4EA-7AE5E0D964F9}" name="City" dataDxfId="347"/>
    <tableColumn id="6" xr3:uid="{F59AE5C8-D561-442E-8E61-F7597C0CCE73}" name="Stadium" dataDxfId="346"/>
    <tableColumn id="7" xr3:uid="{9C7A826E-F012-4448-A36D-A4A915EBEC7E}" name="Winning Margin Type" dataDxfId="345"/>
    <tableColumn id="8" xr3:uid="{5EFF9E29-0AA4-4733-9D14-2E00D5544C88}" name="Match Result" dataDxfId="344"/>
    <tableColumn id="9" xr3:uid="{0419177A-56A4-4B92-945A-380446AA58A6}" name="Score" dataDxfId="343"/>
    <tableColumn id="10" xr3:uid="{CAE0E229-BBE3-4610-B76F-9C147511A7DD}" name="Wickets Taken (bowling)" dataDxfId="342">
      <calculatedColumnFormula array="1">_xlfn.XLOOKUP(
1,
(Table354[Match ID]=Table354[[#This Row],[Match ID]])*
(Table354[Team]=Table354[[#This Row],[Opponent]]),
Table354[Wickets Lost (batting)]
)</calculatedColumnFormula>
    </tableColumn>
    <tableColumn id="11" xr3:uid="{FF469006-2AEA-4F37-A1B5-11E858AED182}" name="Wickets Lost (batting)" dataDxfId="341"/>
    <tableColumn id="12" xr3:uid="{3996AD77-1758-4036-BC98-F72D9A0871A0}" name="Overs Played" dataDxfId="340"/>
    <tableColumn id="13" xr3:uid="{AB17EB5D-D067-46D9-9C60-2F41D4B3431C}" name="Maiden Overs" dataDxfId="339"/>
    <tableColumn id="14" xr3:uid="{F4535634-BD63-48CD-AA3A-1D2DDDF491A1}" name="4s" dataDxfId="338"/>
    <tableColumn id="15" xr3:uid="{2D81483B-FFD7-4EED-A4D7-D57DEB99779E}" name="6s" dataDxfId="337"/>
    <tableColumn id="16" xr3:uid="{E4E79BEC-1E40-4EAF-91AE-44383EF75AB4}" name="Total Boundaries (4s+6s)" dataDxfId="336"/>
    <tableColumn id="17" xr3:uid="{C7466DA5-D35D-4A85-A693-2EEEDA254E62}" name="Runrate" dataDxfId="335"/>
    <tableColumn id="18" xr3:uid="{E4301BBC-6661-4132-9681-B6A3B8F8A4B3}" name="Winning Team" dataDxfId="334">
      <calculatedColumnFormula>_xlfn.XLOOKUP(Table354[[#This Row],[Match ID]],Calculations_1[Match ID],Calculations_1[Winning Team])</calculatedColumnFormula>
    </tableColumn>
    <tableColumn id="19" xr3:uid="{01620AF0-1452-48C1-96F7-2283C795C58E}" name="Byes" dataDxfId="333"/>
    <tableColumn id="20" xr3:uid="{43F20E2B-CD8D-4209-90B0-31DD07283F23}" name="Wides" dataDxfId="332"/>
    <tableColumn id="21" xr3:uid="{3263D41F-0839-4D69-9B15-EE56BE1A2E88}" name="No Balls" dataDxfId="331"/>
    <tableColumn id="22" xr3:uid="{9621BD73-239A-4D86-9D53-AB88555C8264}" name="Extras" dataDxfId="330"/>
    <tableColumn id="23" xr3:uid="{734C349A-CC09-4830-B142-D70AB54AA35A}" name="Match Played" dataDxfId="329">
      <calculatedColumnFormula>1</calculatedColumnFormula>
    </tableColumn>
    <tableColumn id="24" xr3:uid="{876F6BDF-663F-4562-9F6B-D7694EB6F9E7}" name="Win(1/0)" dataDxfId="328">
      <calculatedColumnFormula>IF(Table354[[#This Row],[Team]]=_xlfn.XLOOKUP(Table354[[#This Row],[Match ID]],Calculations_1[Match ID],Calculations_1[Winning Team]),1,0)</calculatedColumnFormula>
    </tableColumn>
    <tableColumn id="25" xr3:uid="{6F17DD21-9530-47C0-99F5-7B68CE085AD0}" name="Loss(1/0)" dataDxfId="327">
      <calculatedColumnFormula>IF(NOT(Table354[[#This Row],[Win(1/0)]]),1,0)</calculatedColumnFormula>
    </tableColumn>
    <tableColumn id="26" xr3:uid="{80518F68-F286-44F6-AD75-E4DBF9CAB584}" name="Win/Loss" dataDxfId="326">
      <calculatedColumnFormula>IF(Table354[[#This Row],[Win(1/0)]]=1,"Win","Loss")</calculatedColumnFormula>
    </tableColumn>
    <tableColumn id="27" xr3:uid="{8FC94423-12B1-4E73-8FDB-347248DBC119}" name="Toss Won (1/0)" dataDxfId="325">
      <calculatedColumnFormula>IF(Table354[[#This Row],[Team]]=_xlfn.XLOOKUP(Table354[[#This Row],[Match ID]],Calculations_1[Match ID],Calculations_1[Toss Winner]),1,0)</calculatedColumnFormula>
    </tableColumn>
    <tableColumn id="28" xr3:uid="{FB2688C4-E7DB-4B36-9814-19D308757B5E}" name="Toss Won &amp; Match Won" dataDxfId="324">
      <calculatedColumnFormula>Table354[[#This Row],[Win(1/0)]]*Table354[[#This Row],[Toss Won (1/0)]]</calculatedColumnFormula>
    </tableColumn>
    <tableColumn id="31" xr3:uid="{F5EE2CB4-4279-4F64-8C29-8536A60DAF6B}" name="Toss Decision" dataDxfId="323">
      <calculatedColumnFormula array="1">_xlfn.XLOOKUP(Table354[[#This Row],[Match ID]],Calculations_1[Match ID],Calculations_1[Toss Decision],NA,0)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rinterSettings" Target="../printerSettings/printerSettings4.bin"/><Relationship Id="rId2" Type="http://schemas.openxmlformats.org/officeDocument/2006/relationships/pivotTable" Target="../pivotTables/pivotTable6.xml"/><Relationship Id="rId16" Type="http://schemas.openxmlformats.org/officeDocument/2006/relationships/pivotTable" Target="../pivotTables/pivotTable20.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19"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24BB-94CE-4C39-B41E-05606385560C}">
  <sheetPr>
    <tabColor theme="2" tint="-0.499984740745262"/>
  </sheetPr>
  <dimension ref="A1:AR49"/>
  <sheetViews>
    <sheetView zoomScale="70" zoomScaleNormal="100" workbookViewId="0">
      <selection activeCell="I23" sqref="I23"/>
    </sheetView>
  </sheetViews>
  <sheetFormatPr defaultRowHeight="14.4" x14ac:dyDescent="0.3"/>
  <cols>
    <col min="1" max="1" width="10.109375" customWidth="1"/>
    <col min="2" max="2" width="14.77734375" style="3" customWidth="1"/>
    <col min="3" max="3" width="12.77734375" bestFit="1" customWidth="1"/>
    <col min="4" max="4" width="11.77734375" bestFit="1" customWidth="1"/>
    <col min="5" max="5" width="34.5546875" bestFit="1" customWidth="1"/>
    <col min="6" max="7" width="11" bestFit="1" customWidth="1"/>
    <col min="8" max="8" width="13.109375" bestFit="1" customWidth="1"/>
    <col min="9" max="9" width="14.44140625" bestFit="1" customWidth="1"/>
    <col min="10" max="10" width="9.44140625" bestFit="1" customWidth="1"/>
    <col min="11" max="11" width="11.44140625" bestFit="1" customWidth="1"/>
    <col min="12" max="12" width="15.5546875" bestFit="1" customWidth="1"/>
    <col min="13" max="13" width="16.88671875" bestFit="1" customWidth="1"/>
    <col min="14" max="15" width="7" bestFit="1" customWidth="1"/>
    <col min="16" max="16" width="14.77734375" bestFit="1" customWidth="1"/>
    <col min="17" max="17" width="11.88671875" bestFit="1" customWidth="1"/>
    <col min="18" max="18" width="12.5546875" bestFit="1" customWidth="1"/>
    <col min="19" max="19" width="8.5546875" bestFit="1" customWidth="1"/>
    <col min="20" max="20" width="10.5546875" bestFit="1" customWidth="1"/>
    <col min="21" max="21" width="11.109375" customWidth="1"/>
    <col min="22" max="22" width="10.88671875" bestFit="1" customWidth="1"/>
    <col min="23" max="23" width="9.77734375" bestFit="1" customWidth="1"/>
    <col min="24" max="24" width="9.44140625" bestFit="1" customWidth="1"/>
    <col min="25" max="25" width="11.44140625" bestFit="1" customWidth="1"/>
    <col min="26" max="26" width="15.5546875" bestFit="1" customWidth="1"/>
    <col min="27" max="27" width="16" bestFit="1" customWidth="1"/>
    <col min="28" max="29" width="6.5546875" bestFit="1" customWidth="1"/>
    <col min="30" max="30" width="14" bestFit="1" customWidth="1"/>
    <col min="31" max="31" width="11.109375" bestFit="1" customWidth="1"/>
    <col min="32" max="32" width="11.33203125" customWidth="1"/>
    <col min="34" max="34" width="9.5546875" customWidth="1"/>
    <col min="35" max="35" width="11.109375" customWidth="1"/>
    <col min="36" max="36" width="10.88671875" bestFit="1" customWidth="1"/>
    <col min="37" max="37" width="9.44140625" customWidth="1"/>
    <col min="38" max="38" width="13.77734375" bestFit="1" customWidth="1"/>
    <col min="39" max="39" width="17.88671875" bestFit="1" customWidth="1"/>
    <col min="40" max="40" width="22.44140625" bestFit="1" customWidth="1"/>
    <col min="41" max="43" width="18.88671875" bestFit="1" customWidth="1"/>
    <col min="44" max="44" width="15.5546875" bestFit="1" customWidth="1"/>
  </cols>
  <sheetData>
    <row r="1" spans="1:44" x14ac:dyDescent="0.3">
      <c r="A1" t="s">
        <v>0</v>
      </c>
      <c r="B1" s="2" t="s">
        <v>163</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spans="1:44" x14ac:dyDescent="0.3">
      <c r="A2">
        <v>1</v>
      </c>
      <c r="B2" s="3">
        <v>45056</v>
      </c>
      <c r="C2" s="1">
        <v>0.58333333333333337</v>
      </c>
      <c r="D2" t="s">
        <v>43</v>
      </c>
      <c r="E2" t="s">
        <v>44</v>
      </c>
      <c r="F2" t="s">
        <v>45</v>
      </c>
      <c r="G2" t="s">
        <v>46</v>
      </c>
      <c r="H2" t="s">
        <v>46</v>
      </c>
      <c r="I2" t="s">
        <v>47</v>
      </c>
      <c r="J2">
        <v>282</v>
      </c>
      <c r="K2">
        <v>9</v>
      </c>
      <c r="L2">
        <v>50</v>
      </c>
      <c r="M2">
        <v>2</v>
      </c>
      <c r="N2">
        <v>21</v>
      </c>
      <c r="O2">
        <v>6</v>
      </c>
      <c r="P2">
        <v>27</v>
      </c>
      <c r="Q2">
        <v>5.64</v>
      </c>
      <c r="R2">
        <v>1</v>
      </c>
      <c r="S2">
        <v>4</v>
      </c>
      <c r="T2">
        <v>3</v>
      </c>
      <c r="U2">
        <v>0</v>
      </c>
      <c r="V2">
        <v>0</v>
      </c>
      <c r="W2">
        <v>8</v>
      </c>
      <c r="X2">
        <v>283</v>
      </c>
      <c r="Y2">
        <v>1</v>
      </c>
      <c r="Z2">
        <v>36.200000000000003</v>
      </c>
      <c r="AA2">
        <v>2</v>
      </c>
      <c r="AB2">
        <v>30</v>
      </c>
      <c r="AC2">
        <v>8</v>
      </c>
      <c r="AD2">
        <v>38</v>
      </c>
      <c r="AE2">
        <v>7.78</v>
      </c>
      <c r="AF2">
        <v>0</v>
      </c>
      <c r="AG2">
        <v>0</v>
      </c>
      <c r="AH2">
        <v>6</v>
      </c>
      <c r="AI2">
        <v>0</v>
      </c>
      <c r="AJ2">
        <v>0</v>
      </c>
      <c r="AK2">
        <v>6</v>
      </c>
      <c r="AL2" t="s">
        <v>46</v>
      </c>
      <c r="AM2" t="s">
        <v>48</v>
      </c>
      <c r="AN2" t="s">
        <v>49</v>
      </c>
      <c r="AO2" t="s">
        <v>50</v>
      </c>
      <c r="AP2" t="s">
        <v>51</v>
      </c>
      <c r="AQ2" t="s">
        <v>52</v>
      </c>
      <c r="AR2" t="s">
        <v>53</v>
      </c>
    </row>
    <row r="3" spans="1:44" x14ac:dyDescent="0.3">
      <c r="A3">
        <v>2</v>
      </c>
      <c r="B3" s="3">
        <v>45087</v>
      </c>
      <c r="C3" s="1">
        <v>0.58333333333333337</v>
      </c>
      <c r="D3" t="s">
        <v>54</v>
      </c>
      <c r="E3" t="s">
        <v>55</v>
      </c>
      <c r="F3" t="s">
        <v>56</v>
      </c>
      <c r="G3" t="s">
        <v>57</v>
      </c>
      <c r="H3" t="s">
        <v>57</v>
      </c>
      <c r="I3" t="s">
        <v>47</v>
      </c>
      <c r="J3">
        <v>286</v>
      </c>
      <c r="K3">
        <v>10</v>
      </c>
      <c r="L3">
        <v>49</v>
      </c>
      <c r="M3">
        <v>1</v>
      </c>
      <c r="N3">
        <v>33</v>
      </c>
      <c r="O3">
        <v>3</v>
      </c>
      <c r="P3">
        <v>36</v>
      </c>
      <c r="Q3">
        <v>5.83</v>
      </c>
      <c r="R3">
        <v>0</v>
      </c>
      <c r="S3">
        <v>0</v>
      </c>
      <c r="T3">
        <v>9</v>
      </c>
      <c r="U3">
        <v>0</v>
      </c>
      <c r="V3">
        <v>0</v>
      </c>
      <c r="W3">
        <v>9</v>
      </c>
      <c r="X3">
        <v>205</v>
      </c>
      <c r="Y3">
        <v>10</v>
      </c>
      <c r="Z3">
        <v>41</v>
      </c>
      <c r="AA3">
        <v>1</v>
      </c>
      <c r="AB3">
        <v>20</v>
      </c>
      <c r="AC3">
        <v>4</v>
      </c>
      <c r="AD3">
        <v>24</v>
      </c>
      <c r="AE3">
        <v>5</v>
      </c>
      <c r="AF3">
        <v>0</v>
      </c>
      <c r="AG3">
        <v>0</v>
      </c>
      <c r="AH3">
        <v>8</v>
      </c>
      <c r="AI3">
        <v>1</v>
      </c>
      <c r="AJ3">
        <v>0</v>
      </c>
      <c r="AK3">
        <v>9</v>
      </c>
      <c r="AL3" t="s">
        <v>56</v>
      </c>
      <c r="AM3" t="s">
        <v>58</v>
      </c>
      <c r="AN3" t="s">
        <v>59</v>
      </c>
      <c r="AO3" t="s">
        <v>60</v>
      </c>
      <c r="AP3" t="s">
        <v>61</v>
      </c>
      <c r="AQ3" t="s">
        <v>62</v>
      </c>
      <c r="AR3" t="s">
        <v>63</v>
      </c>
    </row>
    <row r="4" spans="1:44" x14ac:dyDescent="0.3">
      <c r="A4">
        <v>3</v>
      </c>
      <c r="B4" s="3">
        <v>45117</v>
      </c>
      <c r="C4" s="1">
        <v>0.58333333333333337</v>
      </c>
      <c r="D4" t="s">
        <v>64</v>
      </c>
      <c r="E4" t="s">
        <v>65</v>
      </c>
      <c r="F4" t="s">
        <v>66</v>
      </c>
      <c r="G4" t="s">
        <v>67</v>
      </c>
      <c r="H4" t="s">
        <v>67</v>
      </c>
      <c r="I4" t="s">
        <v>47</v>
      </c>
      <c r="J4">
        <v>156</v>
      </c>
      <c r="K4">
        <v>10</v>
      </c>
      <c r="L4">
        <v>37.200000000000003</v>
      </c>
      <c r="M4">
        <v>1</v>
      </c>
      <c r="N4">
        <v>15</v>
      </c>
      <c r="O4">
        <v>2</v>
      </c>
      <c r="P4">
        <v>17</v>
      </c>
      <c r="Q4">
        <v>4.17</v>
      </c>
      <c r="R4">
        <v>3</v>
      </c>
      <c r="S4">
        <v>0</v>
      </c>
      <c r="T4">
        <v>4</v>
      </c>
      <c r="U4">
        <v>1</v>
      </c>
      <c r="V4">
        <v>0</v>
      </c>
      <c r="W4">
        <v>8</v>
      </c>
      <c r="X4">
        <v>158</v>
      </c>
      <c r="Y4">
        <v>4</v>
      </c>
      <c r="Z4">
        <v>34.4</v>
      </c>
      <c r="AA4">
        <v>5</v>
      </c>
      <c r="AB4">
        <v>13</v>
      </c>
      <c r="AC4">
        <v>1</v>
      </c>
      <c r="AD4">
        <v>14</v>
      </c>
      <c r="AE4">
        <v>4.55</v>
      </c>
      <c r="AF4">
        <v>0</v>
      </c>
      <c r="AG4">
        <v>0</v>
      </c>
      <c r="AH4">
        <v>8</v>
      </c>
      <c r="AI4">
        <v>0</v>
      </c>
      <c r="AJ4">
        <v>0</v>
      </c>
      <c r="AK4">
        <v>8</v>
      </c>
      <c r="AL4" t="s">
        <v>67</v>
      </c>
      <c r="AM4" t="s">
        <v>68</v>
      </c>
      <c r="AN4" t="s">
        <v>69</v>
      </c>
      <c r="AO4" t="s">
        <v>70</v>
      </c>
      <c r="AP4" t="s">
        <v>50</v>
      </c>
      <c r="AQ4" t="s">
        <v>71</v>
      </c>
      <c r="AR4" t="s">
        <v>72</v>
      </c>
    </row>
    <row r="5" spans="1:44" x14ac:dyDescent="0.3">
      <c r="A5">
        <v>4</v>
      </c>
      <c r="B5" s="3">
        <v>45117</v>
      </c>
      <c r="C5" s="1">
        <v>0.58333333333333337</v>
      </c>
      <c r="D5" t="s">
        <v>73</v>
      </c>
      <c r="E5" t="s">
        <v>74</v>
      </c>
      <c r="F5" t="s">
        <v>75</v>
      </c>
      <c r="G5" t="s">
        <v>76</v>
      </c>
      <c r="H5" t="s">
        <v>76</v>
      </c>
      <c r="I5" t="s">
        <v>47</v>
      </c>
      <c r="J5">
        <v>428</v>
      </c>
      <c r="K5">
        <v>5</v>
      </c>
      <c r="L5">
        <v>50</v>
      </c>
      <c r="M5">
        <v>1</v>
      </c>
      <c r="N5">
        <v>45</v>
      </c>
      <c r="O5">
        <v>14</v>
      </c>
      <c r="P5">
        <v>59</v>
      </c>
      <c r="Q5">
        <v>8.56</v>
      </c>
      <c r="R5">
        <v>5</v>
      </c>
      <c r="S5">
        <v>0</v>
      </c>
      <c r="T5">
        <v>14</v>
      </c>
      <c r="U5">
        <v>1</v>
      </c>
      <c r="V5">
        <v>0</v>
      </c>
      <c r="W5">
        <v>20</v>
      </c>
      <c r="X5">
        <v>326</v>
      </c>
      <c r="Y5">
        <v>10</v>
      </c>
      <c r="Z5">
        <v>44.5</v>
      </c>
      <c r="AA5">
        <v>1</v>
      </c>
      <c r="AB5">
        <v>31</v>
      </c>
      <c r="AC5">
        <v>17</v>
      </c>
      <c r="AD5">
        <v>48</v>
      </c>
      <c r="AE5">
        <v>7.27</v>
      </c>
      <c r="AF5">
        <v>1</v>
      </c>
      <c r="AG5">
        <v>0</v>
      </c>
      <c r="AH5">
        <v>21</v>
      </c>
      <c r="AI5">
        <v>1</v>
      </c>
      <c r="AJ5">
        <v>0</v>
      </c>
      <c r="AK5">
        <v>23</v>
      </c>
      <c r="AL5" t="s">
        <v>75</v>
      </c>
      <c r="AM5" t="s">
        <v>77</v>
      </c>
      <c r="AN5" t="s">
        <v>78</v>
      </c>
      <c r="AO5" t="s">
        <v>79</v>
      </c>
      <c r="AP5" t="s">
        <v>80</v>
      </c>
      <c r="AQ5" t="s">
        <v>81</v>
      </c>
      <c r="AR5" t="s">
        <v>53</v>
      </c>
    </row>
    <row r="6" spans="1:44" x14ac:dyDescent="0.3">
      <c r="A6">
        <v>5</v>
      </c>
      <c r="B6" s="3">
        <v>45148</v>
      </c>
      <c r="C6" s="1">
        <v>0.58333333333333337</v>
      </c>
      <c r="D6" t="s">
        <v>82</v>
      </c>
      <c r="E6" t="s">
        <v>83</v>
      </c>
      <c r="F6" t="s">
        <v>84</v>
      </c>
      <c r="G6" t="s">
        <v>85</v>
      </c>
      <c r="H6" t="s">
        <v>84</v>
      </c>
      <c r="I6" t="s">
        <v>86</v>
      </c>
      <c r="J6">
        <v>199</v>
      </c>
      <c r="K6">
        <v>10</v>
      </c>
      <c r="L6">
        <v>49.3</v>
      </c>
      <c r="M6">
        <v>1</v>
      </c>
      <c r="N6">
        <v>16</v>
      </c>
      <c r="O6">
        <v>2</v>
      </c>
      <c r="P6">
        <v>18</v>
      </c>
      <c r="Q6">
        <v>4.0199999999999996</v>
      </c>
      <c r="R6">
        <v>1</v>
      </c>
      <c r="S6">
        <v>1</v>
      </c>
      <c r="T6">
        <v>5</v>
      </c>
      <c r="U6">
        <v>1</v>
      </c>
      <c r="V6">
        <v>0</v>
      </c>
      <c r="W6">
        <v>8</v>
      </c>
      <c r="X6">
        <v>201</v>
      </c>
      <c r="Y6">
        <v>4</v>
      </c>
      <c r="Z6">
        <v>41.2</v>
      </c>
      <c r="AA6">
        <v>4</v>
      </c>
      <c r="AB6">
        <v>14</v>
      </c>
      <c r="AC6">
        <v>3</v>
      </c>
      <c r="AD6">
        <v>17</v>
      </c>
      <c r="AE6">
        <v>4.8600000000000003</v>
      </c>
      <c r="AF6">
        <v>6</v>
      </c>
      <c r="AG6">
        <v>0</v>
      </c>
      <c r="AH6">
        <v>6</v>
      </c>
      <c r="AI6">
        <v>0</v>
      </c>
      <c r="AJ6">
        <v>0</v>
      </c>
      <c r="AK6">
        <v>12</v>
      </c>
      <c r="AL6" t="s">
        <v>85</v>
      </c>
      <c r="AM6" t="s">
        <v>87</v>
      </c>
      <c r="AN6" t="s">
        <v>88</v>
      </c>
      <c r="AO6" t="s">
        <v>89</v>
      </c>
      <c r="AP6" t="s">
        <v>90</v>
      </c>
      <c r="AQ6" t="s">
        <v>61</v>
      </c>
      <c r="AR6" t="s">
        <v>91</v>
      </c>
    </row>
    <row r="7" spans="1:44" x14ac:dyDescent="0.3">
      <c r="A7">
        <v>6</v>
      </c>
      <c r="B7" s="3">
        <v>45179</v>
      </c>
      <c r="C7" s="1">
        <v>0.58333333333333337</v>
      </c>
      <c r="D7" t="s">
        <v>54</v>
      </c>
      <c r="E7" t="s">
        <v>92</v>
      </c>
      <c r="F7" t="s">
        <v>46</v>
      </c>
      <c r="G7" t="s">
        <v>57</v>
      </c>
      <c r="H7" t="s">
        <v>57</v>
      </c>
      <c r="I7" t="s">
        <v>47</v>
      </c>
      <c r="J7">
        <v>322</v>
      </c>
      <c r="K7">
        <v>7</v>
      </c>
      <c r="L7">
        <v>50</v>
      </c>
      <c r="M7">
        <v>0</v>
      </c>
      <c r="N7">
        <v>30</v>
      </c>
      <c r="O7">
        <v>10</v>
      </c>
      <c r="P7">
        <v>40</v>
      </c>
      <c r="Q7">
        <v>6.44</v>
      </c>
      <c r="R7">
        <v>1</v>
      </c>
      <c r="S7">
        <v>0</v>
      </c>
      <c r="T7">
        <v>2</v>
      </c>
      <c r="U7">
        <v>1</v>
      </c>
      <c r="V7">
        <v>0</v>
      </c>
      <c r="W7">
        <v>4</v>
      </c>
      <c r="X7">
        <v>223</v>
      </c>
      <c r="Y7">
        <v>10</v>
      </c>
      <c r="Z7">
        <v>46.3</v>
      </c>
      <c r="AA7">
        <v>3</v>
      </c>
      <c r="AB7">
        <v>19</v>
      </c>
      <c r="AC7">
        <v>3</v>
      </c>
      <c r="AD7">
        <v>22</v>
      </c>
      <c r="AE7">
        <v>4.79</v>
      </c>
      <c r="AF7">
        <v>3</v>
      </c>
      <c r="AG7">
        <v>0</v>
      </c>
      <c r="AH7">
        <v>8</v>
      </c>
      <c r="AI7">
        <v>2</v>
      </c>
      <c r="AJ7">
        <v>0</v>
      </c>
      <c r="AK7">
        <v>13</v>
      </c>
      <c r="AL7" t="s">
        <v>46</v>
      </c>
      <c r="AM7" t="s">
        <v>93</v>
      </c>
      <c r="AN7" t="s">
        <v>94</v>
      </c>
      <c r="AO7" t="s">
        <v>95</v>
      </c>
      <c r="AP7" t="s">
        <v>62</v>
      </c>
      <c r="AQ7" t="s">
        <v>70</v>
      </c>
      <c r="AR7" t="s">
        <v>72</v>
      </c>
    </row>
    <row r="8" spans="1:44" x14ac:dyDescent="0.3">
      <c r="A8">
        <v>7</v>
      </c>
      <c r="B8" s="3">
        <v>45209</v>
      </c>
      <c r="C8" s="1">
        <v>0.4375</v>
      </c>
      <c r="D8" t="s">
        <v>64</v>
      </c>
      <c r="E8" t="s">
        <v>65</v>
      </c>
      <c r="F8" t="s">
        <v>45</v>
      </c>
      <c r="G8" t="s">
        <v>67</v>
      </c>
      <c r="H8" t="s">
        <v>67</v>
      </c>
      <c r="I8" t="s">
        <v>47</v>
      </c>
      <c r="J8">
        <v>364</v>
      </c>
      <c r="K8">
        <v>9</v>
      </c>
      <c r="L8">
        <v>50</v>
      </c>
      <c r="M8">
        <v>1</v>
      </c>
      <c r="N8">
        <v>41</v>
      </c>
      <c r="O8">
        <v>7</v>
      </c>
      <c r="P8">
        <v>48</v>
      </c>
      <c r="Q8">
        <v>7.28</v>
      </c>
      <c r="R8">
        <v>4</v>
      </c>
      <c r="S8">
        <v>0</v>
      </c>
      <c r="T8">
        <v>3</v>
      </c>
      <c r="U8">
        <v>0</v>
      </c>
      <c r="V8">
        <v>0</v>
      </c>
      <c r="W8">
        <v>7</v>
      </c>
      <c r="X8">
        <v>227</v>
      </c>
      <c r="Y8">
        <v>10</v>
      </c>
      <c r="Z8">
        <v>48.2</v>
      </c>
      <c r="AA8">
        <v>0</v>
      </c>
      <c r="AB8">
        <v>17</v>
      </c>
      <c r="AC8">
        <v>3</v>
      </c>
      <c r="AD8">
        <v>20</v>
      </c>
      <c r="AE8">
        <v>4.6900000000000004</v>
      </c>
      <c r="AF8">
        <v>2</v>
      </c>
      <c r="AG8">
        <v>1</v>
      </c>
      <c r="AH8">
        <v>4</v>
      </c>
      <c r="AI8">
        <v>0</v>
      </c>
      <c r="AJ8">
        <v>0</v>
      </c>
      <c r="AK8">
        <v>7</v>
      </c>
      <c r="AL8" t="s">
        <v>45</v>
      </c>
      <c r="AM8" t="s">
        <v>96</v>
      </c>
      <c r="AN8" t="s">
        <v>97</v>
      </c>
      <c r="AO8" t="s">
        <v>71</v>
      </c>
      <c r="AP8" t="s">
        <v>52</v>
      </c>
      <c r="AQ8" t="s">
        <v>60</v>
      </c>
      <c r="AR8" t="s">
        <v>53</v>
      </c>
    </row>
    <row r="9" spans="1:44" x14ac:dyDescent="0.3">
      <c r="A9">
        <v>8</v>
      </c>
      <c r="B9" s="3">
        <v>45209</v>
      </c>
      <c r="C9" s="1">
        <v>0.58333333333333337</v>
      </c>
      <c r="D9" t="s">
        <v>54</v>
      </c>
      <c r="E9" t="s">
        <v>92</v>
      </c>
      <c r="F9" t="s">
        <v>76</v>
      </c>
      <c r="G9" t="s">
        <v>56</v>
      </c>
      <c r="H9" t="s">
        <v>76</v>
      </c>
      <c r="I9" t="s">
        <v>86</v>
      </c>
      <c r="J9">
        <v>344</v>
      </c>
      <c r="K9">
        <v>9</v>
      </c>
      <c r="L9">
        <v>50</v>
      </c>
      <c r="M9">
        <v>0</v>
      </c>
      <c r="N9">
        <v>36</v>
      </c>
      <c r="O9">
        <v>9</v>
      </c>
      <c r="P9">
        <v>45</v>
      </c>
      <c r="Q9">
        <v>6.88</v>
      </c>
      <c r="R9">
        <v>0</v>
      </c>
      <c r="S9">
        <v>0</v>
      </c>
      <c r="T9">
        <v>25</v>
      </c>
      <c r="U9">
        <v>1</v>
      </c>
      <c r="V9">
        <v>0</v>
      </c>
      <c r="W9">
        <v>26</v>
      </c>
      <c r="X9">
        <v>345</v>
      </c>
      <c r="Y9">
        <v>4</v>
      </c>
      <c r="Z9">
        <v>48.2</v>
      </c>
      <c r="AA9">
        <v>0</v>
      </c>
      <c r="AB9">
        <v>26</v>
      </c>
      <c r="AC9">
        <v>6</v>
      </c>
      <c r="AD9">
        <v>32</v>
      </c>
      <c r="AE9">
        <v>7.13</v>
      </c>
      <c r="AF9">
        <v>2</v>
      </c>
      <c r="AG9">
        <v>2</v>
      </c>
      <c r="AH9">
        <v>9</v>
      </c>
      <c r="AI9">
        <v>1</v>
      </c>
      <c r="AJ9">
        <v>0</v>
      </c>
      <c r="AK9">
        <v>14</v>
      </c>
      <c r="AL9" t="s">
        <v>56</v>
      </c>
      <c r="AM9" t="s">
        <v>68</v>
      </c>
      <c r="AN9" t="s">
        <v>98</v>
      </c>
      <c r="AO9" t="s">
        <v>89</v>
      </c>
      <c r="AP9" t="s">
        <v>99</v>
      </c>
      <c r="AQ9" t="s">
        <v>51</v>
      </c>
      <c r="AR9" t="s">
        <v>72</v>
      </c>
    </row>
    <row r="10" spans="1:44" x14ac:dyDescent="0.3">
      <c r="A10">
        <v>9</v>
      </c>
      <c r="B10" s="3">
        <v>45240</v>
      </c>
      <c r="C10" s="1">
        <v>0.58333333333333337</v>
      </c>
      <c r="D10" t="s">
        <v>73</v>
      </c>
      <c r="E10" t="s">
        <v>74</v>
      </c>
      <c r="F10" t="s">
        <v>66</v>
      </c>
      <c r="G10" t="s">
        <v>85</v>
      </c>
      <c r="H10" t="s">
        <v>66</v>
      </c>
      <c r="I10" t="s">
        <v>86</v>
      </c>
      <c r="J10">
        <v>272</v>
      </c>
      <c r="K10">
        <v>8</v>
      </c>
      <c r="L10">
        <v>50</v>
      </c>
      <c r="M10">
        <v>0</v>
      </c>
      <c r="N10">
        <v>25</v>
      </c>
      <c r="O10">
        <v>7</v>
      </c>
      <c r="P10">
        <v>32</v>
      </c>
      <c r="Q10">
        <v>5.44</v>
      </c>
      <c r="R10">
        <v>4</v>
      </c>
      <c r="S10">
        <v>1</v>
      </c>
      <c r="T10">
        <v>10</v>
      </c>
      <c r="U10">
        <v>0</v>
      </c>
      <c r="V10">
        <v>0</v>
      </c>
      <c r="W10">
        <v>15</v>
      </c>
      <c r="X10">
        <v>273</v>
      </c>
      <c r="Y10">
        <v>2</v>
      </c>
      <c r="Z10">
        <v>35</v>
      </c>
      <c r="AA10">
        <v>0</v>
      </c>
      <c r="AB10">
        <v>28</v>
      </c>
      <c r="AC10">
        <v>8</v>
      </c>
      <c r="AD10">
        <v>36</v>
      </c>
      <c r="AE10">
        <v>7.8</v>
      </c>
      <c r="AF10">
        <v>3</v>
      </c>
      <c r="AG10">
        <v>2</v>
      </c>
      <c r="AH10">
        <v>8</v>
      </c>
      <c r="AI10">
        <v>2</v>
      </c>
      <c r="AJ10">
        <v>0</v>
      </c>
      <c r="AK10">
        <v>15</v>
      </c>
      <c r="AL10" t="s">
        <v>85</v>
      </c>
      <c r="AM10" t="s">
        <v>100</v>
      </c>
      <c r="AN10" t="s">
        <v>101</v>
      </c>
      <c r="AO10" t="s">
        <v>81</v>
      </c>
      <c r="AP10" t="s">
        <v>95</v>
      </c>
      <c r="AQ10" t="s">
        <v>102</v>
      </c>
      <c r="AR10" t="s">
        <v>63</v>
      </c>
    </row>
    <row r="11" spans="1:44" x14ac:dyDescent="0.3">
      <c r="A11">
        <v>10</v>
      </c>
      <c r="B11" s="3">
        <v>45270</v>
      </c>
      <c r="C11" s="1">
        <v>0.58333333333333337</v>
      </c>
      <c r="D11" t="s">
        <v>103</v>
      </c>
      <c r="E11" t="s">
        <v>104</v>
      </c>
      <c r="F11" t="s">
        <v>75</v>
      </c>
      <c r="G11" t="s">
        <v>84</v>
      </c>
      <c r="H11" t="s">
        <v>84</v>
      </c>
      <c r="I11" t="s">
        <v>47</v>
      </c>
      <c r="J11">
        <v>311</v>
      </c>
      <c r="K11">
        <v>7</v>
      </c>
      <c r="L11">
        <v>50</v>
      </c>
      <c r="M11">
        <v>3</v>
      </c>
      <c r="N11">
        <v>26</v>
      </c>
      <c r="O11">
        <v>8</v>
      </c>
      <c r="P11">
        <v>34</v>
      </c>
      <c r="Q11">
        <v>6.22</v>
      </c>
      <c r="R11">
        <v>4</v>
      </c>
      <c r="S11">
        <v>0</v>
      </c>
      <c r="T11">
        <v>11</v>
      </c>
      <c r="U11">
        <v>2</v>
      </c>
      <c r="V11">
        <v>0</v>
      </c>
      <c r="W11">
        <v>17</v>
      </c>
      <c r="X11">
        <v>177</v>
      </c>
      <c r="Y11">
        <v>10</v>
      </c>
      <c r="Z11">
        <v>40.5</v>
      </c>
      <c r="AA11">
        <v>2</v>
      </c>
      <c r="AB11">
        <v>19</v>
      </c>
      <c r="AC11">
        <v>0</v>
      </c>
      <c r="AD11">
        <v>19</v>
      </c>
      <c r="AE11">
        <v>4.33</v>
      </c>
      <c r="AF11">
        <v>2</v>
      </c>
      <c r="AG11">
        <v>4</v>
      </c>
      <c r="AH11">
        <v>7</v>
      </c>
      <c r="AI11">
        <v>0</v>
      </c>
      <c r="AJ11">
        <v>0</v>
      </c>
      <c r="AK11">
        <v>13</v>
      </c>
      <c r="AL11" t="s">
        <v>75</v>
      </c>
      <c r="AM11" t="s">
        <v>105</v>
      </c>
      <c r="AN11" t="s">
        <v>106</v>
      </c>
      <c r="AO11" t="s">
        <v>70</v>
      </c>
      <c r="AP11" t="s">
        <v>79</v>
      </c>
      <c r="AQ11" t="s">
        <v>90</v>
      </c>
      <c r="AR11" t="s">
        <v>53</v>
      </c>
    </row>
    <row r="12" spans="1:44" x14ac:dyDescent="0.3">
      <c r="A12">
        <v>11</v>
      </c>
      <c r="B12" s="3" t="s">
        <v>164</v>
      </c>
      <c r="C12" s="1">
        <v>0.58333333333333337</v>
      </c>
      <c r="D12" t="s">
        <v>82</v>
      </c>
      <c r="E12" t="s">
        <v>83</v>
      </c>
      <c r="F12" t="s">
        <v>67</v>
      </c>
      <c r="G12" t="s">
        <v>46</v>
      </c>
      <c r="H12" t="s">
        <v>46</v>
      </c>
      <c r="I12" t="s">
        <v>47</v>
      </c>
      <c r="J12">
        <v>245</v>
      </c>
      <c r="K12">
        <v>9</v>
      </c>
      <c r="L12">
        <v>50</v>
      </c>
      <c r="M12">
        <v>1</v>
      </c>
      <c r="N12">
        <v>20</v>
      </c>
      <c r="O12">
        <v>8</v>
      </c>
      <c r="P12">
        <v>28</v>
      </c>
      <c r="Q12">
        <v>4.9000000000000004</v>
      </c>
      <c r="R12">
        <v>1</v>
      </c>
      <c r="S12">
        <v>0</v>
      </c>
      <c r="T12">
        <v>10</v>
      </c>
      <c r="U12">
        <v>0</v>
      </c>
      <c r="V12">
        <v>0</v>
      </c>
      <c r="W12">
        <v>11</v>
      </c>
      <c r="X12">
        <v>248</v>
      </c>
      <c r="Y12">
        <v>2</v>
      </c>
      <c r="Z12">
        <v>42.5</v>
      </c>
      <c r="AA12">
        <v>1</v>
      </c>
      <c r="AB12">
        <v>20</v>
      </c>
      <c r="AC12">
        <v>6</v>
      </c>
      <c r="AD12">
        <v>26</v>
      </c>
      <c r="AE12">
        <v>5.78</v>
      </c>
      <c r="AF12">
        <v>1</v>
      </c>
      <c r="AG12">
        <v>0</v>
      </c>
      <c r="AH12">
        <v>4</v>
      </c>
      <c r="AI12">
        <v>4</v>
      </c>
      <c r="AJ12">
        <v>0</v>
      </c>
      <c r="AK12">
        <v>9</v>
      </c>
      <c r="AL12" t="s">
        <v>46</v>
      </c>
      <c r="AM12" t="s">
        <v>100</v>
      </c>
      <c r="AN12" t="s">
        <v>107</v>
      </c>
      <c r="AO12" t="s">
        <v>50</v>
      </c>
      <c r="AP12" t="s">
        <v>51</v>
      </c>
      <c r="AQ12" t="s">
        <v>81</v>
      </c>
      <c r="AR12" t="s">
        <v>91</v>
      </c>
    </row>
    <row r="13" spans="1:44" x14ac:dyDescent="0.3">
      <c r="A13">
        <v>12</v>
      </c>
      <c r="B13" s="3" t="s">
        <v>165</v>
      </c>
      <c r="C13" s="1">
        <v>0.58333333333333337</v>
      </c>
      <c r="D13" t="s">
        <v>43</v>
      </c>
      <c r="E13" t="s">
        <v>44</v>
      </c>
      <c r="F13" t="s">
        <v>56</v>
      </c>
      <c r="G13" t="s">
        <v>85</v>
      </c>
      <c r="H13" t="s">
        <v>85</v>
      </c>
      <c r="I13" t="s">
        <v>47</v>
      </c>
      <c r="J13">
        <v>191</v>
      </c>
      <c r="K13">
        <v>10</v>
      </c>
      <c r="L13">
        <v>42.5</v>
      </c>
      <c r="M13">
        <v>0</v>
      </c>
      <c r="N13">
        <v>26</v>
      </c>
      <c r="O13">
        <v>0</v>
      </c>
      <c r="P13">
        <v>26</v>
      </c>
      <c r="Q13">
        <v>4.45</v>
      </c>
      <c r="R13">
        <v>5</v>
      </c>
      <c r="S13">
        <v>0</v>
      </c>
      <c r="T13">
        <v>1</v>
      </c>
      <c r="U13">
        <v>0</v>
      </c>
      <c r="V13">
        <v>0</v>
      </c>
      <c r="W13">
        <v>6</v>
      </c>
      <c r="X13">
        <v>192</v>
      </c>
      <c r="Y13">
        <v>3</v>
      </c>
      <c r="Z13">
        <v>30.3</v>
      </c>
      <c r="AA13">
        <v>1</v>
      </c>
      <c r="AB13">
        <v>17</v>
      </c>
      <c r="AC13">
        <v>8</v>
      </c>
      <c r="AD13">
        <v>25</v>
      </c>
      <c r="AE13">
        <v>6.29</v>
      </c>
      <c r="AF13">
        <v>2</v>
      </c>
      <c r="AG13">
        <v>1</v>
      </c>
      <c r="AH13">
        <v>1</v>
      </c>
      <c r="AI13">
        <v>0</v>
      </c>
      <c r="AJ13">
        <v>0</v>
      </c>
      <c r="AK13">
        <v>4</v>
      </c>
      <c r="AL13" t="s">
        <v>85</v>
      </c>
      <c r="AM13" t="s">
        <v>108</v>
      </c>
      <c r="AN13" t="s">
        <v>109</v>
      </c>
      <c r="AO13" t="s">
        <v>79</v>
      </c>
      <c r="AP13" t="s">
        <v>102</v>
      </c>
      <c r="AQ13" t="s">
        <v>90</v>
      </c>
      <c r="AR13" t="s">
        <v>72</v>
      </c>
    </row>
    <row r="14" spans="1:44" x14ac:dyDescent="0.3">
      <c r="A14">
        <v>13</v>
      </c>
      <c r="B14" s="3" t="s">
        <v>166</v>
      </c>
      <c r="C14" s="1">
        <v>0.58333333333333337</v>
      </c>
      <c r="D14" t="s">
        <v>73</v>
      </c>
      <c r="E14" t="s">
        <v>74</v>
      </c>
      <c r="F14" t="s">
        <v>66</v>
      </c>
      <c r="G14" t="s">
        <v>45</v>
      </c>
      <c r="H14" t="s">
        <v>45</v>
      </c>
      <c r="I14" t="s">
        <v>47</v>
      </c>
      <c r="J14">
        <v>284</v>
      </c>
      <c r="K14">
        <v>10</v>
      </c>
      <c r="L14">
        <v>49.5</v>
      </c>
      <c r="M14">
        <v>3</v>
      </c>
      <c r="N14">
        <v>23</v>
      </c>
      <c r="O14">
        <v>8</v>
      </c>
      <c r="P14">
        <v>31</v>
      </c>
      <c r="Q14">
        <v>5.69</v>
      </c>
      <c r="R14">
        <v>4</v>
      </c>
      <c r="S14">
        <v>0</v>
      </c>
      <c r="T14">
        <v>8</v>
      </c>
      <c r="U14">
        <v>1</v>
      </c>
      <c r="V14">
        <v>0</v>
      </c>
      <c r="W14">
        <v>13</v>
      </c>
      <c r="X14">
        <v>215</v>
      </c>
      <c r="Y14">
        <v>10</v>
      </c>
      <c r="Z14">
        <v>40.299999999999997</v>
      </c>
      <c r="AA14">
        <v>2</v>
      </c>
      <c r="AB14">
        <v>24</v>
      </c>
      <c r="AC14">
        <v>1</v>
      </c>
      <c r="AD14">
        <v>25</v>
      </c>
      <c r="AE14">
        <v>5.3</v>
      </c>
      <c r="AF14">
        <v>1</v>
      </c>
      <c r="AG14">
        <v>0</v>
      </c>
      <c r="AH14">
        <v>11</v>
      </c>
      <c r="AI14">
        <v>3</v>
      </c>
      <c r="AJ14">
        <v>0</v>
      </c>
      <c r="AK14">
        <v>15</v>
      </c>
      <c r="AL14" t="s">
        <v>66</v>
      </c>
      <c r="AM14" t="s">
        <v>110</v>
      </c>
      <c r="AN14" t="s">
        <v>111</v>
      </c>
      <c r="AO14" t="s">
        <v>80</v>
      </c>
      <c r="AP14" t="s">
        <v>62</v>
      </c>
      <c r="AQ14" t="s">
        <v>95</v>
      </c>
      <c r="AR14" t="s">
        <v>63</v>
      </c>
    </row>
    <row r="15" spans="1:44" x14ac:dyDescent="0.3">
      <c r="A15">
        <v>14</v>
      </c>
      <c r="B15" s="3" t="s">
        <v>167</v>
      </c>
      <c r="C15" s="1">
        <v>0.58333333333333337</v>
      </c>
      <c r="D15" t="s">
        <v>103</v>
      </c>
      <c r="E15" t="s">
        <v>104</v>
      </c>
      <c r="F15" t="s">
        <v>76</v>
      </c>
      <c r="G15" t="s">
        <v>84</v>
      </c>
      <c r="H15" t="s">
        <v>76</v>
      </c>
      <c r="I15" t="s">
        <v>86</v>
      </c>
      <c r="J15">
        <v>209</v>
      </c>
      <c r="K15">
        <v>10</v>
      </c>
      <c r="L15">
        <v>43.3</v>
      </c>
      <c r="M15">
        <v>2</v>
      </c>
      <c r="N15">
        <v>23</v>
      </c>
      <c r="O15">
        <v>1</v>
      </c>
      <c r="P15">
        <v>24</v>
      </c>
      <c r="Q15">
        <v>4.8</v>
      </c>
      <c r="R15">
        <v>0</v>
      </c>
      <c r="S15">
        <v>0</v>
      </c>
      <c r="T15">
        <v>3</v>
      </c>
      <c r="U15">
        <v>0</v>
      </c>
      <c r="V15">
        <v>0</v>
      </c>
      <c r="W15">
        <v>3</v>
      </c>
      <c r="X15">
        <v>215</v>
      </c>
      <c r="Y15">
        <v>5</v>
      </c>
      <c r="Z15">
        <v>35.200000000000003</v>
      </c>
      <c r="AA15">
        <v>2</v>
      </c>
      <c r="AB15">
        <v>22</v>
      </c>
      <c r="AC15">
        <v>5</v>
      </c>
      <c r="AD15">
        <v>27</v>
      </c>
      <c r="AE15">
        <v>6.08</v>
      </c>
      <c r="AF15">
        <v>2</v>
      </c>
      <c r="AG15">
        <v>2</v>
      </c>
      <c r="AH15">
        <v>9</v>
      </c>
      <c r="AI15">
        <v>0</v>
      </c>
      <c r="AJ15">
        <v>0</v>
      </c>
      <c r="AK15">
        <v>13</v>
      </c>
      <c r="AL15" t="s">
        <v>84</v>
      </c>
      <c r="AM15" t="s">
        <v>112</v>
      </c>
      <c r="AN15" t="s">
        <v>113</v>
      </c>
      <c r="AO15" t="s">
        <v>99</v>
      </c>
      <c r="AP15" t="s">
        <v>89</v>
      </c>
      <c r="AQ15" t="s">
        <v>61</v>
      </c>
      <c r="AR15" t="s">
        <v>91</v>
      </c>
    </row>
    <row r="16" spans="1:44" x14ac:dyDescent="0.3">
      <c r="A16">
        <v>15</v>
      </c>
      <c r="B16" s="3" t="s">
        <v>168</v>
      </c>
      <c r="C16" s="1">
        <v>0.58333333333333337</v>
      </c>
      <c r="D16" t="s">
        <v>64</v>
      </c>
      <c r="E16" t="s">
        <v>65</v>
      </c>
      <c r="F16" t="s">
        <v>57</v>
      </c>
      <c r="G16" t="s">
        <v>75</v>
      </c>
      <c r="H16" t="s">
        <v>75</v>
      </c>
      <c r="I16" t="s">
        <v>47</v>
      </c>
      <c r="J16">
        <v>245</v>
      </c>
      <c r="K16">
        <v>8</v>
      </c>
      <c r="L16">
        <v>43</v>
      </c>
      <c r="M16">
        <v>1</v>
      </c>
      <c r="N16">
        <v>23</v>
      </c>
      <c r="O16">
        <v>6</v>
      </c>
      <c r="P16">
        <v>29</v>
      </c>
      <c r="Q16">
        <v>5.69</v>
      </c>
      <c r="R16">
        <v>2</v>
      </c>
      <c r="S16">
        <v>0</v>
      </c>
      <c r="T16">
        <v>5</v>
      </c>
      <c r="U16">
        <v>1</v>
      </c>
      <c r="V16">
        <v>0</v>
      </c>
      <c r="W16">
        <v>8</v>
      </c>
      <c r="X16">
        <v>207</v>
      </c>
      <c r="Y16">
        <v>10</v>
      </c>
      <c r="Z16">
        <v>42.5</v>
      </c>
      <c r="AA16">
        <v>3</v>
      </c>
      <c r="AB16">
        <v>19</v>
      </c>
      <c r="AC16">
        <v>5</v>
      </c>
      <c r="AD16">
        <v>24</v>
      </c>
      <c r="AE16">
        <v>4.83</v>
      </c>
      <c r="AF16">
        <v>10</v>
      </c>
      <c r="AG16">
        <v>0</v>
      </c>
      <c r="AH16">
        <v>21</v>
      </c>
      <c r="AI16">
        <v>1</v>
      </c>
      <c r="AJ16">
        <v>0</v>
      </c>
      <c r="AK16">
        <v>32</v>
      </c>
      <c r="AL16" t="s">
        <v>57</v>
      </c>
      <c r="AM16" t="s">
        <v>114</v>
      </c>
      <c r="AN16" t="s">
        <v>115</v>
      </c>
      <c r="AO16" t="s">
        <v>90</v>
      </c>
      <c r="AP16" t="s">
        <v>81</v>
      </c>
      <c r="AQ16" t="s">
        <v>80</v>
      </c>
      <c r="AR16" t="s">
        <v>63</v>
      </c>
    </row>
    <row r="17" spans="1:44" x14ac:dyDescent="0.3">
      <c r="A17">
        <v>16</v>
      </c>
      <c r="B17" s="3" t="s">
        <v>169</v>
      </c>
      <c r="C17" s="1">
        <v>0.58333333333333337</v>
      </c>
      <c r="D17" t="s">
        <v>82</v>
      </c>
      <c r="E17" t="s">
        <v>83</v>
      </c>
      <c r="F17" t="s">
        <v>46</v>
      </c>
      <c r="G17" t="s">
        <v>66</v>
      </c>
      <c r="H17" t="s">
        <v>66</v>
      </c>
      <c r="I17" t="s">
        <v>47</v>
      </c>
      <c r="J17">
        <v>288</v>
      </c>
      <c r="K17">
        <v>6</v>
      </c>
      <c r="L17">
        <v>50</v>
      </c>
      <c r="M17">
        <v>4</v>
      </c>
      <c r="N17">
        <v>19</v>
      </c>
      <c r="O17">
        <v>11</v>
      </c>
      <c r="P17">
        <v>30</v>
      </c>
      <c r="Q17">
        <v>5.76</v>
      </c>
      <c r="R17">
        <v>0</v>
      </c>
      <c r="S17">
        <v>0</v>
      </c>
      <c r="T17">
        <v>5</v>
      </c>
      <c r="U17">
        <v>0</v>
      </c>
      <c r="V17">
        <v>0</v>
      </c>
      <c r="W17">
        <v>5</v>
      </c>
      <c r="X17">
        <v>139</v>
      </c>
      <c r="Y17">
        <v>10</v>
      </c>
      <c r="Z17">
        <v>34.4</v>
      </c>
      <c r="AA17">
        <v>2</v>
      </c>
      <c r="AB17">
        <v>11</v>
      </c>
      <c r="AC17">
        <v>2</v>
      </c>
      <c r="AD17">
        <v>13</v>
      </c>
      <c r="AE17">
        <v>4</v>
      </c>
      <c r="AF17">
        <v>4</v>
      </c>
      <c r="AG17">
        <v>0</v>
      </c>
      <c r="AH17">
        <v>5</v>
      </c>
      <c r="AI17">
        <v>1</v>
      </c>
      <c r="AJ17">
        <v>0</v>
      </c>
      <c r="AK17">
        <v>10</v>
      </c>
      <c r="AL17" t="s">
        <v>46</v>
      </c>
      <c r="AM17" t="s">
        <v>116</v>
      </c>
      <c r="AN17" t="s">
        <v>117</v>
      </c>
      <c r="AO17" t="s">
        <v>52</v>
      </c>
      <c r="AP17" t="s">
        <v>70</v>
      </c>
      <c r="AQ17" t="s">
        <v>99</v>
      </c>
      <c r="AR17" t="s">
        <v>53</v>
      </c>
    </row>
    <row r="18" spans="1:44" x14ac:dyDescent="0.3">
      <c r="A18">
        <v>17</v>
      </c>
      <c r="B18" s="3" t="s">
        <v>170</v>
      </c>
      <c r="C18" s="1">
        <v>0.58333333333333337</v>
      </c>
      <c r="D18" t="s">
        <v>118</v>
      </c>
      <c r="E18" t="s">
        <v>119</v>
      </c>
      <c r="F18" t="s">
        <v>67</v>
      </c>
      <c r="G18" t="s">
        <v>85</v>
      </c>
      <c r="H18" t="s">
        <v>67</v>
      </c>
      <c r="I18" t="s">
        <v>86</v>
      </c>
      <c r="J18">
        <v>256</v>
      </c>
      <c r="K18">
        <v>8</v>
      </c>
      <c r="L18">
        <v>50</v>
      </c>
      <c r="M18">
        <v>0</v>
      </c>
      <c r="N18">
        <v>18</v>
      </c>
      <c r="O18">
        <v>8</v>
      </c>
      <c r="P18">
        <v>26</v>
      </c>
      <c r="Q18">
        <v>5.12</v>
      </c>
      <c r="R18">
        <v>0</v>
      </c>
      <c r="S18">
        <v>0</v>
      </c>
      <c r="T18">
        <v>2</v>
      </c>
      <c r="U18">
        <v>2</v>
      </c>
      <c r="V18">
        <v>0</v>
      </c>
      <c r="W18">
        <v>4</v>
      </c>
      <c r="X18">
        <v>261</v>
      </c>
      <c r="Y18">
        <v>3</v>
      </c>
      <c r="Z18">
        <v>41.3</v>
      </c>
      <c r="AA18">
        <v>1</v>
      </c>
      <c r="AB18">
        <v>23</v>
      </c>
      <c r="AC18">
        <v>9</v>
      </c>
      <c r="AD18">
        <v>32</v>
      </c>
      <c r="AE18">
        <v>6.28</v>
      </c>
      <c r="AF18">
        <v>1</v>
      </c>
      <c r="AG18">
        <v>0</v>
      </c>
      <c r="AH18">
        <v>5</v>
      </c>
      <c r="AI18">
        <v>0</v>
      </c>
      <c r="AJ18">
        <v>0</v>
      </c>
      <c r="AK18">
        <v>6</v>
      </c>
      <c r="AL18" t="s">
        <v>85</v>
      </c>
      <c r="AM18" t="s">
        <v>108</v>
      </c>
      <c r="AN18" t="s">
        <v>120</v>
      </c>
      <c r="AO18" t="s">
        <v>60</v>
      </c>
      <c r="AP18" t="s">
        <v>90</v>
      </c>
      <c r="AQ18" t="s">
        <v>50</v>
      </c>
      <c r="AR18" t="s">
        <v>72</v>
      </c>
    </row>
    <row r="19" spans="1:44" x14ac:dyDescent="0.3">
      <c r="A19">
        <v>18</v>
      </c>
      <c r="B19" s="3" t="s">
        <v>171</v>
      </c>
      <c r="C19" s="1">
        <v>0.58333333333333337</v>
      </c>
      <c r="D19" t="s">
        <v>121</v>
      </c>
      <c r="E19" t="s">
        <v>122</v>
      </c>
      <c r="F19" t="s">
        <v>84</v>
      </c>
      <c r="G19" t="s">
        <v>56</v>
      </c>
      <c r="H19" t="s">
        <v>56</v>
      </c>
      <c r="I19" t="s">
        <v>47</v>
      </c>
      <c r="J19">
        <v>367</v>
      </c>
      <c r="K19">
        <v>9</v>
      </c>
      <c r="L19">
        <v>50</v>
      </c>
      <c r="M19">
        <v>1</v>
      </c>
      <c r="N19">
        <v>29</v>
      </c>
      <c r="O19">
        <v>19</v>
      </c>
      <c r="P19">
        <v>48</v>
      </c>
      <c r="Q19">
        <v>7.34</v>
      </c>
      <c r="R19">
        <v>7</v>
      </c>
      <c r="S19">
        <v>1</v>
      </c>
      <c r="T19">
        <v>11</v>
      </c>
      <c r="U19">
        <v>0</v>
      </c>
      <c r="V19">
        <v>0</v>
      </c>
      <c r="W19">
        <v>19</v>
      </c>
      <c r="X19">
        <v>305</v>
      </c>
      <c r="Y19">
        <v>10</v>
      </c>
      <c r="Z19">
        <v>45.3</v>
      </c>
      <c r="AA19">
        <v>1</v>
      </c>
      <c r="AB19">
        <v>34</v>
      </c>
      <c r="AC19">
        <v>6</v>
      </c>
      <c r="AD19">
        <v>40</v>
      </c>
      <c r="AE19">
        <v>6.7</v>
      </c>
      <c r="AF19">
        <v>10</v>
      </c>
      <c r="AG19">
        <v>1</v>
      </c>
      <c r="AH19">
        <v>14</v>
      </c>
      <c r="AI19">
        <v>0</v>
      </c>
      <c r="AJ19">
        <v>0</v>
      </c>
      <c r="AK19">
        <v>25</v>
      </c>
      <c r="AL19" t="s">
        <v>84</v>
      </c>
      <c r="AM19" t="s">
        <v>123</v>
      </c>
      <c r="AN19" t="s">
        <v>124</v>
      </c>
      <c r="AO19" t="s">
        <v>79</v>
      </c>
      <c r="AP19" t="s">
        <v>61</v>
      </c>
      <c r="AQ19" t="s">
        <v>99</v>
      </c>
      <c r="AR19" t="s">
        <v>91</v>
      </c>
    </row>
    <row r="20" spans="1:44" x14ac:dyDescent="0.3">
      <c r="A20">
        <v>19</v>
      </c>
      <c r="B20" s="3" t="s">
        <v>172</v>
      </c>
      <c r="C20" s="1">
        <v>0.4375</v>
      </c>
      <c r="D20" t="s">
        <v>103</v>
      </c>
      <c r="E20" t="s">
        <v>104</v>
      </c>
      <c r="F20" t="s">
        <v>57</v>
      </c>
      <c r="G20" t="s">
        <v>76</v>
      </c>
      <c r="H20" t="s">
        <v>57</v>
      </c>
      <c r="I20" t="s">
        <v>86</v>
      </c>
      <c r="J20">
        <v>262</v>
      </c>
      <c r="K20">
        <v>10</v>
      </c>
      <c r="L20">
        <v>49.4</v>
      </c>
      <c r="M20">
        <v>1</v>
      </c>
      <c r="N20">
        <v>14</v>
      </c>
      <c r="O20">
        <v>3</v>
      </c>
      <c r="P20">
        <v>17</v>
      </c>
      <c r="Q20">
        <v>5.27</v>
      </c>
      <c r="R20">
        <v>0</v>
      </c>
      <c r="S20">
        <v>13</v>
      </c>
      <c r="T20">
        <v>11</v>
      </c>
      <c r="U20">
        <v>0</v>
      </c>
      <c r="V20">
        <v>0</v>
      </c>
      <c r="W20">
        <v>24</v>
      </c>
      <c r="X20">
        <v>263</v>
      </c>
      <c r="Y20">
        <v>5</v>
      </c>
      <c r="Z20">
        <v>48.2</v>
      </c>
      <c r="AA20">
        <v>2</v>
      </c>
      <c r="AB20">
        <v>23</v>
      </c>
      <c r="AC20">
        <v>3</v>
      </c>
      <c r="AD20">
        <v>26</v>
      </c>
      <c r="AE20">
        <v>5.44</v>
      </c>
      <c r="AF20">
        <v>1</v>
      </c>
      <c r="AG20">
        <v>0</v>
      </c>
      <c r="AH20">
        <v>26</v>
      </c>
      <c r="AI20">
        <v>1</v>
      </c>
      <c r="AJ20">
        <v>5</v>
      </c>
      <c r="AK20">
        <v>33</v>
      </c>
      <c r="AL20" t="s">
        <v>76</v>
      </c>
      <c r="AM20" t="s">
        <v>112</v>
      </c>
      <c r="AN20" t="s">
        <v>125</v>
      </c>
      <c r="AO20" t="s">
        <v>71</v>
      </c>
      <c r="AP20" t="s">
        <v>102</v>
      </c>
      <c r="AQ20" t="s">
        <v>62</v>
      </c>
      <c r="AR20" t="s">
        <v>63</v>
      </c>
    </row>
    <row r="21" spans="1:44" x14ac:dyDescent="0.3">
      <c r="A21">
        <v>20</v>
      </c>
      <c r="B21" s="3" t="s">
        <v>172</v>
      </c>
      <c r="C21" s="1">
        <v>0.58333333333333337</v>
      </c>
      <c r="D21" t="s">
        <v>126</v>
      </c>
      <c r="E21" t="s">
        <v>127</v>
      </c>
      <c r="F21" t="s">
        <v>75</v>
      </c>
      <c r="G21" t="s">
        <v>45</v>
      </c>
      <c r="H21" t="s">
        <v>45</v>
      </c>
      <c r="I21" t="s">
        <v>47</v>
      </c>
      <c r="J21">
        <v>399</v>
      </c>
      <c r="K21">
        <v>7</v>
      </c>
      <c r="L21">
        <v>50</v>
      </c>
      <c r="M21">
        <v>2</v>
      </c>
      <c r="N21">
        <v>38</v>
      </c>
      <c r="O21">
        <v>13</v>
      </c>
      <c r="P21">
        <v>51</v>
      </c>
      <c r="Q21">
        <v>7.98</v>
      </c>
      <c r="R21">
        <v>9</v>
      </c>
      <c r="S21">
        <v>0</v>
      </c>
      <c r="T21">
        <v>5</v>
      </c>
      <c r="U21">
        <v>1</v>
      </c>
      <c r="V21">
        <v>0</v>
      </c>
      <c r="W21">
        <v>15</v>
      </c>
      <c r="X21">
        <v>170</v>
      </c>
      <c r="Y21">
        <v>10</v>
      </c>
      <c r="Z21">
        <v>22</v>
      </c>
      <c r="AA21">
        <v>1</v>
      </c>
      <c r="AB21">
        <v>18</v>
      </c>
      <c r="AC21">
        <v>9</v>
      </c>
      <c r="AD21">
        <v>27</v>
      </c>
      <c r="AE21">
        <v>7.72</v>
      </c>
      <c r="AF21">
        <v>3</v>
      </c>
      <c r="AG21">
        <v>2</v>
      </c>
      <c r="AH21">
        <v>9</v>
      </c>
      <c r="AI21">
        <v>1</v>
      </c>
      <c r="AJ21">
        <v>0</v>
      </c>
      <c r="AK21">
        <v>15</v>
      </c>
      <c r="AL21" t="s">
        <v>75</v>
      </c>
      <c r="AM21" t="s">
        <v>128</v>
      </c>
      <c r="AN21" t="s">
        <v>129</v>
      </c>
      <c r="AO21" t="s">
        <v>51</v>
      </c>
      <c r="AP21" t="s">
        <v>50</v>
      </c>
      <c r="AQ21" t="s">
        <v>95</v>
      </c>
      <c r="AR21" t="s">
        <v>53</v>
      </c>
    </row>
    <row r="22" spans="1:44" x14ac:dyDescent="0.3">
      <c r="A22">
        <v>21</v>
      </c>
      <c r="B22" s="3" t="s">
        <v>173</v>
      </c>
      <c r="C22" s="1">
        <v>0.58333333333333337</v>
      </c>
      <c r="D22" t="s">
        <v>64</v>
      </c>
      <c r="E22" t="s">
        <v>65</v>
      </c>
      <c r="F22" t="s">
        <v>46</v>
      </c>
      <c r="G22" t="s">
        <v>85</v>
      </c>
      <c r="H22" t="s">
        <v>85</v>
      </c>
      <c r="I22" t="s">
        <v>47</v>
      </c>
      <c r="J22">
        <v>273</v>
      </c>
      <c r="K22">
        <v>10</v>
      </c>
      <c r="L22">
        <v>50</v>
      </c>
      <c r="M22">
        <v>0</v>
      </c>
      <c r="N22">
        <v>19</v>
      </c>
      <c r="O22">
        <v>7</v>
      </c>
      <c r="P22">
        <v>26</v>
      </c>
      <c r="Q22">
        <v>5.46</v>
      </c>
      <c r="R22">
        <v>1</v>
      </c>
      <c r="S22">
        <v>0</v>
      </c>
      <c r="T22">
        <v>4</v>
      </c>
      <c r="U22">
        <v>0</v>
      </c>
      <c r="V22">
        <v>0</v>
      </c>
      <c r="W22">
        <v>5</v>
      </c>
      <c r="X22">
        <v>274</v>
      </c>
      <c r="Y22">
        <v>6</v>
      </c>
      <c r="Z22">
        <v>48</v>
      </c>
      <c r="AA22">
        <v>2</v>
      </c>
      <c r="AB22">
        <v>29</v>
      </c>
      <c r="AC22">
        <v>7</v>
      </c>
      <c r="AD22">
        <v>36</v>
      </c>
      <c r="AE22">
        <v>5.7</v>
      </c>
      <c r="AF22">
        <v>5</v>
      </c>
      <c r="AG22">
        <v>3</v>
      </c>
      <c r="AH22">
        <v>7</v>
      </c>
      <c r="AI22">
        <v>0</v>
      </c>
      <c r="AJ22">
        <v>0</v>
      </c>
      <c r="AK22">
        <v>15</v>
      </c>
      <c r="AL22" t="s">
        <v>85</v>
      </c>
      <c r="AM22" t="s">
        <v>130</v>
      </c>
      <c r="AN22" t="s">
        <v>131</v>
      </c>
      <c r="AO22" t="s">
        <v>90</v>
      </c>
      <c r="AP22" t="s">
        <v>81</v>
      </c>
      <c r="AQ22" t="s">
        <v>52</v>
      </c>
      <c r="AR22" t="s">
        <v>72</v>
      </c>
    </row>
    <row r="23" spans="1:44" x14ac:dyDescent="0.3">
      <c r="A23">
        <v>22</v>
      </c>
      <c r="B23" s="3" t="s">
        <v>174</v>
      </c>
      <c r="C23" s="1">
        <v>0.58333333333333337</v>
      </c>
      <c r="D23" t="s">
        <v>82</v>
      </c>
      <c r="E23" t="s">
        <v>83</v>
      </c>
      <c r="F23" t="s">
        <v>56</v>
      </c>
      <c r="G23" t="s">
        <v>66</v>
      </c>
      <c r="H23" t="s">
        <v>56</v>
      </c>
      <c r="I23" t="s">
        <v>86</v>
      </c>
      <c r="J23">
        <v>282</v>
      </c>
      <c r="K23">
        <v>7</v>
      </c>
      <c r="L23">
        <v>50</v>
      </c>
      <c r="M23">
        <v>2</v>
      </c>
      <c r="N23">
        <v>17</v>
      </c>
      <c r="O23">
        <v>9</v>
      </c>
      <c r="P23">
        <v>26</v>
      </c>
      <c r="Q23">
        <v>5.64</v>
      </c>
      <c r="R23">
        <v>0</v>
      </c>
      <c r="S23">
        <v>0</v>
      </c>
      <c r="T23">
        <v>8</v>
      </c>
      <c r="U23">
        <v>1</v>
      </c>
      <c r="V23">
        <v>0</v>
      </c>
      <c r="W23">
        <v>9</v>
      </c>
      <c r="X23">
        <v>286</v>
      </c>
      <c r="Y23">
        <v>2</v>
      </c>
      <c r="Z23">
        <v>49</v>
      </c>
      <c r="AA23">
        <v>0</v>
      </c>
      <c r="AB23">
        <v>28</v>
      </c>
      <c r="AC23">
        <v>3</v>
      </c>
      <c r="AD23">
        <v>31</v>
      </c>
      <c r="AE23">
        <v>5.83</v>
      </c>
      <c r="AF23">
        <v>4</v>
      </c>
      <c r="AG23">
        <v>0</v>
      </c>
      <c r="AH23">
        <v>12</v>
      </c>
      <c r="AI23">
        <v>1</v>
      </c>
      <c r="AJ23">
        <v>0</v>
      </c>
      <c r="AK23">
        <v>17</v>
      </c>
      <c r="AL23" t="s">
        <v>66</v>
      </c>
      <c r="AM23" t="s">
        <v>100</v>
      </c>
      <c r="AN23" t="s">
        <v>132</v>
      </c>
      <c r="AO23" t="s">
        <v>95</v>
      </c>
      <c r="AP23" t="s">
        <v>62</v>
      </c>
      <c r="AQ23" t="s">
        <v>89</v>
      </c>
      <c r="AR23" t="s">
        <v>91</v>
      </c>
    </row>
    <row r="24" spans="1:44" x14ac:dyDescent="0.3">
      <c r="A24">
        <v>23</v>
      </c>
      <c r="B24" s="3" t="s">
        <v>175</v>
      </c>
      <c r="C24" s="1">
        <v>0.58333333333333337</v>
      </c>
      <c r="D24" t="s">
        <v>126</v>
      </c>
      <c r="E24" t="s">
        <v>127</v>
      </c>
      <c r="F24" t="s">
        <v>75</v>
      </c>
      <c r="G24" t="s">
        <v>67</v>
      </c>
      <c r="H24" t="s">
        <v>75</v>
      </c>
      <c r="I24" t="s">
        <v>86</v>
      </c>
      <c r="J24">
        <v>382</v>
      </c>
      <c r="K24">
        <v>5</v>
      </c>
      <c r="L24">
        <v>50</v>
      </c>
      <c r="M24">
        <v>2</v>
      </c>
      <c r="N24">
        <v>26</v>
      </c>
      <c r="O24">
        <v>19</v>
      </c>
      <c r="P24">
        <v>45</v>
      </c>
      <c r="Q24">
        <v>7.64</v>
      </c>
      <c r="R24">
        <v>2</v>
      </c>
      <c r="S24">
        <v>0</v>
      </c>
      <c r="T24">
        <v>13</v>
      </c>
      <c r="U24">
        <v>2</v>
      </c>
      <c r="V24">
        <v>0</v>
      </c>
      <c r="W24">
        <v>17</v>
      </c>
      <c r="X24">
        <v>233</v>
      </c>
      <c r="Y24">
        <v>10</v>
      </c>
      <c r="Z24">
        <v>46.4</v>
      </c>
      <c r="AA24">
        <v>0</v>
      </c>
      <c r="AB24">
        <v>25</v>
      </c>
      <c r="AC24">
        <v>5</v>
      </c>
      <c r="AD24">
        <v>30</v>
      </c>
      <c r="AE24">
        <v>4.99</v>
      </c>
      <c r="AF24">
        <v>3</v>
      </c>
      <c r="AG24">
        <v>0</v>
      </c>
      <c r="AH24">
        <v>7</v>
      </c>
      <c r="AI24">
        <v>0</v>
      </c>
      <c r="AJ24">
        <v>0</v>
      </c>
      <c r="AK24">
        <v>10</v>
      </c>
      <c r="AL24" t="s">
        <v>75</v>
      </c>
      <c r="AM24" t="s">
        <v>116</v>
      </c>
      <c r="AN24" t="s">
        <v>106</v>
      </c>
      <c r="AO24" t="s">
        <v>99</v>
      </c>
      <c r="AP24" t="s">
        <v>70</v>
      </c>
      <c r="AQ24" t="s">
        <v>52</v>
      </c>
      <c r="AR24" t="s">
        <v>63</v>
      </c>
    </row>
    <row r="25" spans="1:44" x14ac:dyDescent="0.3">
      <c r="A25">
        <v>24</v>
      </c>
      <c r="B25" s="3" t="s">
        <v>176</v>
      </c>
      <c r="C25" s="1">
        <v>0.58333333333333337</v>
      </c>
      <c r="D25" t="s">
        <v>73</v>
      </c>
      <c r="E25" t="s">
        <v>74</v>
      </c>
      <c r="F25" t="s">
        <v>84</v>
      </c>
      <c r="G25" t="s">
        <v>57</v>
      </c>
      <c r="H25" t="s">
        <v>84</v>
      </c>
      <c r="I25" t="s">
        <v>86</v>
      </c>
      <c r="J25">
        <v>399</v>
      </c>
      <c r="K25">
        <v>8</v>
      </c>
      <c r="L25">
        <v>50</v>
      </c>
      <c r="M25">
        <v>0</v>
      </c>
      <c r="N25">
        <v>42</v>
      </c>
      <c r="O25">
        <v>15</v>
      </c>
      <c r="P25">
        <v>57</v>
      </c>
      <c r="Q25">
        <v>7.98</v>
      </c>
      <c r="R25">
        <v>0</v>
      </c>
      <c r="S25">
        <v>0</v>
      </c>
      <c r="T25">
        <v>7</v>
      </c>
      <c r="U25">
        <v>0</v>
      </c>
      <c r="V25">
        <v>0</v>
      </c>
      <c r="W25">
        <v>7</v>
      </c>
      <c r="X25">
        <v>90</v>
      </c>
      <c r="Y25">
        <v>10</v>
      </c>
      <c r="Z25">
        <v>21</v>
      </c>
      <c r="AA25">
        <v>0</v>
      </c>
      <c r="AB25">
        <v>13</v>
      </c>
      <c r="AC25">
        <v>0</v>
      </c>
      <c r="AD25">
        <v>13</v>
      </c>
      <c r="AE25">
        <v>4.28</v>
      </c>
      <c r="AF25">
        <v>0</v>
      </c>
      <c r="AG25">
        <v>0</v>
      </c>
      <c r="AH25">
        <v>11</v>
      </c>
      <c r="AI25">
        <v>1</v>
      </c>
      <c r="AJ25">
        <v>0</v>
      </c>
      <c r="AK25">
        <v>12</v>
      </c>
      <c r="AL25" t="s">
        <v>84</v>
      </c>
      <c r="AM25" t="s">
        <v>133</v>
      </c>
      <c r="AN25" t="s">
        <v>134</v>
      </c>
      <c r="AO25" t="s">
        <v>80</v>
      </c>
      <c r="AP25" t="s">
        <v>81</v>
      </c>
      <c r="AQ25" t="s">
        <v>102</v>
      </c>
      <c r="AR25" t="s">
        <v>72</v>
      </c>
    </row>
    <row r="26" spans="1:44" x14ac:dyDescent="0.3">
      <c r="A26">
        <v>25</v>
      </c>
      <c r="B26" s="3" t="s">
        <v>177</v>
      </c>
      <c r="C26" s="1">
        <v>0.58333333333333337</v>
      </c>
      <c r="D26" t="s">
        <v>121</v>
      </c>
      <c r="E26" t="s">
        <v>122</v>
      </c>
      <c r="F26" t="s">
        <v>45</v>
      </c>
      <c r="G26" t="s">
        <v>76</v>
      </c>
      <c r="H26" t="s">
        <v>45</v>
      </c>
      <c r="I26" t="s">
        <v>86</v>
      </c>
      <c r="J26">
        <v>156</v>
      </c>
      <c r="K26">
        <v>10</v>
      </c>
      <c r="L26">
        <v>33.200000000000003</v>
      </c>
      <c r="M26">
        <v>0</v>
      </c>
      <c r="N26">
        <v>19</v>
      </c>
      <c r="O26">
        <v>1</v>
      </c>
      <c r="P26">
        <v>20</v>
      </c>
      <c r="Q26">
        <v>4.68</v>
      </c>
      <c r="R26">
        <v>0</v>
      </c>
      <c r="S26">
        <v>0</v>
      </c>
      <c r="T26">
        <v>3</v>
      </c>
      <c r="U26">
        <v>0</v>
      </c>
      <c r="V26">
        <v>0</v>
      </c>
      <c r="W26">
        <v>3</v>
      </c>
      <c r="X26">
        <v>160</v>
      </c>
      <c r="Y26">
        <v>2</v>
      </c>
      <c r="Z26">
        <v>25.4</v>
      </c>
      <c r="AA26">
        <v>2</v>
      </c>
      <c r="AB26">
        <v>17</v>
      </c>
      <c r="AC26">
        <v>3</v>
      </c>
      <c r="AD26">
        <v>20</v>
      </c>
      <c r="AE26">
        <v>6.23</v>
      </c>
      <c r="AF26">
        <v>3</v>
      </c>
      <c r="AG26">
        <v>0</v>
      </c>
      <c r="AH26">
        <v>4</v>
      </c>
      <c r="AI26">
        <v>0</v>
      </c>
      <c r="AJ26">
        <v>0</v>
      </c>
      <c r="AK26">
        <v>7</v>
      </c>
      <c r="AL26" t="s">
        <v>76</v>
      </c>
      <c r="AM26" t="s">
        <v>100</v>
      </c>
      <c r="AN26" t="s">
        <v>135</v>
      </c>
      <c r="AO26" t="s">
        <v>61</v>
      </c>
      <c r="AP26" t="s">
        <v>60</v>
      </c>
      <c r="AQ26" t="s">
        <v>71</v>
      </c>
      <c r="AR26" t="s">
        <v>53</v>
      </c>
    </row>
    <row r="27" spans="1:44" x14ac:dyDescent="0.3">
      <c r="A27">
        <v>26</v>
      </c>
      <c r="B27" s="3" t="s">
        <v>178</v>
      </c>
      <c r="C27" s="1">
        <v>0.58333333333333337</v>
      </c>
      <c r="D27" t="s">
        <v>82</v>
      </c>
      <c r="E27" t="s">
        <v>83</v>
      </c>
      <c r="F27" t="s">
        <v>56</v>
      </c>
      <c r="G27" t="s">
        <v>75</v>
      </c>
      <c r="H27" t="s">
        <v>56</v>
      </c>
      <c r="I27" t="s">
        <v>86</v>
      </c>
      <c r="J27">
        <v>270</v>
      </c>
      <c r="K27">
        <v>10</v>
      </c>
      <c r="L27">
        <v>46.4</v>
      </c>
      <c r="M27">
        <v>1</v>
      </c>
      <c r="N27">
        <v>23</v>
      </c>
      <c r="O27">
        <v>8</v>
      </c>
      <c r="P27">
        <v>31</v>
      </c>
      <c r="Q27">
        <v>5.78</v>
      </c>
      <c r="R27">
        <v>5</v>
      </c>
      <c r="S27">
        <v>1</v>
      </c>
      <c r="T27">
        <v>15</v>
      </c>
      <c r="U27">
        <v>0</v>
      </c>
      <c r="V27">
        <v>0</v>
      </c>
      <c r="W27">
        <v>21</v>
      </c>
      <c r="X27">
        <v>271</v>
      </c>
      <c r="Y27">
        <v>9</v>
      </c>
      <c r="Z27">
        <v>47.2</v>
      </c>
      <c r="AA27">
        <v>1</v>
      </c>
      <c r="AB27">
        <v>21</v>
      </c>
      <c r="AC27">
        <v>8</v>
      </c>
      <c r="AD27">
        <v>29</v>
      </c>
      <c r="AE27">
        <v>5.22</v>
      </c>
      <c r="AF27">
        <v>0</v>
      </c>
      <c r="AG27">
        <v>4</v>
      </c>
      <c r="AH27">
        <v>11</v>
      </c>
      <c r="AI27">
        <v>4</v>
      </c>
      <c r="AJ27">
        <v>0</v>
      </c>
      <c r="AK27">
        <v>19</v>
      </c>
      <c r="AL27" t="s">
        <v>75</v>
      </c>
      <c r="AM27" t="s">
        <v>136</v>
      </c>
      <c r="AN27" t="s">
        <v>137</v>
      </c>
      <c r="AO27" t="s">
        <v>95</v>
      </c>
      <c r="AP27" t="s">
        <v>99</v>
      </c>
      <c r="AQ27" t="s">
        <v>79</v>
      </c>
      <c r="AR27" t="s">
        <v>91</v>
      </c>
    </row>
    <row r="28" spans="1:44" x14ac:dyDescent="0.3">
      <c r="A28">
        <v>27</v>
      </c>
      <c r="B28" s="3" t="s">
        <v>179</v>
      </c>
      <c r="C28" s="1">
        <v>0.4375</v>
      </c>
      <c r="D28" t="s">
        <v>64</v>
      </c>
      <c r="E28" t="s">
        <v>65</v>
      </c>
      <c r="F28" t="s">
        <v>84</v>
      </c>
      <c r="G28" t="s">
        <v>46</v>
      </c>
      <c r="H28" t="s">
        <v>46</v>
      </c>
      <c r="I28" t="s">
        <v>47</v>
      </c>
      <c r="J28">
        <v>388</v>
      </c>
      <c r="K28">
        <v>10</v>
      </c>
      <c r="L28">
        <v>49.2</v>
      </c>
      <c r="M28">
        <v>0</v>
      </c>
      <c r="N28">
        <v>32</v>
      </c>
      <c r="O28">
        <v>20</v>
      </c>
      <c r="P28">
        <v>52</v>
      </c>
      <c r="Q28">
        <v>7.86</v>
      </c>
      <c r="R28">
        <v>4</v>
      </c>
      <c r="S28">
        <v>0</v>
      </c>
      <c r="T28">
        <v>22</v>
      </c>
      <c r="U28">
        <v>0</v>
      </c>
      <c r="V28">
        <v>0</v>
      </c>
      <c r="W28">
        <v>26</v>
      </c>
      <c r="X28">
        <v>383</v>
      </c>
      <c r="Y28">
        <v>9</v>
      </c>
      <c r="Z28">
        <v>50</v>
      </c>
      <c r="AA28">
        <v>0</v>
      </c>
      <c r="AB28">
        <v>33</v>
      </c>
      <c r="AC28">
        <v>12</v>
      </c>
      <c r="AD28">
        <v>45</v>
      </c>
      <c r="AE28">
        <v>7.66</v>
      </c>
      <c r="AF28">
        <v>0</v>
      </c>
      <c r="AG28">
        <v>1</v>
      </c>
      <c r="AH28">
        <v>6</v>
      </c>
      <c r="AI28">
        <v>2</v>
      </c>
      <c r="AJ28">
        <v>0</v>
      </c>
      <c r="AK28">
        <v>9</v>
      </c>
      <c r="AL28" t="s">
        <v>84</v>
      </c>
      <c r="AM28" t="s">
        <v>138</v>
      </c>
      <c r="AN28" t="s">
        <v>139</v>
      </c>
      <c r="AO28" t="s">
        <v>80</v>
      </c>
      <c r="AP28" t="s">
        <v>102</v>
      </c>
      <c r="AQ28" t="s">
        <v>51</v>
      </c>
      <c r="AR28" t="s">
        <v>72</v>
      </c>
    </row>
    <row r="29" spans="1:44" x14ac:dyDescent="0.3">
      <c r="A29">
        <v>28</v>
      </c>
      <c r="B29" s="3" t="s">
        <v>179</v>
      </c>
      <c r="C29" s="1">
        <v>0.58333333333333337</v>
      </c>
      <c r="D29" t="s">
        <v>140</v>
      </c>
      <c r="E29" t="s">
        <v>55</v>
      </c>
      <c r="F29" t="s">
        <v>57</v>
      </c>
      <c r="G29" t="s">
        <v>67</v>
      </c>
      <c r="H29" t="s">
        <v>57</v>
      </c>
      <c r="I29" t="s">
        <v>86</v>
      </c>
      <c r="J29">
        <v>142</v>
      </c>
      <c r="K29">
        <v>10</v>
      </c>
      <c r="L29">
        <v>42.2</v>
      </c>
      <c r="M29">
        <v>5</v>
      </c>
      <c r="N29">
        <v>22</v>
      </c>
      <c r="O29">
        <v>2</v>
      </c>
      <c r="P29">
        <v>24</v>
      </c>
      <c r="Q29">
        <v>3.35</v>
      </c>
      <c r="R29">
        <v>0</v>
      </c>
      <c r="S29">
        <v>0</v>
      </c>
      <c r="T29">
        <v>6</v>
      </c>
      <c r="U29">
        <v>0</v>
      </c>
      <c r="V29">
        <v>0</v>
      </c>
      <c r="W29">
        <v>6</v>
      </c>
      <c r="X29">
        <v>229</v>
      </c>
      <c r="Y29">
        <v>10</v>
      </c>
      <c r="Z29">
        <v>50</v>
      </c>
      <c r="AA29">
        <v>3</v>
      </c>
      <c r="AB29">
        <v>16</v>
      </c>
      <c r="AC29">
        <v>2</v>
      </c>
      <c r="AD29">
        <v>18</v>
      </c>
      <c r="AE29">
        <v>4.58</v>
      </c>
      <c r="AF29">
        <v>1</v>
      </c>
      <c r="AG29">
        <v>4</v>
      </c>
      <c r="AH29">
        <v>7</v>
      </c>
      <c r="AI29">
        <v>0</v>
      </c>
      <c r="AJ29">
        <v>0</v>
      </c>
      <c r="AK29">
        <v>12</v>
      </c>
      <c r="AL29" t="s">
        <v>57</v>
      </c>
      <c r="AM29" t="s">
        <v>141</v>
      </c>
      <c r="AN29" t="s">
        <v>142</v>
      </c>
      <c r="AO29" t="s">
        <v>70</v>
      </c>
      <c r="AP29" t="s">
        <v>52</v>
      </c>
      <c r="AQ29" t="s">
        <v>50</v>
      </c>
      <c r="AR29" t="s">
        <v>63</v>
      </c>
    </row>
    <row r="30" spans="1:44" x14ac:dyDescent="0.3">
      <c r="A30">
        <v>29</v>
      </c>
      <c r="B30" s="3" t="s">
        <v>180</v>
      </c>
      <c r="C30" s="1">
        <v>0.58333333333333337</v>
      </c>
      <c r="D30" t="s">
        <v>103</v>
      </c>
      <c r="E30" t="s">
        <v>104</v>
      </c>
      <c r="F30" t="s">
        <v>85</v>
      </c>
      <c r="G30" t="s">
        <v>45</v>
      </c>
      <c r="H30" t="s">
        <v>45</v>
      </c>
      <c r="I30" t="s">
        <v>47</v>
      </c>
      <c r="J30">
        <v>229</v>
      </c>
      <c r="K30">
        <v>9</v>
      </c>
      <c r="L30">
        <v>50</v>
      </c>
      <c r="M30">
        <v>4</v>
      </c>
      <c r="N30">
        <v>20</v>
      </c>
      <c r="O30">
        <v>4</v>
      </c>
      <c r="P30">
        <v>24</v>
      </c>
      <c r="Q30">
        <v>4.58</v>
      </c>
      <c r="R30">
        <v>2</v>
      </c>
      <c r="S30">
        <v>0</v>
      </c>
      <c r="T30">
        <v>6</v>
      </c>
      <c r="U30">
        <v>0</v>
      </c>
      <c r="V30">
        <v>0</v>
      </c>
      <c r="W30">
        <v>8</v>
      </c>
      <c r="X30">
        <v>129</v>
      </c>
      <c r="Y30">
        <v>10</v>
      </c>
      <c r="Z30">
        <v>34.5</v>
      </c>
      <c r="AA30">
        <v>5</v>
      </c>
      <c r="AB30">
        <v>10</v>
      </c>
      <c r="AC30">
        <v>3</v>
      </c>
      <c r="AD30">
        <v>13</v>
      </c>
      <c r="AE30">
        <v>3.7</v>
      </c>
      <c r="AF30">
        <v>0</v>
      </c>
      <c r="AG30">
        <v>4</v>
      </c>
      <c r="AH30">
        <v>3</v>
      </c>
      <c r="AI30">
        <v>0</v>
      </c>
      <c r="AJ30">
        <v>0</v>
      </c>
      <c r="AK30">
        <v>7</v>
      </c>
      <c r="AL30" t="s">
        <v>85</v>
      </c>
      <c r="AM30" t="s">
        <v>143</v>
      </c>
      <c r="AN30" t="s">
        <v>101</v>
      </c>
      <c r="AO30" t="s">
        <v>62</v>
      </c>
      <c r="AP30" t="s">
        <v>60</v>
      </c>
      <c r="AQ30" t="s">
        <v>71</v>
      </c>
      <c r="AR30" t="s">
        <v>91</v>
      </c>
    </row>
    <row r="31" spans="1:44" x14ac:dyDescent="0.3">
      <c r="A31">
        <v>30</v>
      </c>
      <c r="B31" s="3" t="s">
        <v>181</v>
      </c>
      <c r="C31" s="1">
        <v>0.58333333333333337</v>
      </c>
      <c r="D31" t="s">
        <v>118</v>
      </c>
      <c r="E31" t="s">
        <v>119</v>
      </c>
      <c r="F31" t="s">
        <v>76</v>
      </c>
      <c r="G31" t="s">
        <v>66</v>
      </c>
      <c r="H31" t="s">
        <v>66</v>
      </c>
      <c r="I31" t="s">
        <v>47</v>
      </c>
      <c r="J31">
        <v>241</v>
      </c>
      <c r="K31">
        <v>10</v>
      </c>
      <c r="L31">
        <v>49.3</v>
      </c>
      <c r="M31">
        <v>0</v>
      </c>
      <c r="N31">
        <v>19</v>
      </c>
      <c r="O31">
        <v>2</v>
      </c>
      <c r="P31">
        <v>21</v>
      </c>
      <c r="Q31">
        <v>4.8600000000000003</v>
      </c>
      <c r="R31">
        <v>1</v>
      </c>
      <c r="S31">
        <v>0</v>
      </c>
      <c r="T31">
        <v>9</v>
      </c>
      <c r="U31">
        <v>0</v>
      </c>
      <c r="V31">
        <v>0</v>
      </c>
      <c r="W31">
        <v>10</v>
      </c>
      <c r="X31">
        <v>242</v>
      </c>
      <c r="Y31">
        <v>3</v>
      </c>
      <c r="Z31">
        <v>45.2</v>
      </c>
      <c r="AA31">
        <v>1</v>
      </c>
      <c r="AB31">
        <v>19</v>
      </c>
      <c r="AC31">
        <v>5</v>
      </c>
      <c r="AD31">
        <v>24</v>
      </c>
      <c r="AE31">
        <v>5.33</v>
      </c>
      <c r="AF31">
        <v>2</v>
      </c>
      <c r="AG31">
        <v>0</v>
      </c>
      <c r="AH31">
        <v>9</v>
      </c>
      <c r="AI31">
        <v>0</v>
      </c>
      <c r="AJ31">
        <v>0</v>
      </c>
      <c r="AK31">
        <v>11</v>
      </c>
      <c r="AL31" t="s">
        <v>66</v>
      </c>
      <c r="AM31" t="s">
        <v>108</v>
      </c>
      <c r="AN31" t="s">
        <v>144</v>
      </c>
      <c r="AO31" t="s">
        <v>79</v>
      </c>
      <c r="AP31" t="s">
        <v>89</v>
      </c>
      <c r="AQ31" t="s">
        <v>99</v>
      </c>
      <c r="AR31" t="s">
        <v>53</v>
      </c>
    </row>
    <row r="32" spans="1:44" x14ac:dyDescent="0.3">
      <c r="A32">
        <v>31</v>
      </c>
      <c r="B32" s="3" t="s">
        <v>185</v>
      </c>
      <c r="C32" s="1">
        <v>0.58333333333333337</v>
      </c>
      <c r="D32" t="s">
        <v>140</v>
      </c>
      <c r="E32" t="s">
        <v>55</v>
      </c>
      <c r="F32" t="s">
        <v>67</v>
      </c>
      <c r="G32" t="s">
        <v>56</v>
      </c>
      <c r="H32" t="s">
        <v>67</v>
      </c>
      <c r="I32" t="s">
        <v>86</v>
      </c>
      <c r="J32">
        <v>205</v>
      </c>
      <c r="K32">
        <v>3</v>
      </c>
      <c r="L32">
        <v>32.299999999999997</v>
      </c>
      <c r="M32">
        <v>2</v>
      </c>
      <c r="N32">
        <v>19</v>
      </c>
      <c r="O32">
        <v>3</v>
      </c>
      <c r="P32">
        <v>22</v>
      </c>
      <c r="Q32">
        <v>6.3</v>
      </c>
      <c r="R32">
        <v>2</v>
      </c>
      <c r="S32">
        <v>0</v>
      </c>
      <c r="T32">
        <v>2</v>
      </c>
      <c r="U32">
        <v>0</v>
      </c>
      <c r="V32">
        <v>0</v>
      </c>
      <c r="W32">
        <v>4</v>
      </c>
      <c r="X32">
        <v>204</v>
      </c>
      <c r="Y32">
        <v>10</v>
      </c>
      <c r="Z32">
        <v>45.1</v>
      </c>
      <c r="AA32">
        <v>2</v>
      </c>
      <c r="AB32">
        <v>19</v>
      </c>
      <c r="AC32">
        <v>9</v>
      </c>
      <c r="AD32">
        <v>28</v>
      </c>
      <c r="AE32">
        <v>4.51</v>
      </c>
      <c r="AF32">
        <v>4</v>
      </c>
      <c r="AG32">
        <v>0</v>
      </c>
      <c r="AH32">
        <v>5</v>
      </c>
      <c r="AI32">
        <v>0</v>
      </c>
      <c r="AJ32">
        <v>0</v>
      </c>
      <c r="AK32">
        <v>9</v>
      </c>
      <c r="AL32" t="s">
        <v>56</v>
      </c>
      <c r="AM32" t="s">
        <v>108</v>
      </c>
      <c r="AN32" t="s">
        <v>145</v>
      </c>
      <c r="AO32" t="s">
        <v>90</v>
      </c>
      <c r="AP32" t="s">
        <v>51</v>
      </c>
      <c r="AQ32" t="s">
        <v>60</v>
      </c>
      <c r="AR32" t="s">
        <v>72</v>
      </c>
    </row>
    <row r="33" spans="1:44" x14ac:dyDescent="0.3">
      <c r="A33">
        <v>32</v>
      </c>
      <c r="B33" s="3">
        <v>44937</v>
      </c>
      <c r="C33" s="1">
        <v>0.58333333333333337</v>
      </c>
      <c r="D33" t="s">
        <v>118</v>
      </c>
      <c r="E33" t="s">
        <v>119</v>
      </c>
      <c r="F33" t="s">
        <v>75</v>
      </c>
      <c r="G33" t="s">
        <v>46</v>
      </c>
      <c r="H33" t="s">
        <v>46</v>
      </c>
      <c r="I33" t="s">
        <v>47</v>
      </c>
      <c r="J33">
        <v>357</v>
      </c>
      <c r="K33">
        <v>4</v>
      </c>
      <c r="L33">
        <v>50</v>
      </c>
      <c r="M33">
        <v>4</v>
      </c>
      <c r="N33">
        <v>26</v>
      </c>
      <c r="O33">
        <v>15</v>
      </c>
      <c r="P33">
        <v>41</v>
      </c>
      <c r="Q33">
        <v>7.14</v>
      </c>
      <c r="R33">
        <v>1</v>
      </c>
      <c r="S33">
        <v>4</v>
      </c>
      <c r="T33">
        <v>6</v>
      </c>
      <c r="U33">
        <v>1</v>
      </c>
      <c r="V33">
        <v>0</v>
      </c>
      <c r="W33">
        <v>12</v>
      </c>
      <c r="X33">
        <v>167</v>
      </c>
      <c r="Y33">
        <v>10</v>
      </c>
      <c r="Z33">
        <v>35.299999999999997</v>
      </c>
      <c r="AA33">
        <v>1</v>
      </c>
      <c r="AB33">
        <v>17</v>
      </c>
      <c r="AC33">
        <v>4</v>
      </c>
      <c r="AD33">
        <v>21</v>
      </c>
      <c r="AE33">
        <v>4.7</v>
      </c>
      <c r="AF33">
        <v>4</v>
      </c>
      <c r="AG33">
        <v>0</v>
      </c>
      <c r="AH33">
        <v>8</v>
      </c>
      <c r="AI33">
        <v>0</v>
      </c>
      <c r="AJ33">
        <v>0</v>
      </c>
      <c r="AK33">
        <v>12</v>
      </c>
      <c r="AL33" t="s">
        <v>75</v>
      </c>
      <c r="AM33" t="s">
        <v>146</v>
      </c>
      <c r="AN33" t="s">
        <v>147</v>
      </c>
      <c r="AO33" t="s">
        <v>50</v>
      </c>
      <c r="AP33" t="s">
        <v>71</v>
      </c>
      <c r="AQ33" t="s">
        <v>80</v>
      </c>
      <c r="AR33" t="s">
        <v>91</v>
      </c>
    </row>
    <row r="34" spans="1:44" x14ac:dyDescent="0.3">
      <c r="A34">
        <v>33</v>
      </c>
      <c r="B34" s="3">
        <v>44968</v>
      </c>
      <c r="C34" s="1">
        <v>0.58333333333333337</v>
      </c>
      <c r="D34" t="s">
        <v>126</v>
      </c>
      <c r="E34" t="s">
        <v>127</v>
      </c>
      <c r="F34" t="s">
        <v>85</v>
      </c>
      <c r="G34" t="s">
        <v>76</v>
      </c>
      <c r="H34" t="s">
        <v>76</v>
      </c>
      <c r="I34" t="s">
        <v>47</v>
      </c>
      <c r="J34">
        <v>357</v>
      </c>
      <c r="K34">
        <v>8</v>
      </c>
      <c r="L34">
        <v>50</v>
      </c>
      <c r="M34">
        <v>4</v>
      </c>
      <c r="N34">
        <v>31</v>
      </c>
      <c r="O34">
        <v>9</v>
      </c>
      <c r="P34">
        <v>40</v>
      </c>
      <c r="Q34">
        <v>7.14</v>
      </c>
      <c r="R34">
        <v>1</v>
      </c>
      <c r="S34">
        <v>5</v>
      </c>
      <c r="T34">
        <v>4</v>
      </c>
      <c r="U34">
        <v>0</v>
      </c>
      <c r="V34">
        <v>0</v>
      </c>
      <c r="W34">
        <v>10</v>
      </c>
      <c r="X34">
        <v>55</v>
      </c>
      <c r="Y34">
        <v>10</v>
      </c>
      <c r="Z34">
        <v>19.399999999999999</v>
      </c>
      <c r="AA34">
        <v>2</v>
      </c>
      <c r="AB34">
        <v>6</v>
      </c>
      <c r="AC34">
        <v>0</v>
      </c>
      <c r="AD34">
        <v>6</v>
      </c>
      <c r="AE34">
        <v>2.79</v>
      </c>
      <c r="AF34">
        <v>6</v>
      </c>
      <c r="AG34">
        <v>5</v>
      </c>
      <c r="AH34">
        <v>8</v>
      </c>
      <c r="AI34">
        <v>1</v>
      </c>
      <c r="AJ34">
        <v>0</v>
      </c>
      <c r="AK34">
        <v>20</v>
      </c>
      <c r="AL34" t="s">
        <v>85</v>
      </c>
      <c r="AM34" t="s">
        <v>148</v>
      </c>
      <c r="AN34" t="s">
        <v>131</v>
      </c>
      <c r="AO34" t="s">
        <v>61</v>
      </c>
      <c r="AP34" t="s">
        <v>95</v>
      </c>
      <c r="AQ34" t="s">
        <v>62</v>
      </c>
      <c r="AR34" t="s">
        <v>63</v>
      </c>
    </row>
    <row r="35" spans="1:44" x14ac:dyDescent="0.3">
      <c r="A35">
        <v>34</v>
      </c>
      <c r="B35" s="3">
        <v>44996</v>
      </c>
      <c r="C35" s="1">
        <v>0.4375</v>
      </c>
      <c r="D35" t="s">
        <v>103</v>
      </c>
      <c r="E35" t="s">
        <v>104</v>
      </c>
      <c r="F35" t="s">
        <v>57</v>
      </c>
      <c r="G35" t="s">
        <v>66</v>
      </c>
      <c r="H35" t="s">
        <v>57</v>
      </c>
      <c r="I35" t="s">
        <v>86</v>
      </c>
      <c r="J35">
        <v>181</v>
      </c>
      <c r="K35">
        <v>3</v>
      </c>
      <c r="L35">
        <v>31.3</v>
      </c>
      <c r="M35">
        <v>0</v>
      </c>
      <c r="N35">
        <v>19</v>
      </c>
      <c r="O35">
        <v>0</v>
      </c>
      <c r="P35">
        <v>19</v>
      </c>
      <c r="Q35">
        <v>5.74</v>
      </c>
      <c r="R35">
        <v>3</v>
      </c>
      <c r="S35">
        <v>0</v>
      </c>
      <c r="T35">
        <v>7</v>
      </c>
      <c r="U35">
        <v>2</v>
      </c>
      <c r="V35">
        <v>0</v>
      </c>
      <c r="W35">
        <v>12</v>
      </c>
      <c r="X35">
        <v>179</v>
      </c>
      <c r="Y35">
        <v>10</v>
      </c>
      <c r="Z35">
        <v>46.3</v>
      </c>
      <c r="AA35">
        <v>1</v>
      </c>
      <c r="AB35">
        <v>21</v>
      </c>
      <c r="AC35">
        <v>0</v>
      </c>
      <c r="AD35">
        <v>21</v>
      </c>
      <c r="AE35">
        <v>3.84</v>
      </c>
      <c r="AF35">
        <v>2</v>
      </c>
      <c r="AG35">
        <v>0</v>
      </c>
      <c r="AH35">
        <v>14</v>
      </c>
      <c r="AI35">
        <v>0</v>
      </c>
      <c r="AJ35">
        <v>0</v>
      </c>
      <c r="AK35">
        <v>16</v>
      </c>
      <c r="AL35" t="s">
        <v>66</v>
      </c>
      <c r="AM35" t="s">
        <v>108</v>
      </c>
      <c r="AN35" t="s">
        <v>149</v>
      </c>
      <c r="AO35" t="s">
        <v>51</v>
      </c>
      <c r="AP35" t="s">
        <v>80</v>
      </c>
      <c r="AQ35" t="s">
        <v>81</v>
      </c>
      <c r="AR35" t="s">
        <v>53</v>
      </c>
    </row>
    <row r="36" spans="1:44" x14ac:dyDescent="0.3">
      <c r="A36">
        <v>35</v>
      </c>
      <c r="B36" s="3">
        <v>45027</v>
      </c>
      <c r="C36" s="1">
        <v>0.58333333333333337</v>
      </c>
      <c r="D36" t="s">
        <v>121</v>
      </c>
      <c r="E36" t="s">
        <v>122</v>
      </c>
      <c r="F36" t="s">
        <v>46</v>
      </c>
      <c r="G36" t="s">
        <v>56</v>
      </c>
      <c r="H36" t="s">
        <v>56</v>
      </c>
      <c r="I36" t="s">
        <v>47</v>
      </c>
      <c r="J36">
        <v>401</v>
      </c>
      <c r="K36">
        <v>6</v>
      </c>
      <c r="L36">
        <v>50</v>
      </c>
      <c r="M36">
        <v>1</v>
      </c>
      <c r="N36">
        <v>46</v>
      </c>
      <c r="O36">
        <v>8</v>
      </c>
      <c r="P36">
        <v>54</v>
      </c>
      <c r="Q36">
        <v>8.02</v>
      </c>
      <c r="R36">
        <v>1</v>
      </c>
      <c r="S36">
        <v>0</v>
      </c>
      <c r="T36">
        <v>3</v>
      </c>
      <c r="U36">
        <v>0</v>
      </c>
      <c r="V36">
        <v>0</v>
      </c>
      <c r="W36">
        <v>4</v>
      </c>
      <c r="X36">
        <v>200</v>
      </c>
      <c r="Y36">
        <v>1</v>
      </c>
      <c r="Z36">
        <v>25.3</v>
      </c>
      <c r="AA36">
        <v>0</v>
      </c>
      <c r="AB36">
        <v>15</v>
      </c>
      <c r="AC36">
        <v>13</v>
      </c>
      <c r="AD36">
        <v>28</v>
      </c>
      <c r="AE36">
        <v>7.84</v>
      </c>
      <c r="AF36">
        <v>8</v>
      </c>
      <c r="AG36">
        <v>0</v>
      </c>
      <c r="AH36">
        <v>17</v>
      </c>
      <c r="AI36">
        <v>1</v>
      </c>
      <c r="AJ36">
        <v>0</v>
      </c>
      <c r="AK36">
        <v>26</v>
      </c>
      <c r="AL36" t="s">
        <v>56</v>
      </c>
      <c r="AM36" t="s">
        <v>150</v>
      </c>
      <c r="AN36" t="s">
        <v>145</v>
      </c>
      <c r="AO36" t="s">
        <v>52</v>
      </c>
      <c r="AP36" t="s">
        <v>90</v>
      </c>
      <c r="AQ36" t="s">
        <v>79</v>
      </c>
      <c r="AR36" t="s">
        <v>91</v>
      </c>
    </row>
    <row r="37" spans="1:44" x14ac:dyDescent="0.3">
      <c r="A37">
        <v>36</v>
      </c>
      <c r="B37" s="3">
        <v>45027</v>
      </c>
      <c r="C37" s="1">
        <v>0.58333333333333337</v>
      </c>
      <c r="D37" t="s">
        <v>43</v>
      </c>
      <c r="E37" t="s">
        <v>44</v>
      </c>
      <c r="F37" t="s">
        <v>84</v>
      </c>
      <c r="G37" t="s">
        <v>45</v>
      </c>
      <c r="H37" t="s">
        <v>45</v>
      </c>
      <c r="I37" t="s">
        <v>47</v>
      </c>
      <c r="J37">
        <v>286</v>
      </c>
      <c r="K37">
        <v>10</v>
      </c>
      <c r="L37">
        <v>49.3</v>
      </c>
      <c r="M37">
        <v>2</v>
      </c>
      <c r="N37">
        <v>25</v>
      </c>
      <c r="O37">
        <v>3</v>
      </c>
      <c r="P37">
        <v>28</v>
      </c>
      <c r="Q37">
        <v>5.77</v>
      </c>
      <c r="R37">
        <v>6</v>
      </c>
      <c r="S37">
        <v>0</v>
      </c>
      <c r="T37">
        <v>8</v>
      </c>
      <c r="U37">
        <v>0</v>
      </c>
      <c r="V37">
        <v>0</v>
      </c>
      <c r="W37">
        <v>14</v>
      </c>
      <c r="X37">
        <v>253</v>
      </c>
      <c r="Y37">
        <v>10</v>
      </c>
      <c r="Z37">
        <v>48.1</v>
      </c>
      <c r="AA37">
        <v>1</v>
      </c>
      <c r="AB37">
        <v>22</v>
      </c>
      <c r="AC37">
        <v>6</v>
      </c>
      <c r="AD37">
        <v>28</v>
      </c>
      <c r="AE37">
        <v>5.25</v>
      </c>
      <c r="AF37">
        <v>6</v>
      </c>
      <c r="AG37">
        <v>0</v>
      </c>
      <c r="AH37">
        <v>4</v>
      </c>
      <c r="AI37">
        <v>0</v>
      </c>
      <c r="AJ37">
        <v>0</v>
      </c>
      <c r="AK37">
        <v>10</v>
      </c>
      <c r="AL37" t="s">
        <v>84</v>
      </c>
      <c r="AM37" t="s">
        <v>151</v>
      </c>
      <c r="AN37" t="s">
        <v>113</v>
      </c>
      <c r="AO37" t="s">
        <v>89</v>
      </c>
      <c r="AP37" t="s">
        <v>102</v>
      </c>
      <c r="AQ37" t="s">
        <v>60</v>
      </c>
      <c r="AR37" t="s">
        <v>63</v>
      </c>
    </row>
    <row r="38" spans="1:44" x14ac:dyDescent="0.3">
      <c r="A38">
        <v>37</v>
      </c>
      <c r="B38" s="3">
        <v>45057</v>
      </c>
      <c r="C38" s="1">
        <v>0.58333333333333337</v>
      </c>
      <c r="D38" t="s">
        <v>140</v>
      </c>
      <c r="E38" t="s">
        <v>55</v>
      </c>
      <c r="F38" t="s">
        <v>85</v>
      </c>
      <c r="G38" t="s">
        <v>75</v>
      </c>
      <c r="H38" t="s">
        <v>85</v>
      </c>
      <c r="I38" t="s">
        <v>86</v>
      </c>
      <c r="J38">
        <v>326</v>
      </c>
      <c r="K38">
        <v>5</v>
      </c>
      <c r="L38">
        <v>50</v>
      </c>
      <c r="M38">
        <v>3</v>
      </c>
      <c r="N38">
        <v>35</v>
      </c>
      <c r="O38">
        <v>6</v>
      </c>
      <c r="P38">
        <v>41</v>
      </c>
      <c r="Q38">
        <v>6.52</v>
      </c>
      <c r="R38">
        <v>0</v>
      </c>
      <c r="S38">
        <v>0</v>
      </c>
      <c r="T38">
        <v>2</v>
      </c>
      <c r="U38">
        <v>0</v>
      </c>
      <c r="V38">
        <v>0</v>
      </c>
      <c r="W38">
        <v>2</v>
      </c>
      <c r="X38">
        <v>83</v>
      </c>
      <c r="Y38">
        <v>10</v>
      </c>
      <c r="Z38">
        <v>27.1</v>
      </c>
      <c r="AA38">
        <v>1</v>
      </c>
      <c r="AB38">
        <v>10</v>
      </c>
      <c r="AC38">
        <v>0</v>
      </c>
      <c r="AD38">
        <v>10</v>
      </c>
      <c r="AE38">
        <v>3.05</v>
      </c>
      <c r="AF38">
        <v>2</v>
      </c>
      <c r="AG38">
        <v>0</v>
      </c>
      <c r="AH38">
        <v>22</v>
      </c>
      <c r="AI38">
        <v>2</v>
      </c>
      <c r="AJ38">
        <v>0</v>
      </c>
      <c r="AK38">
        <v>26</v>
      </c>
      <c r="AL38" t="s">
        <v>85</v>
      </c>
      <c r="AM38" t="s">
        <v>152</v>
      </c>
      <c r="AN38" t="s">
        <v>120</v>
      </c>
      <c r="AO38" t="s">
        <v>95</v>
      </c>
      <c r="AP38" t="s">
        <v>50</v>
      </c>
      <c r="AQ38" t="s">
        <v>61</v>
      </c>
      <c r="AR38" t="s">
        <v>72</v>
      </c>
    </row>
    <row r="39" spans="1:44" x14ac:dyDescent="0.3">
      <c r="A39">
        <v>38</v>
      </c>
      <c r="B39" s="3">
        <v>45088</v>
      </c>
      <c r="C39" s="1">
        <v>0.58333333333333337</v>
      </c>
      <c r="D39" t="s">
        <v>73</v>
      </c>
      <c r="E39" t="s">
        <v>74</v>
      </c>
      <c r="F39" t="s">
        <v>76</v>
      </c>
      <c r="G39" t="s">
        <v>67</v>
      </c>
      <c r="H39" t="s">
        <v>67</v>
      </c>
      <c r="I39" t="s">
        <v>47</v>
      </c>
      <c r="J39">
        <v>279</v>
      </c>
      <c r="K39">
        <v>10</v>
      </c>
      <c r="L39">
        <v>49.3</v>
      </c>
      <c r="M39">
        <v>2</v>
      </c>
      <c r="N39">
        <v>27</v>
      </c>
      <c r="O39">
        <v>7</v>
      </c>
      <c r="P39">
        <v>34</v>
      </c>
      <c r="Q39">
        <v>5.63</v>
      </c>
      <c r="R39">
        <v>13</v>
      </c>
      <c r="S39">
        <v>0</v>
      </c>
      <c r="T39">
        <v>10</v>
      </c>
      <c r="U39">
        <v>0</v>
      </c>
      <c r="V39">
        <v>0</v>
      </c>
      <c r="W39">
        <v>23</v>
      </c>
      <c r="X39">
        <v>282</v>
      </c>
      <c r="Y39">
        <v>7</v>
      </c>
      <c r="Z39">
        <v>41.1</v>
      </c>
      <c r="AA39">
        <v>1</v>
      </c>
      <c r="AB39">
        <v>33</v>
      </c>
      <c r="AC39">
        <v>7</v>
      </c>
      <c r="AD39">
        <v>40</v>
      </c>
      <c r="AE39">
        <v>6.85</v>
      </c>
      <c r="AF39">
        <v>2</v>
      </c>
      <c r="AG39">
        <v>0</v>
      </c>
      <c r="AH39">
        <v>4</v>
      </c>
      <c r="AI39">
        <v>0</v>
      </c>
      <c r="AJ39">
        <v>0</v>
      </c>
      <c r="AK39">
        <v>6</v>
      </c>
      <c r="AL39" t="s">
        <v>67</v>
      </c>
      <c r="AM39" t="s">
        <v>153</v>
      </c>
      <c r="AN39" t="s">
        <v>154</v>
      </c>
      <c r="AO39" t="s">
        <v>79</v>
      </c>
      <c r="AP39" t="s">
        <v>102</v>
      </c>
      <c r="AQ39" t="s">
        <v>51</v>
      </c>
      <c r="AR39" t="s">
        <v>91</v>
      </c>
    </row>
    <row r="40" spans="1:44" x14ac:dyDescent="0.3">
      <c r="A40">
        <v>39</v>
      </c>
      <c r="B40" s="3">
        <v>45118</v>
      </c>
      <c r="C40" s="1">
        <v>0.58333333333333337</v>
      </c>
      <c r="D40" t="s">
        <v>126</v>
      </c>
      <c r="E40" t="s">
        <v>127</v>
      </c>
      <c r="F40" t="s">
        <v>84</v>
      </c>
      <c r="G40" t="s">
        <v>66</v>
      </c>
      <c r="H40" t="s">
        <v>66</v>
      </c>
      <c r="I40" t="s">
        <v>86</v>
      </c>
      <c r="J40">
        <v>293</v>
      </c>
      <c r="K40">
        <v>7</v>
      </c>
      <c r="L40">
        <v>46.5</v>
      </c>
      <c r="M40">
        <v>0</v>
      </c>
      <c r="N40">
        <v>30</v>
      </c>
      <c r="O40">
        <v>12</v>
      </c>
      <c r="P40">
        <v>42</v>
      </c>
      <c r="Q40">
        <v>6.25</v>
      </c>
      <c r="R40">
        <v>5</v>
      </c>
      <c r="S40">
        <v>0</v>
      </c>
      <c r="T40">
        <v>10</v>
      </c>
      <c r="U40">
        <v>1</v>
      </c>
      <c r="V40">
        <v>0</v>
      </c>
      <c r="W40">
        <v>16</v>
      </c>
      <c r="X40">
        <v>291</v>
      </c>
      <c r="Y40">
        <v>5</v>
      </c>
      <c r="Z40">
        <v>50</v>
      </c>
      <c r="AA40">
        <v>3</v>
      </c>
      <c r="AB40">
        <v>16</v>
      </c>
      <c r="AC40">
        <v>9</v>
      </c>
      <c r="AD40">
        <v>25</v>
      </c>
      <c r="AE40">
        <v>5.82</v>
      </c>
      <c r="AF40">
        <v>1</v>
      </c>
      <c r="AG40">
        <v>4</v>
      </c>
      <c r="AH40">
        <v>10</v>
      </c>
      <c r="AI40">
        <v>0</v>
      </c>
      <c r="AJ40">
        <v>0</v>
      </c>
      <c r="AK40">
        <v>15</v>
      </c>
      <c r="AL40" t="s">
        <v>84</v>
      </c>
      <c r="AM40" t="s">
        <v>153</v>
      </c>
      <c r="AN40" t="s">
        <v>134</v>
      </c>
      <c r="AO40" t="s">
        <v>81</v>
      </c>
      <c r="AP40" t="s">
        <v>99</v>
      </c>
      <c r="AQ40" t="s">
        <v>89</v>
      </c>
      <c r="AR40" t="s">
        <v>63</v>
      </c>
    </row>
    <row r="41" spans="1:44" x14ac:dyDescent="0.3">
      <c r="A41">
        <v>40</v>
      </c>
      <c r="B41" s="3">
        <v>45149</v>
      </c>
      <c r="C41" s="1">
        <v>0.58333333333333337</v>
      </c>
      <c r="D41" t="s">
        <v>118</v>
      </c>
      <c r="E41" t="s">
        <v>119</v>
      </c>
      <c r="F41" t="s">
        <v>45</v>
      </c>
      <c r="G41" t="s">
        <v>57</v>
      </c>
      <c r="H41" t="s">
        <v>45</v>
      </c>
      <c r="I41" t="s">
        <v>86</v>
      </c>
      <c r="J41">
        <v>179</v>
      </c>
      <c r="K41">
        <v>10</v>
      </c>
      <c r="L41">
        <v>37.200000000000003</v>
      </c>
      <c r="M41">
        <v>2</v>
      </c>
      <c r="N41">
        <v>26</v>
      </c>
      <c r="O41">
        <v>10</v>
      </c>
      <c r="P41">
        <v>36</v>
      </c>
      <c r="Q41">
        <v>4.79</v>
      </c>
      <c r="R41">
        <v>4</v>
      </c>
      <c r="S41">
        <v>0</v>
      </c>
      <c r="T41">
        <v>4</v>
      </c>
      <c r="U41">
        <v>0</v>
      </c>
      <c r="V41">
        <v>0</v>
      </c>
      <c r="W41">
        <v>8</v>
      </c>
      <c r="X41">
        <v>339</v>
      </c>
      <c r="Y41">
        <v>9</v>
      </c>
      <c r="Z41">
        <v>50</v>
      </c>
      <c r="AA41">
        <v>0</v>
      </c>
      <c r="AB41">
        <v>15</v>
      </c>
      <c r="AC41">
        <v>6</v>
      </c>
      <c r="AD41">
        <v>21</v>
      </c>
      <c r="AE41">
        <v>6.78</v>
      </c>
      <c r="AF41">
        <v>0</v>
      </c>
      <c r="AG41">
        <v>0</v>
      </c>
      <c r="AH41">
        <v>20</v>
      </c>
      <c r="AI41">
        <v>1</v>
      </c>
      <c r="AJ41">
        <v>0</v>
      </c>
      <c r="AK41">
        <v>21</v>
      </c>
      <c r="AL41" t="s">
        <v>45</v>
      </c>
      <c r="AM41" t="s">
        <v>155</v>
      </c>
      <c r="AN41" t="s">
        <v>156</v>
      </c>
      <c r="AO41" t="s">
        <v>71</v>
      </c>
      <c r="AP41" t="s">
        <v>62</v>
      </c>
      <c r="AQ41" t="s">
        <v>102</v>
      </c>
      <c r="AR41" t="s">
        <v>72</v>
      </c>
    </row>
    <row r="42" spans="1:44" x14ac:dyDescent="0.3">
      <c r="A42">
        <v>41</v>
      </c>
      <c r="B42" s="3">
        <v>45180</v>
      </c>
      <c r="C42" s="1">
        <v>0.58333333333333337</v>
      </c>
      <c r="D42" t="s">
        <v>121</v>
      </c>
      <c r="E42" t="s">
        <v>122</v>
      </c>
      <c r="F42" t="s">
        <v>46</v>
      </c>
      <c r="G42" t="s">
        <v>76</v>
      </c>
      <c r="H42" t="s">
        <v>46</v>
      </c>
      <c r="I42" t="s">
        <v>47</v>
      </c>
      <c r="J42">
        <v>171</v>
      </c>
      <c r="K42">
        <v>10</v>
      </c>
      <c r="L42">
        <v>46.4</v>
      </c>
      <c r="M42">
        <v>7</v>
      </c>
      <c r="N42">
        <v>23</v>
      </c>
      <c r="O42">
        <v>5</v>
      </c>
      <c r="P42">
        <v>28</v>
      </c>
      <c r="Q42">
        <v>3.66</v>
      </c>
      <c r="R42">
        <v>1</v>
      </c>
      <c r="S42">
        <v>0</v>
      </c>
      <c r="T42">
        <v>3</v>
      </c>
      <c r="U42">
        <v>0</v>
      </c>
      <c r="V42">
        <v>0</v>
      </c>
      <c r="W42">
        <v>4</v>
      </c>
      <c r="X42">
        <v>172</v>
      </c>
      <c r="Y42">
        <v>5</v>
      </c>
      <c r="Z42">
        <v>23.2</v>
      </c>
      <c r="AA42">
        <v>1</v>
      </c>
      <c r="AB42">
        <v>21</v>
      </c>
      <c r="AC42">
        <v>3</v>
      </c>
      <c r="AD42">
        <v>24</v>
      </c>
      <c r="AE42">
        <v>7.37</v>
      </c>
      <c r="AF42">
        <v>0</v>
      </c>
      <c r="AG42">
        <v>0</v>
      </c>
      <c r="AH42">
        <v>2</v>
      </c>
      <c r="AI42">
        <v>0</v>
      </c>
      <c r="AJ42">
        <v>0</v>
      </c>
      <c r="AK42">
        <v>2</v>
      </c>
      <c r="AL42" t="s">
        <v>46</v>
      </c>
      <c r="AM42" t="s">
        <v>112</v>
      </c>
      <c r="AN42" t="s">
        <v>157</v>
      </c>
      <c r="AO42" t="s">
        <v>60</v>
      </c>
      <c r="AP42" t="s">
        <v>70</v>
      </c>
      <c r="AQ42" t="s">
        <v>90</v>
      </c>
      <c r="AR42" t="s">
        <v>53</v>
      </c>
    </row>
    <row r="43" spans="1:44" x14ac:dyDescent="0.3">
      <c r="A43">
        <v>42</v>
      </c>
      <c r="B43" s="3">
        <v>45210</v>
      </c>
      <c r="C43" s="1">
        <v>0.4375</v>
      </c>
      <c r="D43" t="s">
        <v>43</v>
      </c>
      <c r="E43" t="s">
        <v>44</v>
      </c>
      <c r="F43" t="s">
        <v>66</v>
      </c>
      <c r="G43" t="s">
        <v>75</v>
      </c>
      <c r="H43" t="s">
        <v>66</v>
      </c>
      <c r="I43" t="s">
        <v>86</v>
      </c>
      <c r="J43">
        <v>244</v>
      </c>
      <c r="K43">
        <v>10</v>
      </c>
      <c r="L43">
        <v>50</v>
      </c>
      <c r="M43">
        <v>2</v>
      </c>
      <c r="N43">
        <v>20</v>
      </c>
      <c r="O43">
        <v>6</v>
      </c>
      <c r="P43">
        <v>26</v>
      </c>
      <c r="Q43">
        <v>4.88</v>
      </c>
      <c r="R43">
        <v>3</v>
      </c>
      <c r="S43">
        <v>0</v>
      </c>
      <c r="T43">
        <v>6</v>
      </c>
      <c r="U43">
        <v>0</v>
      </c>
      <c r="V43">
        <v>0</v>
      </c>
      <c r="W43">
        <v>9</v>
      </c>
      <c r="X43">
        <v>247</v>
      </c>
      <c r="Y43">
        <v>5</v>
      </c>
      <c r="Z43">
        <v>47.3</v>
      </c>
      <c r="AA43">
        <v>2</v>
      </c>
      <c r="AB43">
        <v>15</v>
      </c>
      <c r="AC43">
        <v>9</v>
      </c>
      <c r="AD43">
        <v>24</v>
      </c>
      <c r="AE43">
        <v>5.2</v>
      </c>
      <c r="AF43">
        <v>1</v>
      </c>
      <c r="AG43">
        <v>4</v>
      </c>
      <c r="AH43">
        <v>10</v>
      </c>
      <c r="AI43">
        <v>0</v>
      </c>
      <c r="AJ43">
        <v>0</v>
      </c>
      <c r="AK43">
        <v>15</v>
      </c>
      <c r="AL43" t="s">
        <v>75</v>
      </c>
      <c r="AM43" t="s">
        <v>112</v>
      </c>
      <c r="AN43" t="s">
        <v>147</v>
      </c>
      <c r="AO43" t="s">
        <v>51</v>
      </c>
      <c r="AP43" t="s">
        <v>61</v>
      </c>
      <c r="AQ43" t="s">
        <v>50</v>
      </c>
      <c r="AR43" t="s">
        <v>63</v>
      </c>
    </row>
    <row r="44" spans="1:44" x14ac:dyDescent="0.3">
      <c r="A44">
        <v>43</v>
      </c>
      <c r="B44" s="3">
        <v>45241</v>
      </c>
      <c r="C44" s="1">
        <v>0.58333333333333337</v>
      </c>
      <c r="D44" t="s">
        <v>118</v>
      </c>
      <c r="E44" t="s">
        <v>119</v>
      </c>
      <c r="F44" t="s">
        <v>84</v>
      </c>
      <c r="G44" t="s">
        <v>67</v>
      </c>
      <c r="H44" t="s">
        <v>84</v>
      </c>
      <c r="I44" t="s">
        <v>47</v>
      </c>
      <c r="J44">
        <v>306</v>
      </c>
      <c r="K44">
        <v>8</v>
      </c>
      <c r="L44">
        <v>50</v>
      </c>
      <c r="M44">
        <v>1</v>
      </c>
      <c r="N44">
        <v>29</v>
      </c>
      <c r="O44">
        <v>10</v>
      </c>
      <c r="P44">
        <v>39</v>
      </c>
      <c r="Q44">
        <v>6.12</v>
      </c>
      <c r="R44">
        <v>10</v>
      </c>
      <c r="S44">
        <v>0</v>
      </c>
      <c r="T44">
        <v>12</v>
      </c>
      <c r="U44">
        <v>2</v>
      </c>
      <c r="V44">
        <v>0</v>
      </c>
      <c r="W44">
        <v>24</v>
      </c>
      <c r="X44">
        <v>307</v>
      </c>
      <c r="Y44">
        <v>2</v>
      </c>
      <c r="Z44">
        <v>44.4</v>
      </c>
      <c r="AA44">
        <v>1</v>
      </c>
      <c r="AB44">
        <v>27</v>
      </c>
      <c r="AC44">
        <v>6</v>
      </c>
      <c r="AD44">
        <v>33</v>
      </c>
      <c r="AE44">
        <v>6.87</v>
      </c>
      <c r="AF44">
        <v>0</v>
      </c>
      <c r="AG44">
        <v>0</v>
      </c>
      <c r="AH44">
        <v>4</v>
      </c>
      <c r="AI44">
        <v>0</v>
      </c>
      <c r="AJ44">
        <v>0</v>
      </c>
      <c r="AK44">
        <v>4</v>
      </c>
      <c r="AL44" t="s">
        <v>84</v>
      </c>
      <c r="AM44" t="s">
        <v>100</v>
      </c>
      <c r="AN44" t="s">
        <v>158</v>
      </c>
      <c r="AO44" t="s">
        <v>71</v>
      </c>
      <c r="AP44" t="s">
        <v>102</v>
      </c>
      <c r="AQ44" t="s">
        <v>79</v>
      </c>
      <c r="AR44" t="s">
        <v>72</v>
      </c>
    </row>
    <row r="45" spans="1:44" x14ac:dyDescent="0.3">
      <c r="A45">
        <v>44</v>
      </c>
      <c r="B45" s="3">
        <v>45241</v>
      </c>
      <c r="C45" s="1">
        <v>0.58333333333333337</v>
      </c>
      <c r="D45" t="s">
        <v>140</v>
      </c>
      <c r="E45" t="s">
        <v>55</v>
      </c>
      <c r="F45" t="s">
        <v>45</v>
      </c>
      <c r="G45" t="s">
        <v>56</v>
      </c>
      <c r="H45" t="s">
        <v>45</v>
      </c>
      <c r="I45" t="s">
        <v>86</v>
      </c>
      <c r="J45">
        <v>244</v>
      </c>
      <c r="K45">
        <v>10</v>
      </c>
      <c r="L45">
        <v>50</v>
      </c>
      <c r="M45">
        <v>1</v>
      </c>
      <c r="N45">
        <v>27</v>
      </c>
      <c r="O45">
        <v>6</v>
      </c>
      <c r="P45">
        <v>33</v>
      </c>
      <c r="Q45">
        <v>6.74</v>
      </c>
      <c r="R45">
        <v>2</v>
      </c>
      <c r="S45">
        <v>5</v>
      </c>
      <c r="T45">
        <v>12</v>
      </c>
      <c r="U45">
        <v>0</v>
      </c>
      <c r="V45">
        <v>0</v>
      </c>
      <c r="W45">
        <v>19</v>
      </c>
      <c r="X45">
        <v>337</v>
      </c>
      <c r="Y45">
        <v>9</v>
      </c>
      <c r="Z45">
        <v>43.3</v>
      </c>
      <c r="AA45">
        <v>0</v>
      </c>
      <c r="AB45">
        <v>35</v>
      </c>
      <c r="AC45">
        <v>8</v>
      </c>
      <c r="AD45">
        <v>43</v>
      </c>
      <c r="AE45">
        <v>5.6</v>
      </c>
      <c r="AF45">
        <v>1</v>
      </c>
      <c r="AG45">
        <v>0</v>
      </c>
      <c r="AH45">
        <v>5</v>
      </c>
      <c r="AI45">
        <v>0</v>
      </c>
      <c r="AJ45">
        <v>0</v>
      </c>
      <c r="AK45">
        <v>6</v>
      </c>
      <c r="AL45" t="s">
        <v>45</v>
      </c>
      <c r="AM45" t="s">
        <v>159</v>
      </c>
      <c r="AN45" t="s">
        <v>160</v>
      </c>
      <c r="AO45" t="s">
        <v>52</v>
      </c>
      <c r="AP45" t="s">
        <v>62</v>
      </c>
      <c r="AQ45" t="s">
        <v>80</v>
      </c>
      <c r="AR45" t="s">
        <v>53</v>
      </c>
    </row>
    <row r="46" spans="1:44" x14ac:dyDescent="0.3">
      <c r="A46">
        <v>45</v>
      </c>
      <c r="B46" s="3">
        <v>45271</v>
      </c>
      <c r="C46" s="1">
        <v>0.58333333333333337</v>
      </c>
      <c r="D46" t="s">
        <v>121</v>
      </c>
      <c r="E46" t="s">
        <v>122</v>
      </c>
      <c r="F46" t="s">
        <v>85</v>
      </c>
      <c r="G46" t="s">
        <v>57</v>
      </c>
      <c r="H46" t="s">
        <v>85</v>
      </c>
      <c r="I46" t="s">
        <v>86</v>
      </c>
      <c r="J46">
        <v>410</v>
      </c>
      <c r="K46">
        <v>4</v>
      </c>
      <c r="L46">
        <v>50</v>
      </c>
      <c r="M46">
        <v>3</v>
      </c>
      <c r="N46">
        <v>37</v>
      </c>
      <c r="O46">
        <v>16</v>
      </c>
      <c r="P46">
        <v>53</v>
      </c>
      <c r="Q46">
        <v>8.1999999999999993</v>
      </c>
      <c r="R46">
        <v>9</v>
      </c>
      <c r="S46">
        <v>0</v>
      </c>
      <c r="T46">
        <v>4</v>
      </c>
      <c r="U46">
        <v>0</v>
      </c>
      <c r="V46">
        <v>0</v>
      </c>
      <c r="W46">
        <v>13</v>
      </c>
      <c r="X46">
        <v>250</v>
      </c>
      <c r="Y46">
        <v>10</v>
      </c>
      <c r="Z46">
        <v>47.5</v>
      </c>
      <c r="AA46">
        <v>0</v>
      </c>
      <c r="AB46">
        <v>19</v>
      </c>
      <c r="AC46">
        <v>9</v>
      </c>
      <c r="AD46">
        <v>28</v>
      </c>
      <c r="AE46">
        <v>5.22</v>
      </c>
      <c r="AF46">
        <v>1</v>
      </c>
      <c r="AG46">
        <v>0</v>
      </c>
      <c r="AH46">
        <v>13</v>
      </c>
      <c r="AI46">
        <v>1</v>
      </c>
      <c r="AJ46">
        <v>0</v>
      </c>
      <c r="AK46">
        <v>15</v>
      </c>
      <c r="AL46" t="s">
        <v>85</v>
      </c>
      <c r="AM46" t="s">
        <v>155</v>
      </c>
      <c r="AN46" t="s">
        <v>161</v>
      </c>
      <c r="AO46" t="s">
        <v>81</v>
      </c>
      <c r="AP46" t="s">
        <v>89</v>
      </c>
      <c r="AQ46" t="s">
        <v>70</v>
      </c>
      <c r="AR46" t="s">
        <v>91</v>
      </c>
    </row>
    <row r="47" spans="1:44" x14ac:dyDescent="0.3">
      <c r="A47">
        <v>46</v>
      </c>
      <c r="B47" s="3" t="s">
        <v>182</v>
      </c>
      <c r="C47" s="1">
        <v>0.58333333333333337</v>
      </c>
      <c r="D47" t="s">
        <v>126</v>
      </c>
      <c r="E47" t="s">
        <v>127</v>
      </c>
      <c r="F47" t="s">
        <v>85</v>
      </c>
      <c r="G47" t="s">
        <v>46</v>
      </c>
      <c r="H47" t="s">
        <v>85</v>
      </c>
      <c r="I47" t="s">
        <v>86</v>
      </c>
      <c r="J47">
        <v>397</v>
      </c>
      <c r="K47">
        <v>4</v>
      </c>
      <c r="L47">
        <v>50</v>
      </c>
      <c r="M47">
        <v>1</v>
      </c>
      <c r="N47">
        <v>30</v>
      </c>
      <c r="O47">
        <v>19</v>
      </c>
      <c r="P47">
        <v>49</v>
      </c>
      <c r="Q47">
        <v>7.94</v>
      </c>
      <c r="R47">
        <v>5</v>
      </c>
      <c r="S47">
        <v>4</v>
      </c>
      <c r="T47">
        <v>19</v>
      </c>
      <c r="U47">
        <v>1</v>
      </c>
      <c r="V47">
        <v>0</v>
      </c>
      <c r="W47">
        <v>29</v>
      </c>
      <c r="X47">
        <v>327</v>
      </c>
      <c r="Y47">
        <v>10</v>
      </c>
      <c r="Z47">
        <v>48.5</v>
      </c>
      <c r="AA47">
        <v>1</v>
      </c>
      <c r="AB47">
        <v>29</v>
      </c>
      <c r="AC47">
        <v>11</v>
      </c>
      <c r="AD47">
        <v>40</v>
      </c>
      <c r="AE47">
        <v>6.69</v>
      </c>
      <c r="AF47">
        <v>1</v>
      </c>
      <c r="AG47">
        <v>1</v>
      </c>
      <c r="AH47">
        <v>6</v>
      </c>
      <c r="AI47">
        <v>0</v>
      </c>
      <c r="AJ47">
        <v>0</v>
      </c>
      <c r="AK47">
        <v>8</v>
      </c>
      <c r="AL47" t="s">
        <v>85</v>
      </c>
      <c r="AM47" t="s">
        <v>162</v>
      </c>
      <c r="AN47" t="s">
        <v>131</v>
      </c>
      <c r="AO47" t="s">
        <v>79</v>
      </c>
      <c r="AP47" t="s">
        <v>62</v>
      </c>
      <c r="AQ47" t="s">
        <v>70</v>
      </c>
      <c r="AR47" t="s">
        <v>72</v>
      </c>
    </row>
    <row r="48" spans="1:44" x14ac:dyDescent="0.3">
      <c r="A48">
        <v>47</v>
      </c>
      <c r="B48" s="3" t="s">
        <v>183</v>
      </c>
      <c r="C48" s="1">
        <v>0.58333333333333337</v>
      </c>
      <c r="D48" t="s">
        <v>140</v>
      </c>
      <c r="E48" t="s">
        <v>55</v>
      </c>
      <c r="F48" t="s">
        <v>84</v>
      </c>
      <c r="G48" t="s">
        <v>75</v>
      </c>
      <c r="H48" t="s">
        <v>75</v>
      </c>
      <c r="I48" t="s">
        <v>86</v>
      </c>
      <c r="J48">
        <v>215</v>
      </c>
      <c r="K48">
        <v>7</v>
      </c>
      <c r="L48">
        <v>47.2</v>
      </c>
      <c r="M48">
        <v>4</v>
      </c>
      <c r="N48">
        <v>21</v>
      </c>
      <c r="O48">
        <v>6</v>
      </c>
      <c r="P48">
        <v>27</v>
      </c>
      <c r="Q48">
        <v>4.54</v>
      </c>
      <c r="R48">
        <v>4</v>
      </c>
      <c r="S48">
        <v>0</v>
      </c>
      <c r="T48">
        <v>7</v>
      </c>
      <c r="U48">
        <v>0</v>
      </c>
      <c r="V48">
        <v>0</v>
      </c>
      <c r="W48">
        <v>11</v>
      </c>
      <c r="X48">
        <v>212</v>
      </c>
      <c r="Y48">
        <v>10</v>
      </c>
      <c r="Z48">
        <v>49.4</v>
      </c>
      <c r="AA48">
        <v>1</v>
      </c>
      <c r="AB48">
        <v>16</v>
      </c>
      <c r="AC48">
        <v>8</v>
      </c>
      <c r="AD48">
        <v>24</v>
      </c>
      <c r="AE48">
        <v>4.26</v>
      </c>
      <c r="AF48">
        <v>3</v>
      </c>
      <c r="AG48">
        <v>0</v>
      </c>
      <c r="AH48">
        <v>12</v>
      </c>
      <c r="AI48">
        <v>2</v>
      </c>
      <c r="AJ48">
        <v>0</v>
      </c>
      <c r="AK48">
        <v>17</v>
      </c>
      <c r="AL48" t="s">
        <v>84</v>
      </c>
      <c r="AM48" t="s">
        <v>153</v>
      </c>
      <c r="AN48" t="s">
        <v>139</v>
      </c>
      <c r="AO48" t="s">
        <v>51</v>
      </c>
      <c r="AP48" t="s">
        <v>90</v>
      </c>
      <c r="AQ48" t="s">
        <v>89</v>
      </c>
      <c r="AR48" t="s">
        <v>53</v>
      </c>
    </row>
    <row r="49" spans="1:44" x14ac:dyDescent="0.3">
      <c r="A49">
        <v>48</v>
      </c>
      <c r="B49" s="3" t="s">
        <v>184</v>
      </c>
      <c r="C49" s="1">
        <v>0.58333333333333337</v>
      </c>
      <c r="D49" t="s">
        <v>43</v>
      </c>
      <c r="E49" t="s">
        <v>44</v>
      </c>
      <c r="F49" t="s">
        <v>85</v>
      </c>
      <c r="G49" t="s">
        <v>84</v>
      </c>
      <c r="H49" t="s">
        <v>84</v>
      </c>
      <c r="I49" t="s">
        <v>47</v>
      </c>
      <c r="J49">
        <v>240</v>
      </c>
      <c r="K49">
        <v>10</v>
      </c>
      <c r="L49">
        <v>50</v>
      </c>
      <c r="M49">
        <v>3</v>
      </c>
      <c r="N49">
        <v>13</v>
      </c>
      <c r="O49">
        <v>3</v>
      </c>
      <c r="P49">
        <v>16</v>
      </c>
      <c r="Q49">
        <v>4.8</v>
      </c>
      <c r="R49">
        <v>2</v>
      </c>
      <c r="S49">
        <v>5</v>
      </c>
      <c r="T49">
        <v>11</v>
      </c>
      <c r="U49">
        <v>0</v>
      </c>
      <c r="V49">
        <v>0</v>
      </c>
      <c r="W49">
        <v>18</v>
      </c>
      <c r="X49">
        <v>241</v>
      </c>
      <c r="Y49">
        <v>4</v>
      </c>
      <c r="Z49">
        <v>43</v>
      </c>
      <c r="AA49">
        <v>0</v>
      </c>
      <c r="AB49">
        <v>22</v>
      </c>
      <c r="AC49">
        <v>5</v>
      </c>
      <c r="AD49">
        <v>27</v>
      </c>
      <c r="AE49">
        <v>5.6</v>
      </c>
      <c r="AF49">
        <v>3</v>
      </c>
      <c r="AG49">
        <v>0</v>
      </c>
      <c r="AH49">
        <v>9</v>
      </c>
      <c r="AI49">
        <v>0</v>
      </c>
      <c r="AJ49">
        <v>0</v>
      </c>
      <c r="AK49">
        <v>12</v>
      </c>
      <c r="AL49" t="s">
        <v>84</v>
      </c>
      <c r="AM49" t="s">
        <v>68</v>
      </c>
      <c r="AN49" t="s">
        <v>139</v>
      </c>
      <c r="AO49" t="s">
        <v>79</v>
      </c>
      <c r="AP49" t="s">
        <v>90</v>
      </c>
      <c r="AQ49" t="s">
        <v>70</v>
      </c>
      <c r="AR49" t="s">
        <v>72</v>
      </c>
    </row>
  </sheetData>
  <phoneticPr fontId="30"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11974-1E3F-4BD1-B17E-D5BA67C9F5D0}">
  <sheetPr>
    <tabColor rgb="FFFF3300"/>
  </sheetPr>
  <dimension ref="A1:BC97"/>
  <sheetViews>
    <sheetView topLeftCell="M1" zoomScale="77" zoomScaleNormal="79" workbookViewId="0">
      <pane ySplit="1" topLeftCell="A9" activePane="bottomLeft" state="frozen"/>
      <selection pane="bottomLeft" activeCell="BA84" sqref="BA84"/>
    </sheetView>
  </sheetViews>
  <sheetFormatPr defaultRowHeight="14.4" x14ac:dyDescent="0.3"/>
  <cols>
    <col min="1" max="1" width="10.109375" customWidth="1"/>
    <col min="2" max="2" width="16.6640625" bestFit="1" customWidth="1"/>
    <col min="3" max="3" width="11.77734375" bestFit="1" customWidth="1"/>
    <col min="4" max="4" width="34.5546875" bestFit="1" customWidth="1"/>
    <col min="5" max="5" width="12.88671875" bestFit="1" customWidth="1"/>
    <col min="6" max="6" width="12.77734375" bestFit="1" customWidth="1"/>
    <col min="7" max="7" width="17.33203125" bestFit="1" customWidth="1"/>
    <col min="8" max="8" width="14.77734375" bestFit="1" customWidth="1"/>
    <col min="9" max="9" width="14.44140625" bestFit="1" customWidth="1"/>
    <col min="10" max="11" width="9.44140625" bestFit="1" customWidth="1"/>
    <col min="12" max="12" width="12.88671875" customWidth="1"/>
    <col min="13" max="13" width="13.33203125" customWidth="1"/>
    <col min="14" max="14" width="10.44140625" customWidth="1"/>
    <col min="15" max="15" width="10.77734375" customWidth="1"/>
    <col min="16" max="16" width="14.6640625" customWidth="1"/>
    <col min="17" max="17" width="17.33203125" bestFit="1" customWidth="1"/>
    <col min="19" max="19" width="20.44140625" bestFit="1" customWidth="1"/>
    <col min="20" max="20" width="17.88671875" bestFit="1" customWidth="1"/>
    <col min="21" max="21" width="15.6640625" customWidth="1"/>
    <col min="22" max="22" width="16.109375" bestFit="1" customWidth="1"/>
    <col min="23" max="23" width="25.6640625" bestFit="1" customWidth="1"/>
    <col min="24" max="25" width="25.6640625" customWidth="1"/>
    <col min="27" max="27" width="18.44140625" bestFit="1" customWidth="1"/>
    <col min="28" max="28" width="13.44140625" bestFit="1" customWidth="1"/>
    <col min="29" max="29" width="12.88671875" bestFit="1" customWidth="1"/>
    <col min="30" max="30" width="13.6640625" bestFit="1" customWidth="1"/>
    <col min="31" max="31" width="13.44140625" bestFit="1" customWidth="1"/>
    <col min="32" max="32" width="39.6640625" bestFit="1" customWidth="1"/>
    <col min="34" max="34" width="17.109375" bestFit="1" customWidth="1"/>
    <col min="35" max="35" width="9" bestFit="1" customWidth="1"/>
    <col min="36" max="36" width="19.5546875" bestFit="1" customWidth="1"/>
    <col min="37" max="37" width="18" bestFit="1" customWidth="1"/>
    <col min="38" max="41" width="9" bestFit="1" customWidth="1"/>
    <col min="42" max="42" width="21.88671875" bestFit="1" customWidth="1"/>
    <col min="43" max="43" width="9" bestFit="1" customWidth="1"/>
    <col min="44" max="44" width="13.88671875" bestFit="1" customWidth="1"/>
  </cols>
  <sheetData>
    <row r="1" spans="1:55" s="4" customFormat="1" ht="38.4" customHeight="1" x14ac:dyDescent="0.3">
      <c r="A1" s="4" t="s">
        <v>0</v>
      </c>
      <c r="B1" s="5" t="s">
        <v>163</v>
      </c>
      <c r="C1" s="4" t="s">
        <v>2</v>
      </c>
      <c r="D1" s="4" t="s">
        <v>3</v>
      </c>
      <c r="E1" s="4" t="s">
        <v>4</v>
      </c>
      <c r="F1" s="4" t="s">
        <v>5</v>
      </c>
      <c r="G1" s="4" t="s">
        <v>6</v>
      </c>
      <c r="H1" s="4" t="s">
        <v>186</v>
      </c>
      <c r="I1" s="4" t="s">
        <v>7</v>
      </c>
      <c r="J1" s="4" t="s">
        <v>8</v>
      </c>
      <c r="K1" s="4" t="s">
        <v>22</v>
      </c>
      <c r="L1" s="4" t="s">
        <v>191</v>
      </c>
      <c r="M1" s="4" t="s">
        <v>190</v>
      </c>
      <c r="N1" s="4" t="s">
        <v>187</v>
      </c>
      <c r="O1" s="4" t="s">
        <v>188</v>
      </c>
      <c r="P1" s="4" t="s">
        <v>189</v>
      </c>
      <c r="Q1" s="4" t="s">
        <v>192</v>
      </c>
      <c r="R1" s="4" t="s">
        <v>193</v>
      </c>
      <c r="S1" s="4" t="s">
        <v>194</v>
      </c>
      <c r="T1" s="4" t="s">
        <v>213</v>
      </c>
      <c r="U1" s="4" t="s">
        <v>196</v>
      </c>
      <c r="V1" s="4" t="s">
        <v>197</v>
      </c>
      <c r="W1" s="4" t="s">
        <v>38</v>
      </c>
      <c r="X1" s="4" t="s">
        <v>294</v>
      </c>
      <c r="Y1" s="4" t="s">
        <v>293</v>
      </c>
      <c r="AA1" s="4" t="s">
        <v>0</v>
      </c>
      <c r="AB1" s="6" t="s">
        <v>163</v>
      </c>
      <c r="AC1" s="4" t="s">
        <v>198</v>
      </c>
      <c r="AD1" s="4" t="s">
        <v>199</v>
      </c>
      <c r="AE1" s="4" t="s">
        <v>2</v>
      </c>
      <c r="AF1" s="4" t="s">
        <v>3</v>
      </c>
      <c r="AG1" s="4" t="s">
        <v>194</v>
      </c>
      <c r="AH1" s="4" t="s">
        <v>213</v>
      </c>
      <c r="AI1" s="4" t="s">
        <v>206</v>
      </c>
      <c r="AJ1" s="4" t="s">
        <v>257</v>
      </c>
      <c r="AK1" s="4" t="s">
        <v>212</v>
      </c>
      <c r="AL1" s="4" t="s">
        <v>207</v>
      </c>
      <c r="AM1" s="4" t="s">
        <v>208</v>
      </c>
      <c r="AN1" s="4" t="s">
        <v>209</v>
      </c>
      <c r="AO1" s="4" t="s">
        <v>210</v>
      </c>
      <c r="AP1" s="4" t="s">
        <v>218</v>
      </c>
      <c r="AQ1" s="4" t="s">
        <v>211</v>
      </c>
      <c r="AR1" s="4" t="s">
        <v>186</v>
      </c>
      <c r="AS1" s="4" t="s">
        <v>214</v>
      </c>
      <c r="AT1" s="4" t="s">
        <v>215</v>
      </c>
      <c r="AU1" s="4" t="s">
        <v>216</v>
      </c>
      <c r="AV1" s="4" t="s">
        <v>217</v>
      </c>
      <c r="AW1" s="4" t="s">
        <v>244</v>
      </c>
      <c r="AX1" s="4" t="s">
        <v>219</v>
      </c>
      <c r="AY1" s="4" t="s">
        <v>220</v>
      </c>
      <c r="AZ1" s="4" t="s">
        <v>221</v>
      </c>
      <c r="BA1" s="4" t="s">
        <v>222</v>
      </c>
      <c r="BB1" s="4" t="s">
        <v>223</v>
      </c>
      <c r="BC1" s="4" t="s">
        <v>7</v>
      </c>
    </row>
    <row r="2" spans="1:55" x14ac:dyDescent="0.3">
      <c r="A2" s="12">
        <v>1</v>
      </c>
      <c r="B2" s="23">
        <f>IF(ISNUMBER(Table1[[#This Row],[Match Date]]),DATE(YEAR(Table1[[#This Row],[Match Date]]),DAY(Table1[[#This Row],[Match Date]]),MONTH(Table1[[#This Row],[Match Date]])),DATE(VALUE(RIGHT(TRIM(Table1[[#This Row],[Match Date]]),4)),VALUE(MID(TRIM(Table1[[#This Row],[Match Date]]),4,2)),VALUE(LEFT(TRIM(Table1[[#This Row],[Match Date]]),2))))</f>
        <v>45204</v>
      </c>
      <c r="C2" s="12" t="str">
        <f>TRIM(Table1[[#This Row],[City]])</f>
        <v>Ahmedabad</v>
      </c>
      <c r="D2" s="12" t="str">
        <f>IF(AND(TRIM(Table1[[#This Row],[Stadium]])="Eden Gardens",TRIM(Table1[[#This Row],[City]])&lt;&gt;"Kolkata"),"Rajiv Gandhi International Stadium",TRIM(Table1[[#This Row],[Stadium]]))</f>
        <v>Narendra Modi Stadium</v>
      </c>
      <c r="E2" s="12" t="str">
        <f>SUBSTITUTE(Table1[[#This Row],[Team A]],"NewZealand","New Zealand")</f>
        <v>England</v>
      </c>
      <c r="F2" s="12" t="str">
        <f>SUBSTITUTE(Table1[[#This Row],[Team B]],"NewZealand","New Zealand")</f>
        <v>New Zealand</v>
      </c>
      <c r="G2" s="12" t="str">
        <f>SUBSTITUTE(Table1[[#This Row],[Toss Winner]],"NewZealand","New Zealand")</f>
        <v>New Zealand</v>
      </c>
      <c r="H2" s="12" t="str">
        <f>SUBSTITUTE(Table1[[#This Row],[Wining Team]],"NewZealand","New Zealand")</f>
        <v>New Zealand</v>
      </c>
      <c r="I2" s="12" t="str">
        <f>TRIM(Table1[[#This Row],[Toss Decision]])</f>
        <v>Field</v>
      </c>
      <c r="J2" s="12">
        <f>Table1[[#This Row],[Score A]]</f>
        <v>282</v>
      </c>
      <c r="K2" s="12">
        <f>Table1[[#This Row],[Score B]]</f>
        <v>283</v>
      </c>
      <c r="L2" s="12">
        <f>SUM(Calculations_1[[#This Row],[Score A]],Calculations_1[[#This Row],[Score B]])</f>
        <v>565</v>
      </c>
      <c r="M2" s="12">
        <f>SUM(Table1[[#This Row],[Wickets A]],Table1[[#This Row],[Wickets B]])</f>
        <v>10</v>
      </c>
      <c r="N2" s="12">
        <f>SUM(Table1[[#This Row],[4s A]],Table1[[#This Row],[4s B]])</f>
        <v>51</v>
      </c>
      <c r="O2" s="12">
        <f>SUM(Table1[[#This Row],[6s A]],Table1[[#This Row],[6s B]])</f>
        <v>14</v>
      </c>
      <c r="P2" s="12">
        <f>SUM(Calculations_1[[#This Row],[Total 4s (match)]],Calculations_1[[#This Row],[Total 6s (match)]])</f>
        <v>65</v>
      </c>
      <c r="Q2" s="12" t="str">
        <f>TRIM(Table1[[#This Row],[Margin]])</f>
        <v>9 Wickets</v>
      </c>
      <c r="R2" s="12">
        <f>VALUE(LEFT(Calculations_1[[#This Row],[Margin (text)]],FIND(" ",Calculations_1[[#This Row],[Margin (text)]])-1))</f>
        <v>9</v>
      </c>
      <c r="S2" s="12" t="str">
        <f>IF(ISNUMBER(SEARCH("DLS",Calculations_1[[#This Row],[Margin (text)]])),"Runs (DLS) Method",IF(ISNUMBER(SEARCH("run",Calculations_1[[#This Row],[Margin (text)]])),"Runs","Wickets"))</f>
        <v>Wickets</v>
      </c>
      <c r="T2" s="12" t="str">
        <f>IF(Calculations_1[[#This Row],[Winning Margin Type]]="Wickets","Chasing Won",IF(Calculations_1[[#This Row],[Winning Margin Type]]="Runs","Batting First Won","DLS Result"))</f>
        <v>Chasing Won</v>
      </c>
      <c r="U2" s="12">
        <f>IF(Calculations_1[[#This Row],[Toss Winner]]=Calculations_1[[#This Row],[Winning Team]],1,0)</f>
        <v>1</v>
      </c>
      <c r="V2" s="12" t="str">
        <f>IF(Calculations_1[[#This Row],[Toss Winner Won Match (1/0)]]=1,"Toss Winner Won","Toss Winner Lost")</f>
        <v>Toss Winner Won</v>
      </c>
      <c r="W2" s="12" t="str">
        <f>TRIM(Table1[[#This Row],[Man of the Match]])</f>
        <v>Rachin Ravindra</v>
      </c>
      <c r="X2" s="12" t="str" cm="1">
        <f t="array" ref="X2">IF(Calculations_1[[#This Row],[Winning Margin Type]]="Runs",_xlfn.IFS(Calculations_1[[#This Row],[Margin Value]]&lt;=50,"1-50",Calculations_1[[#This Row],[Margin Value]]&lt;=100,"51-100",Calculations_1[[#This Row],[Margin Value]]&lt;=150,"101-150",Calculations_1[[#This Row],[Margin Value]]&lt;=200,"151-200",TRUE,"201+"),"")</f>
        <v/>
      </c>
      <c r="Y2" s="12" t="str" cm="1">
        <f t="array" ref="Y2">IF(Calculations_1[[#This Row],[Winning Margin Type]]="Wickets",_xlfn.IFS(Calculations_1[[#This Row],[Margin Value]]&lt;=3,"1-3",Calculations_1[[#This Row],[Margin Value]]&lt;=6,"4-6",Calculations_1[[#This Row],[Margin Value]]&lt;=10,"7-10"),"")</f>
        <v>7-10</v>
      </c>
      <c r="AA2" s="12">
        <v>1</v>
      </c>
      <c r="AB2" s="22">
        <v>45204</v>
      </c>
      <c r="AC2" s="12" t="s">
        <v>45</v>
      </c>
      <c r="AD2" s="12" t="s">
        <v>200</v>
      </c>
      <c r="AE2" s="12" t="s">
        <v>43</v>
      </c>
      <c r="AF2" s="12" t="s">
        <v>44</v>
      </c>
      <c r="AG2" s="12" t="s">
        <v>201</v>
      </c>
      <c r="AH2" s="12" t="s">
        <v>195</v>
      </c>
      <c r="AI2" s="12">
        <v>282</v>
      </c>
      <c r="AJ2" s="32" cm="1">
        <f t="array" ref="AJ2">_xlfn.XLOOKUP(
1,
(Table354[Match ID]=Table354[[#This Row],[Match ID]])*
(Table354[Team]=Table354[[#This Row],[Opponent]]),
Table354[Wickets Lost (batting)]
)</f>
        <v>1</v>
      </c>
      <c r="AK2" s="12">
        <v>9</v>
      </c>
      <c r="AL2" s="12">
        <v>50</v>
      </c>
      <c r="AM2" s="12">
        <v>2</v>
      </c>
      <c r="AN2" s="12">
        <v>21</v>
      </c>
      <c r="AO2" s="12">
        <v>6</v>
      </c>
      <c r="AP2" s="12">
        <v>27</v>
      </c>
      <c r="AQ2" s="12">
        <v>5.64</v>
      </c>
      <c r="AR2" s="12" t="str">
        <f>_xlfn.XLOOKUP(Table354[[#This Row],[Match ID]],Calculations_1[Match ID],Calculations_1[Winning Team])</f>
        <v>New Zealand</v>
      </c>
      <c r="AS2" s="12">
        <v>4</v>
      </c>
      <c r="AT2" s="12">
        <v>3</v>
      </c>
      <c r="AU2" s="12">
        <v>0</v>
      </c>
      <c r="AV2" s="12">
        <v>8</v>
      </c>
      <c r="AW2" s="12">
        <f>1</f>
        <v>1</v>
      </c>
      <c r="AX2" s="12">
        <f>IF(Table354[[#This Row],[Team]]=_xlfn.XLOOKUP(Table354[[#This Row],[Match ID]],Calculations_1[Match ID],Calculations_1[Winning Team]),1,0)</f>
        <v>0</v>
      </c>
      <c r="AY2" s="12">
        <f>IF(NOT(Table354[[#This Row],[Win(1/0)]]),1,0)</f>
        <v>1</v>
      </c>
      <c r="AZ2" s="12" t="str">
        <f>IF(Table354[[#This Row],[Win(1/0)]]=1,"Win","Loss")</f>
        <v>Loss</v>
      </c>
      <c r="BA2" s="12">
        <f>IF(Table354[[#This Row],[Team]]=_xlfn.XLOOKUP(Table354[[#This Row],[Match ID]],Calculations_1[Match ID],Calculations_1[Toss Winner]),1,0)</f>
        <v>0</v>
      </c>
      <c r="BB2" s="12">
        <f>Table354[[#This Row],[Win(1/0)]]*Table354[[#This Row],[Toss Won (1/0)]]</f>
        <v>0</v>
      </c>
      <c r="BC2" s="12" t="str" cm="1">
        <f t="array" ref="BC2">_xlfn.XLOOKUP(Table354[[#This Row],[Match ID]],Calculations_1[Match ID],Calculations_1[Toss Decision],NA,0)</f>
        <v>Field</v>
      </c>
    </row>
    <row r="3" spans="1:55" x14ac:dyDescent="0.3">
      <c r="A3" s="12">
        <v>2</v>
      </c>
      <c r="B3" s="23">
        <f>IF(ISNUMBER(Table1[[#This Row],[Match Date]]),DATE(YEAR(Table1[[#This Row],[Match Date]]),DAY(Table1[[#This Row],[Match Date]]),MONTH(Table1[[#This Row],[Match Date]])),DATE(VALUE(RIGHT(TRIM(Table1[[#This Row],[Match Date]]),4)),VALUE(MID(TRIM(Table1[[#This Row],[Match Date]]),4,2)),VALUE(LEFT(TRIM(Table1[[#This Row],[Match Date]]),2))))</f>
        <v>45205</v>
      </c>
      <c r="C3" s="12" t="str">
        <f>TRIM(Table1[[#This Row],[City]])</f>
        <v>Hyderabad</v>
      </c>
      <c r="D3" s="12" t="str">
        <f>IF(AND(TRIM(Table1[[#This Row],[Stadium]])="Eden Gardens",TRIM(Table1[[#This Row],[City]])&lt;&gt;"Kolkata"),"Rajiv Gandhi International Stadium",TRIM(Table1[[#This Row],[Stadium]]))</f>
        <v>Rajiv Gandhi International Stadium</v>
      </c>
      <c r="E3" s="12" t="str">
        <f>SUBSTITUTE(Table1[[#This Row],[Team A]],"NewZealand","New Zealand")</f>
        <v>Pakistan</v>
      </c>
      <c r="F3" s="12" t="str">
        <f>SUBSTITUTE(Table1[[#This Row],[Team B]],"NewZealand","New Zealand")</f>
        <v>Netherlands</v>
      </c>
      <c r="G3" s="12" t="str">
        <f>SUBSTITUTE(Table1[[#This Row],[Toss Winner]],"NewZealand","New Zealand")</f>
        <v>Netherlands</v>
      </c>
      <c r="H3" s="12" t="str">
        <f>SUBSTITUTE(Table1[[#This Row],[Wining Team]],"NewZealand","New Zealand")</f>
        <v>Pakistan</v>
      </c>
      <c r="I3" s="12" t="str">
        <f>TRIM(Table1[[#This Row],[Toss Decision]])</f>
        <v>Field</v>
      </c>
      <c r="J3" s="12">
        <f>Table1[[#This Row],[Score A]]</f>
        <v>286</v>
      </c>
      <c r="K3" s="12">
        <f>Table1[[#This Row],[Score B]]</f>
        <v>205</v>
      </c>
      <c r="L3" s="12">
        <f>SUM(Calculations_1[[#This Row],[Score A]],Calculations_1[[#This Row],[Score B]])</f>
        <v>491</v>
      </c>
      <c r="M3" s="12">
        <f>SUM(Table1[[#This Row],[Wickets A]],Table1[[#This Row],[Wickets B]])</f>
        <v>20</v>
      </c>
      <c r="N3" s="12">
        <f>SUM(Table1[[#This Row],[4s A]],Table1[[#This Row],[4s B]])</f>
        <v>53</v>
      </c>
      <c r="O3" s="12">
        <f>SUM(Table1[[#This Row],[6s A]],Table1[[#This Row],[6s B]])</f>
        <v>7</v>
      </c>
      <c r="P3" s="12">
        <f>SUM(Calculations_1[[#This Row],[Total 4s (match)]],Calculations_1[[#This Row],[Total 6s (match)]])</f>
        <v>60</v>
      </c>
      <c r="Q3" s="12" t="str">
        <f>TRIM(Table1[[#This Row],[Margin]])</f>
        <v>81 Runs</v>
      </c>
      <c r="R3" s="12">
        <f>VALUE(LEFT(Calculations_1[[#This Row],[Margin (text)]],FIND(" ",Calculations_1[[#This Row],[Margin (text)]])-1))</f>
        <v>81</v>
      </c>
      <c r="S3" s="12" t="str">
        <f>IF(ISNUMBER(SEARCH("DLS",Calculations_1[[#This Row],[Margin (text)]])),"Runs (DLS) Method",IF(ISNUMBER(SEARCH("run",Calculations_1[[#This Row],[Margin (text)]])),"Runs","Wickets"))</f>
        <v>Runs</v>
      </c>
      <c r="T3" s="12" t="str">
        <f>IF(Calculations_1[[#This Row],[Winning Margin Type]]="Wickets","Chasing Won",IF(Calculations_1[[#This Row],[Winning Margin Type]]="Runs","Batting First Won","DLS Result"))</f>
        <v>Batting First Won</v>
      </c>
      <c r="U3" s="12">
        <f>IF(Calculations_1[[#This Row],[Toss Winner]]=Calculations_1[[#This Row],[Winning Team]],1,0)</f>
        <v>0</v>
      </c>
      <c r="V3" s="12" t="str">
        <f>IF(Calculations_1[[#This Row],[Toss Winner Won Match (1/0)]]=1,"Toss Winner Won","Toss Winner Lost")</f>
        <v>Toss Winner Lost</v>
      </c>
      <c r="W3" s="12" t="str">
        <f>TRIM(Table1[[#This Row],[Man of the Match]])</f>
        <v>Saud Shakeel</v>
      </c>
      <c r="X3" s="12" t="str" cm="1">
        <f t="array" ref="X3">IF(Calculations_1[[#This Row],[Winning Margin Type]]="Runs",_xlfn.IFS(Calculations_1[[#This Row],[Margin Value]]&lt;=50,"1-50",Calculations_1[[#This Row],[Margin Value]]&lt;=100,"51-100",Calculations_1[[#This Row],[Margin Value]]&lt;=150,"101-150",Calculations_1[[#This Row],[Margin Value]]&lt;=200,"151-200",TRUE,"201+"),"")</f>
        <v>51-100</v>
      </c>
      <c r="Y3" s="12" t="str" cm="1">
        <f t="array" ref="Y3">IF(Calculations_1[[#This Row],[Winning Margin Type]]="Wickets",_xlfn.IFS(Calculations_1[[#This Row],[Margin Value]]&lt;=3,"1-3",Calculations_1[[#This Row],[Margin Value]]&lt;=6,"4-6",Calculations_1[[#This Row],[Margin Value]]&lt;=10,"7-10"),"")</f>
        <v/>
      </c>
      <c r="AA3" s="12">
        <v>1</v>
      </c>
      <c r="AB3" s="22">
        <v>45204</v>
      </c>
      <c r="AC3" s="12" t="s">
        <v>200</v>
      </c>
      <c r="AD3" s="12" t="s">
        <v>45</v>
      </c>
      <c r="AE3" s="12" t="s">
        <v>43</v>
      </c>
      <c r="AF3" s="12" t="s">
        <v>44</v>
      </c>
      <c r="AG3" s="12" t="s">
        <v>201</v>
      </c>
      <c r="AH3" s="12" t="s">
        <v>195</v>
      </c>
      <c r="AI3" s="12">
        <v>283</v>
      </c>
      <c r="AJ3" s="32" cm="1">
        <f t="array" ref="AJ3">_xlfn.XLOOKUP(
1,
(Table354[Match ID]=Table354[[#This Row],[Match ID]])*
(Table354[Team]=Table354[[#This Row],[Opponent]]),
Table354[Wickets Lost (batting)]
)</f>
        <v>9</v>
      </c>
      <c r="AK3" s="12">
        <v>1</v>
      </c>
      <c r="AL3" s="12">
        <v>36.200000000000003</v>
      </c>
      <c r="AM3" s="12">
        <v>2</v>
      </c>
      <c r="AN3" s="12">
        <v>30</v>
      </c>
      <c r="AO3" s="12">
        <v>8</v>
      </c>
      <c r="AP3" s="12">
        <v>38</v>
      </c>
      <c r="AQ3" s="12">
        <v>7.78</v>
      </c>
      <c r="AR3" s="12" t="str">
        <f>_xlfn.XLOOKUP(Table354[[#This Row],[Match ID]],Calculations_1[Match ID],Calculations_1[Winning Team])</f>
        <v>New Zealand</v>
      </c>
      <c r="AS3" s="12">
        <v>0</v>
      </c>
      <c r="AT3" s="12">
        <v>6</v>
      </c>
      <c r="AU3" s="12">
        <v>0</v>
      </c>
      <c r="AV3" s="12">
        <v>6</v>
      </c>
      <c r="AW3" s="12">
        <f>1</f>
        <v>1</v>
      </c>
      <c r="AX3" s="12">
        <f>IF(Table354[[#This Row],[Team]]=_xlfn.XLOOKUP(Table354[[#This Row],[Match ID]],Calculations_1[Match ID],Calculations_1[Winning Team]),1,0)</f>
        <v>1</v>
      </c>
      <c r="AY3" s="12">
        <f>IF(NOT(Table354[[#This Row],[Win(1/0)]]),1,0)</f>
        <v>0</v>
      </c>
      <c r="AZ3" s="12" t="str">
        <f>IF(Table354[[#This Row],[Win(1/0)]]=1,"Win","Loss")</f>
        <v>Win</v>
      </c>
      <c r="BA3" s="12">
        <f>IF(Table354[[#This Row],[Team]]=_xlfn.XLOOKUP(Table354[[#This Row],[Match ID]],Calculations_1[Match ID],Calculations_1[Toss Winner]),1,0)</f>
        <v>1</v>
      </c>
      <c r="BB3" s="12">
        <f>Table354[[#This Row],[Win(1/0)]]*Table354[[#This Row],[Toss Won (1/0)]]</f>
        <v>1</v>
      </c>
      <c r="BC3" s="12" t="str" cm="1">
        <f t="array" ref="BC3">_xlfn.XLOOKUP(Table354[[#This Row],[Match ID]],Calculations_1[Match ID],Calculations_1[Toss Decision],NA,0)</f>
        <v>Field</v>
      </c>
    </row>
    <row r="4" spans="1:55" x14ac:dyDescent="0.3">
      <c r="A4" s="12">
        <v>3</v>
      </c>
      <c r="B4" s="23">
        <f>IF(ISNUMBER(Table1[[#This Row],[Match Date]]),DATE(YEAR(Table1[[#This Row],[Match Date]]),DAY(Table1[[#This Row],[Match Date]]),MONTH(Table1[[#This Row],[Match Date]])),DATE(VALUE(RIGHT(TRIM(Table1[[#This Row],[Match Date]]),4)),VALUE(MID(TRIM(Table1[[#This Row],[Match Date]]),4,2)),VALUE(LEFT(TRIM(Table1[[#This Row],[Match Date]]),2))))</f>
        <v>45206</v>
      </c>
      <c r="C4" s="12" t="str">
        <f>TRIM(Table1[[#This Row],[City]])</f>
        <v>Dharamshala</v>
      </c>
      <c r="D4" s="12" t="str">
        <f>IF(AND(TRIM(Table1[[#This Row],[Stadium]])="Eden Gardens",TRIM(Table1[[#This Row],[City]])&lt;&gt;"Kolkata"),"Rajiv Gandhi International Stadium",TRIM(Table1[[#This Row],[Stadium]]))</f>
        <v>HPCA Stadium</v>
      </c>
      <c r="E4" s="12" t="str">
        <f>SUBSTITUTE(Table1[[#This Row],[Team A]],"NewZealand","New Zealand")</f>
        <v>Afghanistan</v>
      </c>
      <c r="F4" s="12" t="str">
        <f>SUBSTITUTE(Table1[[#This Row],[Team B]],"NewZealand","New Zealand")</f>
        <v>Bangladesh</v>
      </c>
      <c r="G4" s="12" t="str">
        <f>SUBSTITUTE(Table1[[#This Row],[Toss Winner]],"NewZealand","New Zealand")</f>
        <v>Bangladesh</v>
      </c>
      <c r="H4" s="12" t="str">
        <f>SUBSTITUTE(Table1[[#This Row],[Wining Team]],"NewZealand","New Zealand")</f>
        <v>Bangladesh</v>
      </c>
      <c r="I4" s="12" t="str">
        <f>TRIM(Table1[[#This Row],[Toss Decision]])</f>
        <v>Field</v>
      </c>
      <c r="J4" s="12">
        <f>Table1[[#This Row],[Score A]]</f>
        <v>156</v>
      </c>
      <c r="K4" s="12">
        <f>Table1[[#This Row],[Score B]]</f>
        <v>158</v>
      </c>
      <c r="L4" s="12">
        <f>SUM(Calculations_1[[#This Row],[Score A]],Calculations_1[[#This Row],[Score B]])</f>
        <v>314</v>
      </c>
      <c r="M4" s="12">
        <f>SUM(Table1[[#This Row],[Wickets A]],Table1[[#This Row],[Wickets B]])</f>
        <v>14</v>
      </c>
      <c r="N4" s="12">
        <f>SUM(Table1[[#This Row],[4s A]],Table1[[#This Row],[4s B]])</f>
        <v>28</v>
      </c>
      <c r="O4" s="12">
        <f>SUM(Table1[[#This Row],[6s A]],Table1[[#This Row],[6s B]])</f>
        <v>3</v>
      </c>
      <c r="P4" s="12">
        <f>SUM(Calculations_1[[#This Row],[Total 4s (match)]],Calculations_1[[#This Row],[Total 6s (match)]])</f>
        <v>31</v>
      </c>
      <c r="Q4" s="12" t="str">
        <f>TRIM(Table1[[#This Row],[Margin]])</f>
        <v>6 Wickets</v>
      </c>
      <c r="R4" s="12">
        <f>VALUE(LEFT(Calculations_1[[#This Row],[Margin (text)]],FIND(" ",Calculations_1[[#This Row],[Margin (text)]])-1))</f>
        <v>6</v>
      </c>
      <c r="S4" s="12" t="str">
        <f>IF(ISNUMBER(SEARCH("DLS",Calculations_1[[#This Row],[Margin (text)]])),"Runs (DLS) Method",IF(ISNUMBER(SEARCH("run",Calculations_1[[#This Row],[Margin (text)]])),"Runs","Wickets"))</f>
        <v>Wickets</v>
      </c>
      <c r="T4" s="12" t="str">
        <f>IF(Calculations_1[[#This Row],[Winning Margin Type]]="Wickets","Chasing Won",IF(Calculations_1[[#This Row],[Winning Margin Type]]="Runs","Batting First Won","DLS Result"))</f>
        <v>Chasing Won</v>
      </c>
      <c r="U4" s="12">
        <f>IF(Calculations_1[[#This Row],[Toss Winner]]=Calculations_1[[#This Row],[Winning Team]],1,0)</f>
        <v>1</v>
      </c>
      <c r="V4" s="12" t="str">
        <f>IF(Calculations_1[[#This Row],[Toss Winner Won Match (1/0)]]=1,"Toss Winner Won","Toss Winner Lost")</f>
        <v>Toss Winner Won</v>
      </c>
      <c r="W4" s="12" t="str">
        <f>TRIM(Table1[[#This Row],[Man of the Match]])</f>
        <v>Mehidy Hasan Miraz</v>
      </c>
      <c r="X4" s="12" t="str" cm="1">
        <f t="array" ref="X4">IF(Calculations_1[[#This Row],[Winning Margin Type]]="Runs",_xlfn.IFS(Calculations_1[[#This Row],[Margin Value]]&lt;=50,"1-50",Calculations_1[[#This Row],[Margin Value]]&lt;=100,"51-100",Calculations_1[[#This Row],[Margin Value]]&lt;=150,"101-150",Calculations_1[[#This Row],[Margin Value]]&lt;=200,"151-200",TRUE,"201+"),"")</f>
        <v/>
      </c>
      <c r="Y4" s="12" t="str" cm="1">
        <f t="array" ref="Y4">IF(Calculations_1[[#This Row],[Winning Margin Type]]="Wickets",_xlfn.IFS(Calculations_1[[#This Row],[Margin Value]]&lt;=3,"1-3",Calculations_1[[#This Row],[Margin Value]]&lt;=6,"4-6",Calculations_1[[#This Row],[Margin Value]]&lt;=10,"7-10"),"")</f>
        <v>4-6</v>
      </c>
      <c r="AA4" s="12">
        <v>2</v>
      </c>
      <c r="AB4" s="22">
        <v>45205</v>
      </c>
      <c r="AC4" s="12" t="s">
        <v>56</v>
      </c>
      <c r="AD4" s="12" t="s">
        <v>57</v>
      </c>
      <c r="AE4" s="12" t="s">
        <v>54</v>
      </c>
      <c r="AF4" s="12" t="s">
        <v>92</v>
      </c>
      <c r="AG4" s="12" t="s">
        <v>202</v>
      </c>
      <c r="AH4" s="12" t="s">
        <v>203</v>
      </c>
      <c r="AI4" s="12">
        <v>286</v>
      </c>
      <c r="AJ4" s="32" cm="1">
        <f t="array" ref="AJ4">_xlfn.XLOOKUP(
1,
(Table354[Match ID]=Table354[[#This Row],[Match ID]])*
(Table354[Team]=Table354[[#This Row],[Opponent]]),
Table354[Wickets Lost (batting)]
)</f>
        <v>10</v>
      </c>
      <c r="AK4" s="12">
        <v>10</v>
      </c>
      <c r="AL4" s="12">
        <v>49</v>
      </c>
      <c r="AM4" s="12">
        <v>1</v>
      </c>
      <c r="AN4" s="12">
        <v>33</v>
      </c>
      <c r="AO4" s="12">
        <v>3</v>
      </c>
      <c r="AP4" s="12">
        <v>36</v>
      </c>
      <c r="AQ4" s="12">
        <v>5.83</v>
      </c>
      <c r="AR4" s="12" t="str">
        <f>_xlfn.XLOOKUP(Table354[[#This Row],[Match ID]],Calculations_1[Match ID],Calculations_1[Winning Team])</f>
        <v>Pakistan</v>
      </c>
      <c r="AS4" s="12">
        <v>0</v>
      </c>
      <c r="AT4" s="12">
        <v>9</v>
      </c>
      <c r="AU4" s="12">
        <v>0</v>
      </c>
      <c r="AV4" s="12">
        <v>9</v>
      </c>
      <c r="AW4" s="12">
        <f>1</f>
        <v>1</v>
      </c>
      <c r="AX4" s="12">
        <f>IF(Table354[[#This Row],[Team]]=_xlfn.XLOOKUP(Table354[[#This Row],[Match ID]],Calculations_1[Match ID],Calculations_1[Winning Team]),1,0)</f>
        <v>1</v>
      </c>
      <c r="AY4" s="12">
        <f>IF(NOT(Table354[[#This Row],[Win(1/0)]]),1,0)</f>
        <v>0</v>
      </c>
      <c r="AZ4" s="12" t="str">
        <f>IF(Table354[[#This Row],[Win(1/0)]]=1,"Win","Loss")</f>
        <v>Win</v>
      </c>
      <c r="BA4" s="12">
        <f>IF(Table354[[#This Row],[Team]]=_xlfn.XLOOKUP(Table354[[#This Row],[Match ID]],Calculations_1[Match ID],Calculations_1[Toss Winner]),1,0)</f>
        <v>0</v>
      </c>
      <c r="BB4" s="12">
        <f>Table354[[#This Row],[Win(1/0)]]*Table354[[#This Row],[Toss Won (1/0)]]</f>
        <v>0</v>
      </c>
      <c r="BC4" s="12" t="str" cm="1">
        <f t="array" ref="BC4">_xlfn.XLOOKUP(Table354[[#This Row],[Match ID]],Calculations_1[Match ID],Calculations_1[Toss Decision],NA,0)</f>
        <v>Field</v>
      </c>
    </row>
    <row r="5" spans="1:55" x14ac:dyDescent="0.3">
      <c r="A5" s="12">
        <v>4</v>
      </c>
      <c r="B5" s="23">
        <f>IF(ISNUMBER(Table1[[#This Row],[Match Date]]),DATE(YEAR(Table1[[#This Row],[Match Date]]),DAY(Table1[[#This Row],[Match Date]]),MONTH(Table1[[#This Row],[Match Date]])),DATE(VALUE(RIGHT(TRIM(Table1[[#This Row],[Match Date]]),4)),VALUE(MID(TRIM(Table1[[#This Row],[Match Date]]),4,2)),VALUE(LEFT(TRIM(Table1[[#This Row],[Match Date]]),2))))</f>
        <v>45206</v>
      </c>
      <c r="C5" s="12" t="str">
        <f>TRIM(Table1[[#This Row],[City]])</f>
        <v>Delhi</v>
      </c>
      <c r="D5" s="12" t="str">
        <f>IF(AND(TRIM(Table1[[#This Row],[Stadium]])="Eden Gardens",TRIM(Table1[[#This Row],[City]])&lt;&gt;"Kolkata"),"Rajiv Gandhi International Stadium",TRIM(Table1[[#This Row],[Stadium]]))</f>
        <v>Arun Jaitley Stadium</v>
      </c>
      <c r="E5" s="12" t="str">
        <f>SUBSTITUTE(Table1[[#This Row],[Team A]],"NewZealand","New Zealand")</f>
        <v>South Africa</v>
      </c>
      <c r="F5" s="12" t="str">
        <f>SUBSTITUTE(Table1[[#This Row],[Team B]],"NewZealand","New Zealand")</f>
        <v>Sri Lanka</v>
      </c>
      <c r="G5" s="12" t="str">
        <f>SUBSTITUTE(Table1[[#This Row],[Toss Winner]],"NewZealand","New Zealand")</f>
        <v>Sri Lanka</v>
      </c>
      <c r="H5" s="12" t="str">
        <f>SUBSTITUTE(Table1[[#This Row],[Wining Team]],"NewZealand","New Zealand")</f>
        <v>South Africa</v>
      </c>
      <c r="I5" s="12" t="str">
        <f>TRIM(Table1[[#This Row],[Toss Decision]])</f>
        <v>Field</v>
      </c>
      <c r="J5" s="12">
        <f>Table1[[#This Row],[Score A]]</f>
        <v>428</v>
      </c>
      <c r="K5" s="12">
        <f>Table1[[#This Row],[Score B]]</f>
        <v>326</v>
      </c>
      <c r="L5" s="12">
        <f>SUM(Calculations_1[[#This Row],[Score A]],Calculations_1[[#This Row],[Score B]])</f>
        <v>754</v>
      </c>
      <c r="M5" s="12">
        <f>SUM(Table1[[#This Row],[Wickets A]],Table1[[#This Row],[Wickets B]])</f>
        <v>15</v>
      </c>
      <c r="N5" s="12">
        <f>SUM(Table1[[#This Row],[4s A]],Table1[[#This Row],[4s B]])</f>
        <v>76</v>
      </c>
      <c r="O5" s="12">
        <f>SUM(Table1[[#This Row],[6s A]],Table1[[#This Row],[6s B]])</f>
        <v>31</v>
      </c>
      <c r="P5" s="12">
        <f>SUM(Calculations_1[[#This Row],[Total 4s (match)]],Calculations_1[[#This Row],[Total 6s (match)]])</f>
        <v>107</v>
      </c>
      <c r="Q5" s="12" t="str">
        <f>TRIM(Table1[[#This Row],[Margin]])</f>
        <v>102 Runs</v>
      </c>
      <c r="R5" s="12">
        <f>VALUE(LEFT(Calculations_1[[#This Row],[Margin (text)]],FIND(" ",Calculations_1[[#This Row],[Margin (text)]])-1))</f>
        <v>102</v>
      </c>
      <c r="S5" s="12" t="str">
        <f>IF(ISNUMBER(SEARCH("DLS",Calculations_1[[#This Row],[Margin (text)]])),"Runs (DLS) Method",IF(ISNUMBER(SEARCH("run",Calculations_1[[#This Row],[Margin (text)]])),"Runs","Wickets"))</f>
        <v>Runs</v>
      </c>
      <c r="T5" s="12" t="str">
        <f>IF(Calculations_1[[#This Row],[Winning Margin Type]]="Wickets","Chasing Won",IF(Calculations_1[[#This Row],[Winning Margin Type]]="Runs","Batting First Won","DLS Result"))</f>
        <v>Batting First Won</v>
      </c>
      <c r="U5" s="12">
        <f>IF(Calculations_1[[#This Row],[Toss Winner]]=Calculations_1[[#This Row],[Winning Team]],1,0)</f>
        <v>0</v>
      </c>
      <c r="V5" s="12" t="str">
        <f>IF(Calculations_1[[#This Row],[Toss Winner Won Match (1/0)]]=1,"Toss Winner Won","Toss Winner Lost")</f>
        <v>Toss Winner Lost</v>
      </c>
      <c r="W5" s="12" t="str">
        <f>TRIM(Table1[[#This Row],[Man of the Match]])</f>
        <v>Aiden Markram</v>
      </c>
      <c r="X5" s="12" t="str" cm="1">
        <f t="array" ref="X5">IF(Calculations_1[[#This Row],[Winning Margin Type]]="Runs",_xlfn.IFS(Calculations_1[[#This Row],[Margin Value]]&lt;=50,"1-50",Calculations_1[[#This Row],[Margin Value]]&lt;=100,"51-100",Calculations_1[[#This Row],[Margin Value]]&lt;=150,"101-150",Calculations_1[[#This Row],[Margin Value]]&lt;=200,"151-200",TRUE,"201+"),"")</f>
        <v>101-150</v>
      </c>
      <c r="Y5" s="12" t="str" cm="1">
        <f t="array" ref="Y5">IF(Calculations_1[[#This Row],[Winning Margin Type]]="Wickets",_xlfn.IFS(Calculations_1[[#This Row],[Margin Value]]&lt;=3,"1-3",Calculations_1[[#This Row],[Margin Value]]&lt;=6,"4-6",Calculations_1[[#This Row],[Margin Value]]&lt;=10,"7-10"),"")</f>
        <v/>
      </c>
      <c r="AA5" s="12">
        <v>2</v>
      </c>
      <c r="AB5" s="22">
        <v>45205</v>
      </c>
      <c r="AC5" s="12" t="s">
        <v>57</v>
      </c>
      <c r="AD5" s="12" t="s">
        <v>56</v>
      </c>
      <c r="AE5" s="12" t="s">
        <v>54</v>
      </c>
      <c r="AF5" s="12" t="s">
        <v>92</v>
      </c>
      <c r="AG5" s="12" t="s">
        <v>202</v>
      </c>
      <c r="AH5" s="12" t="s">
        <v>203</v>
      </c>
      <c r="AI5" s="12">
        <v>205</v>
      </c>
      <c r="AJ5" s="32" cm="1">
        <f t="array" ref="AJ5">_xlfn.XLOOKUP(
1,
(Table354[Match ID]=Table354[[#This Row],[Match ID]])*
(Table354[Team]=Table354[[#This Row],[Opponent]]),
Table354[Wickets Lost (batting)]
)</f>
        <v>10</v>
      </c>
      <c r="AK5" s="12">
        <v>10</v>
      </c>
      <c r="AL5" s="12">
        <v>41</v>
      </c>
      <c r="AM5" s="12">
        <v>1</v>
      </c>
      <c r="AN5" s="12">
        <v>20</v>
      </c>
      <c r="AO5" s="12">
        <v>4</v>
      </c>
      <c r="AP5" s="12">
        <v>24</v>
      </c>
      <c r="AQ5" s="12">
        <v>5</v>
      </c>
      <c r="AR5" s="12" t="str">
        <f>_xlfn.XLOOKUP(Table354[[#This Row],[Match ID]],Calculations_1[Match ID],Calculations_1[Winning Team])</f>
        <v>Pakistan</v>
      </c>
      <c r="AS5" s="12">
        <v>0</v>
      </c>
      <c r="AT5" s="12">
        <v>8</v>
      </c>
      <c r="AU5" s="12">
        <v>1</v>
      </c>
      <c r="AV5" s="12">
        <v>9</v>
      </c>
      <c r="AW5" s="12">
        <f>1</f>
        <v>1</v>
      </c>
      <c r="AX5" s="12">
        <f>IF(Table354[[#This Row],[Team]]=_xlfn.XLOOKUP(Table354[[#This Row],[Match ID]],Calculations_1[Match ID],Calculations_1[Winning Team]),1,0)</f>
        <v>0</v>
      </c>
      <c r="AY5" s="12">
        <f>IF(NOT(Table354[[#This Row],[Win(1/0)]]),1,0)</f>
        <v>1</v>
      </c>
      <c r="AZ5" s="12" t="str">
        <f>IF(Table354[[#This Row],[Win(1/0)]]=1,"Win","Loss")</f>
        <v>Loss</v>
      </c>
      <c r="BA5" s="12">
        <f>IF(Table354[[#This Row],[Team]]=_xlfn.XLOOKUP(Table354[[#This Row],[Match ID]],Calculations_1[Match ID],Calculations_1[Toss Winner]),1,0)</f>
        <v>1</v>
      </c>
      <c r="BB5" s="12">
        <f>Table354[[#This Row],[Win(1/0)]]*Table354[[#This Row],[Toss Won (1/0)]]</f>
        <v>0</v>
      </c>
      <c r="BC5" s="12" t="str" cm="1">
        <f t="array" ref="BC5">_xlfn.XLOOKUP(Table354[[#This Row],[Match ID]],Calculations_1[Match ID],Calculations_1[Toss Decision],NA,0)</f>
        <v>Field</v>
      </c>
    </row>
    <row r="6" spans="1:55" x14ac:dyDescent="0.3">
      <c r="A6" s="12">
        <v>5</v>
      </c>
      <c r="B6" s="23">
        <f>IF(ISNUMBER(Table1[[#This Row],[Match Date]]),DATE(YEAR(Table1[[#This Row],[Match Date]]),DAY(Table1[[#This Row],[Match Date]]),MONTH(Table1[[#This Row],[Match Date]])),DATE(VALUE(RIGHT(TRIM(Table1[[#This Row],[Match Date]]),4)),VALUE(MID(TRIM(Table1[[#This Row],[Match Date]]),4,2)),VALUE(LEFT(TRIM(Table1[[#This Row],[Match Date]]),2))))</f>
        <v>45207</v>
      </c>
      <c r="C6" s="12" t="str">
        <f>TRIM(Table1[[#This Row],[City]])</f>
        <v>Chennai</v>
      </c>
      <c r="D6" s="12" t="str">
        <f>IF(AND(TRIM(Table1[[#This Row],[Stadium]])="Eden Gardens",TRIM(Table1[[#This Row],[City]])&lt;&gt;"Kolkata"),"Rajiv Gandhi International Stadium",TRIM(Table1[[#This Row],[Stadium]]))</f>
        <v>M. A. Chidambaram Stadium</v>
      </c>
      <c r="E6" s="12" t="str">
        <f>SUBSTITUTE(Table1[[#This Row],[Team A]],"NewZealand","New Zealand")</f>
        <v>Australia</v>
      </c>
      <c r="F6" s="12" t="str">
        <f>SUBSTITUTE(Table1[[#This Row],[Team B]],"NewZealand","New Zealand")</f>
        <v>India</v>
      </c>
      <c r="G6" s="12" t="str">
        <f>SUBSTITUTE(Table1[[#This Row],[Toss Winner]],"NewZealand","New Zealand")</f>
        <v>Australia</v>
      </c>
      <c r="H6" s="12" t="str">
        <f>SUBSTITUTE(Table1[[#This Row],[Wining Team]],"NewZealand","New Zealand")</f>
        <v>India</v>
      </c>
      <c r="I6" s="12" t="str">
        <f>TRIM(Table1[[#This Row],[Toss Decision]])</f>
        <v>Bat</v>
      </c>
      <c r="J6" s="12">
        <f>Table1[[#This Row],[Score A]]</f>
        <v>199</v>
      </c>
      <c r="K6" s="12">
        <f>Table1[[#This Row],[Score B]]</f>
        <v>201</v>
      </c>
      <c r="L6" s="12">
        <f>SUM(Calculations_1[[#This Row],[Score A]],Calculations_1[[#This Row],[Score B]])</f>
        <v>400</v>
      </c>
      <c r="M6" s="12">
        <f>SUM(Table1[[#This Row],[Wickets A]],Table1[[#This Row],[Wickets B]])</f>
        <v>14</v>
      </c>
      <c r="N6" s="12">
        <f>SUM(Table1[[#This Row],[4s A]],Table1[[#This Row],[4s B]])</f>
        <v>30</v>
      </c>
      <c r="O6" s="12">
        <f>SUM(Table1[[#This Row],[6s A]],Table1[[#This Row],[6s B]])</f>
        <v>5</v>
      </c>
      <c r="P6" s="12">
        <f>SUM(Calculations_1[[#This Row],[Total 4s (match)]],Calculations_1[[#This Row],[Total 6s (match)]])</f>
        <v>35</v>
      </c>
      <c r="Q6" s="12" t="str">
        <f>TRIM(Table1[[#This Row],[Margin]])</f>
        <v>6 wickets</v>
      </c>
      <c r="R6" s="12">
        <f>VALUE(LEFT(Calculations_1[[#This Row],[Margin (text)]],FIND(" ",Calculations_1[[#This Row],[Margin (text)]])-1))</f>
        <v>6</v>
      </c>
      <c r="S6" s="12" t="str">
        <f>IF(ISNUMBER(SEARCH("DLS",Calculations_1[[#This Row],[Margin (text)]])),"Runs (DLS) Method",IF(ISNUMBER(SEARCH("run",Calculations_1[[#This Row],[Margin (text)]])),"Runs","Wickets"))</f>
        <v>Wickets</v>
      </c>
      <c r="T6" s="12" t="str">
        <f>IF(Calculations_1[[#This Row],[Winning Margin Type]]="Wickets","Chasing Won",IF(Calculations_1[[#This Row],[Winning Margin Type]]="Runs","Batting First Won","DLS Result"))</f>
        <v>Chasing Won</v>
      </c>
      <c r="U6" s="12">
        <f>IF(Calculations_1[[#This Row],[Toss Winner]]=Calculations_1[[#This Row],[Winning Team]],1,0)</f>
        <v>0</v>
      </c>
      <c r="V6" s="12" t="str">
        <f>IF(Calculations_1[[#This Row],[Toss Winner Won Match (1/0)]]=1,"Toss Winner Won","Toss Winner Lost")</f>
        <v>Toss Winner Lost</v>
      </c>
      <c r="W6" s="12" t="str">
        <f>TRIM(Table1[[#This Row],[Man of the Match]])</f>
        <v>KL Rahul</v>
      </c>
      <c r="X6" s="12" t="str" cm="1">
        <f t="array" ref="X6">IF(Calculations_1[[#This Row],[Winning Margin Type]]="Runs",_xlfn.IFS(Calculations_1[[#This Row],[Margin Value]]&lt;=50,"1-50",Calculations_1[[#This Row],[Margin Value]]&lt;=100,"51-100",Calculations_1[[#This Row],[Margin Value]]&lt;=150,"101-150",Calculations_1[[#This Row],[Margin Value]]&lt;=200,"151-200",TRUE,"201+"),"")</f>
        <v/>
      </c>
      <c r="Y6" s="12" t="str" cm="1">
        <f t="array" ref="Y6">IF(Calculations_1[[#This Row],[Winning Margin Type]]="Wickets",_xlfn.IFS(Calculations_1[[#This Row],[Margin Value]]&lt;=3,"1-3",Calculations_1[[#This Row],[Margin Value]]&lt;=6,"4-6",Calculations_1[[#This Row],[Margin Value]]&lt;=10,"7-10"),"")</f>
        <v>4-6</v>
      </c>
      <c r="AA6" s="12">
        <v>3</v>
      </c>
      <c r="AB6" s="22">
        <v>45206</v>
      </c>
      <c r="AC6" s="12" t="s">
        <v>66</v>
      </c>
      <c r="AD6" s="12" t="s">
        <v>67</v>
      </c>
      <c r="AE6" s="12" t="s">
        <v>64</v>
      </c>
      <c r="AF6" s="12" t="s">
        <v>65</v>
      </c>
      <c r="AG6" s="12" t="s">
        <v>201</v>
      </c>
      <c r="AH6" s="12" t="s">
        <v>195</v>
      </c>
      <c r="AI6" s="12">
        <v>156</v>
      </c>
      <c r="AJ6" s="32" cm="1">
        <f t="array" ref="AJ6">_xlfn.XLOOKUP(
1,
(Table354[Match ID]=Table354[[#This Row],[Match ID]])*
(Table354[Team]=Table354[[#This Row],[Opponent]]),
Table354[Wickets Lost (batting)]
)</f>
        <v>4</v>
      </c>
      <c r="AK6" s="12">
        <v>10</v>
      </c>
      <c r="AL6" s="12">
        <v>37.200000000000003</v>
      </c>
      <c r="AM6" s="12">
        <v>1</v>
      </c>
      <c r="AN6" s="12">
        <v>15</v>
      </c>
      <c r="AO6" s="12">
        <v>2</v>
      </c>
      <c r="AP6" s="12">
        <v>17</v>
      </c>
      <c r="AQ6" s="12">
        <v>4.17</v>
      </c>
      <c r="AR6" s="12" t="str">
        <f>_xlfn.XLOOKUP(Table354[[#This Row],[Match ID]],Calculations_1[Match ID],Calculations_1[Winning Team])</f>
        <v>Bangladesh</v>
      </c>
      <c r="AS6" s="12">
        <v>0</v>
      </c>
      <c r="AT6" s="12">
        <v>4</v>
      </c>
      <c r="AU6" s="12">
        <v>1</v>
      </c>
      <c r="AV6" s="12">
        <v>8</v>
      </c>
      <c r="AW6" s="12">
        <f>1</f>
        <v>1</v>
      </c>
      <c r="AX6" s="12">
        <f>IF(Table354[[#This Row],[Team]]=_xlfn.XLOOKUP(Table354[[#This Row],[Match ID]],Calculations_1[Match ID],Calculations_1[Winning Team]),1,0)</f>
        <v>0</v>
      </c>
      <c r="AY6" s="12">
        <f>IF(NOT(Table354[[#This Row],[Win(1/0)]]),1,0)</f>
        <v>1</v>
      </c>
      <c r="AZ6" s="12" t="str">
        <f>IF(Table354[[#This Row],[Win(1/0)]]=1,"Win","Loss")</f>
        <v>Loss</v>
      </c>
      <c r="BA6" s="12">
        <f>IF(Table354[[#This Row],[Team]]=_xlfn.XLOOKUP(Table354[[#This Row],[Match ID]],Calculations_1[Match ID],Calculations_1[Toss Winner]),1,0)</f>
        <v>0</v>
      </c>
      <c r="BB6" s="12">
        <f>Table354[[#This Row],[Win(1/0)]]*Table354[[#This Row],[Toss Won (1/0)]]</f>
        <v>0</v>
      </c>
      <c r="BC6" s="12" t="str" cm="1">
        <f t="array" ref="BC6">_xlfn.XLOOKUP(Table354[[#This Row],[Match ID]],Calculations_1[Match ID],Calculations_1[Toss Decision],NA,0)</f>
        <v>Field</v>
      </c>
    </row>
    <row r="7" spans="1:55" x14ac:dyDescent="0.3">
      <c r="A7" s="12">
        <v>6</v>
      </c>
      <c r="B7" s="23">
        <f>IF(ISNUMBER(Table1[[#This Row],[Match Date]]),DATE(YEAR(Table1[[#This Row],[Match Date]]),DAY(Table1[[#This Row],[Match Date]]),MONTH(Table1[[#This Row],[Match Date]])),DATE(VALUE(RIGHT(TRIM(Table1[[#This Row],[Match Date]]),4)),VALUE(MID(TRIM(Table1[[#This Row],[Match Date]]),4,2)),VALUE(LEFT(TRIM(Table1[[#This Row],[Match Date]]),2))))</f>
        <v>45208</v>
      </c>
      <c r="C7" s="12" t="str">
        <f>TRIM(Table1[[#This Row],[City]])</f>
        <v>Hyderabad</v>
      </c>
      <c r="D7" s="12" t="str">
        <f>IF(AND(TRIM(Table1[[#This Row],[Stadium]])="Eden Gardens",TRIM(Table1[[#This Row],[City]])&lt;&gt;"Kolkata"),"Rajiv Gandhi International Stadium",TRIM(Table1[[#This Row],[Stadium]]))</f>
        <v>Rajiv Gandhi International Stadium</v>
      </c>
      <c r="E7" s="12" t="str">
        <f>SUBSTITUTE(Table1[[#This Row],[Team A]],"NewZealand","New Zealand")</f>
        <v>New Zealand</v>
      </c>
      <c r="F7" s="12" t="str">
        <f>SUBSTITUTE(Table1[[#This Row],[Team B]],"NewZealand","New Zealand")</f>
        <v>Netherlands</v>
      </c>
      <c r="G7" s="12" t="str">
        <f>SUBSTITUTE(Table1[[#This Row],[Toss Winner]],"NewZealand","New Zealand")</f>
        <v>Netherlands</v>
      </c>
      <c r="H7" s="12" t="str">
        <f>SUBSTITUTE(Table1[[#This Row],[Wining Team]],"NewZealand","New Zealand")</f>
        <v>New Zealand</v>
      </c>
      <c r="I7" s="12" t="str">
        <f>TRIM(Table1[[#This Row],[Toss Decision]])</f>
        <v>Field</v>
      </c>
      <c r="J7" s="12">
        <f>Table1[[#This Row],[Score A]]</f>
        <v>322</v>
      </c>
      <c r="K7" s="12">
        <f>Table1[[#This Row],[Score B]]</f>
        <v>223</v>
      </c>
      <c r="L7" s="12">
        <f>SUM(Calculations_1[[#This Row],[Score A]],Calculations_1[[#This Row],[Score B]])</f>
        <v>545</v>
      </c>
      <c r="M7" s="12">
        <f>SUM(Table1[[#This Row],[Wickets A]],Table1[[#This Row],[Wickets B]])</f>
        <v>17</v>
      </c>
      <c r="N7" s="12">
        <f>SUM(Table1[[#This Row],[4s A]],Table1[[#This Row],[4s B]])</f>
        <v>49</v>
      </c>
      <c r="O7" s="12">
        <f>SUM(Table1[[#This Row],[6s A]],Table1[[#This Row],[6s B]])</f>
        <v>13</v>
      </c>
      <c r="P7" s="12">
        <f>SUM(Calculations_1[[#This Row],[Total 4s (match)]],Calculations_1[[#This Row],[Total 6s (match)]])</f>
        <v>62</v>
      </c>
      <c r="Q7" s="12" t="str">
        <f>TRIM(Table1[[#This Row],[Margin]])</f>
        <v>99 Runs</v>
      </c>
      <c r="R7" s="12">
        <f>VALUE(LEFT(Calculations_1[[#This Row],[Margin (text)]],FIND(" ",Calculations_1[[#This Row],[Margin (text)]])-1))</f>
        <v>99</v>
      </c>
      <c r="S7" s="12" t="str">
        <f>IF(ISNUMBER(SEARCH("DLS",Calculations_1[[#This Row],[Margin (text)]])),"Runs (DLS) Method",IF(ISNUMBER(SEARCH("run",Calculations_1[[#This Row],[Margin (text)]])),"Runs","Wickets"))</f>
        <v>Runs</v>
      </c>
      <c r="T7" s="12" t="str">
        <f>IF(Calculations_1[[#This Row],[Winning Margin Type]]="Wickets","Chasing Won",IF(Calculations_1[[#This Row],[Winning Margin Type]]="Runs","Batting First Won","DLS Result"))</f>
        <v>Batting First Won</v>
      </c>
      <c r="U7" s="12">
        <f>IF(Calculations_1[[#This Row],[Toss Winner]]=Calculations_1[[#This Row],[Winning Team]],1,0)</f>
        <v>0</v>
      </c>
      <c r="V7" s="12" t="str">
        <f>IF(Calculations_1[[#This Row],[Toss Winner Won Match (1/0)]]=1,"Toss Winner Won","Toss Winner Lost")</f>
        <v>Toss Winner Lost</v>
      </c>
      <c r="W7" s="12" t="str">
        <f>TRIM(Table1[[#This Row],[Man of the Match]])</f>
        <v>Mitchell Santner</v>
      </c>
      <c r="X7" s="12" t="str" cm="1">
        <f t="array" ref="X7">IF(Calculations_1[[#This Row],[Winning Margin Type]]="Runs",_xlfn.IFS(Calculations_1[[#This Row],[Margin Value]]&lt;=50,"1-50",Calculations_1[[#This Row],[Margin Value]]&lt;=100,"51-100",Calculations_1[[#This Row],[Margin Value]]&lt;=150,"101-150",Calculations_1[[#This Row],[Margin Value]]&lt;=200,"151-200",TRUE,"201+"),"")</f>
        <v>51-100</v>
      </c>
      <c r="Y7" s="12" t="str" cm="1">
        <f t="array" ref="Y7">IF(Calculations_1[[#This Row],[Winning Margin Type]]="Wickets",_xlfn.IFS(Calculations_1[[#This Row],[Margin Value]]&lt;=3,"1-3",Calculations_1[[#This Row],[Margin Value]]&lt;=6,"4-6",Calculations_1[[#This Row],[Margin Value]]&lt;=10,"7-10"),"")</f>
        <v/>
      </c>
      <c r="AA7" s="12">
        <v>3</v>
      </c>
      <c r="AB7" s="22">
        <v>45206</v>
      </c>
      <c r="AC7" s="12" t="s">
        <v>67</v>
      </c>
      <c r="AD7" s="12" t="s">
        <v>66</v>
      </c>
      <c r="AE7" s="12" t="s">
        <v>64</v>
      </c>
      <c r="AF7" s="12" t="s">
        <v>65</v>
      </c>
      <c r="AG7" s="12" t="s">
        <v>201</v>
      </c>
      <c r="AH7" s="12" t="s">
        <v>195</v>
      </c>
      <c r="AI7" s="12">
        <v>158</v>
      </c>
      <c r="AJ7" s="32" cm="1">
        <f t="array" ref="AJ7">_xlfn.XLOOKUP(
1,
(Table354[Match ID]=Table354[[#This Row],[Match ID]])*
(Table354[Team]=Table354[[#This Row],[Opponent]]),
Table354[Wickets Lost (batting)]
)</f>
        <v>10</v>
      </c>
      <c r="AK7" s="12">
        <v>4</v>
      </c>
      <c r="AL7" s="12">
        <v>34.4</v>
      </c>
      <c r="AM7" s="12">
        <v>5</v>
      </c>
      <c r="AN7" s="12">
        <v>13</v>
      </c>
      <c r="AO7" s="12">
        <v>1</v>
      </c>
      <c r="AP7" s="12">
        <v>14</v>
      </c>
      <c r="AQ7" s="12">
        <v>4.55</v>
      </c>
      <c r="AR7" s="12" t="str">
        <f>_xlfn.XLOOKUP(Table354[[#This Row],[Match ID]],Calculations_1[Match ID],Calculations_1[Winning Team])</f>
        <v>Bangladesh</v>
      </c>
      <c r="AS7" s="12">
        <v>0</v>
      </c>
      <c r="AT7" s="12">
        <v>8</v>
      </c>
      <c r="AU7" s="12">
        <v>0</v>
      </c>
      <c r="AV7" s="12">
        <v>8</v>
      </c>
      <c r="AW7" s="12">
        <f>1</f>
        <v>1</v>
      </c>
      <c r="AX7" s="12">
        <f>IF(Table354[[#This Row],[Team]]=_xlfn.XLOOKUP(Table354[[#This Row],[Match ID]],Calculations_1[Match ID],Calculations_1[Winning Team]),1,0)</f>
        <v>1</v>
      </c>
      <c r="AY7" s="12">
        <f>IF(NOT(Table354[[#This Row],[Win(1/0)]]),1,0)</f>
        <v>0</v>
      </c>
      <c r="AZ7" s="12" t="str">
        <f>IF(Table354[[#This Row],[Win(1/0)]]=1,"Win","Loss")</f>
        <v>Win</v>
      </c>
      <c r="BA7" s="12">
        <f>IF(Table354[[#This Row],[Team]]=_xlfn.XLOOKUP(Table354[[#This Row],[Match ID]],Calculations_1[Match ID],Calculations_1[Toss Winner]),1,0)</f>
        <v>1</v>
      </c>
      <c r="BB7" s="12">
        <f>Table354[[#This Row],[Win(1/0)]]*Table354[[#This Row],[Toss Won (1/0)]]</f>
        <v>1</v>
      </c>
      <c r="BC7" s="12" t="str" cm="1">
        <f t="array" ref="BC7">_xlfn.XLOOKUP(Table354[[#This Row],[Match ID]],Calculations_1[Match ID],Calculations_1[Toss Decision],NA,0)</f>
        <v>Field</v>
      </c>
    </row>
    <row r="8" spans="1:55" x14ac:dyDescent="0.3">
      <c r="A8" s="12">
        <v>7</v>
      </c>
      <c r="B8" s="23">
        <f>IF(ISNUMBER(Table1[[#This Row],[Match Date]]),DATE(YEAR(Table1[[#This Row],[Match Date]]),DAY(Table1[[#This Row],[Match Date]]),MONTH(Table1[[#This Row],[Match Date]])),DATE(VALUE(RIGHT(TRIM(Table1[[#This Row],[Match Date]]),4)),VALUE(MID(TRIM(Table1[[#This Row],[Match Date]]),4,2)),VALUE(LEFT(TRIM(Table1[[#This Row],[Match Date]]),2))))</f>
        <v>45209</v>
      </c>
      <c r="C8" s="12" t="str">
        <f>TRIM(Table1[[#This Row],[City]])</f>
        <v>Dharamshala</v>
      </c>
      <c r="D8" s="12" t="str">
        <f>IF(AND(TRIM(Table1[[#This Row],[Stadium]])="Eden Gardens",TRIM(Table1[[#This Row],[City]])&lt;&gt;"Kolkata"),"Rajiv Gandhi International Stadium",TRIM(Table1[[#This Row],[Stadium]]))</f>
        <v>HPCA Stadium</v>
      </c>
      <c r="E8" s="12" t="str">
        <f>SUBSTITUTE(Table1[[#This Row],[Team A]],"NewZealand","New Zealand")</f>
        <v>England</v>
      </c>
      <c r="F8" s="12" t="str">
        <f>SUBSTITUTE(Table1[[#This Row],[Team B]],"NewZealand","New Zealand")</f>
        <v>Bangladesh</v>
      </c>
      <c r="G8" s="12" t="str">
        <f>SUBSTITUTE(Table1[[#This Row],[Toss Winner]],"NewZealand","New Zealand")</f>
        <v>Bangladesh</v>
      </c>
      <c r="H8" s="12" t="str">
        <f>SUBSTITUTE(Table1[[#This Row],[Wining Team]],"NewZealand","New Zealand")</f>
        <v>England</v>
      </c>
      <c r="I8" s="12" t="str">
        <f>TRIM(Table1[[#This Row],[Toss Decision]])</f>
        <v>Field</v>
      </c>
      <c r="J8" s="12">
        <f>Table1[[#This Row],[Score A]]</f>
        <v>364</v>
      </c>
      <c r="K8" s="12">
        <f>Table1[[#This Row],[Score B]]</f>
        <v>227</v>
      </c>
      <c r="L8" s="12">
        <f>SUM(Calculations_1[[#This Row],[Score A]],Calculations_1[[#This Row],[Score B]])</f>
        <v>591</v>
      </c>
      <c r="M8" s="12">
        <f>SUM(Table1[[#This Row],[Wickets A]],Table1[[#This Row],[Wickets B]])</f>
        <v>19</v>
      </c>
      <c r="N8" s="12">
        <f>SUM(Table1[[#This Row],[4s A]],Table1[[#This Row],[4s B]])</f>
        <v>58</v>
      </c>
      <c r="O8" s="12">
        <f>SUM(Table1[[#This Row],[6s A]],Table1[[#This Row],[6s B]])</f>
        <v>10</v>
      </c>
      <c r="P8" s="12">
        <f>SUM(Calculations_1[[#This Row],[Total 4s (match)]],Calculations_1[[#This Row],[Total 6s (match)]])</f>
        <v>68</v>
      </c>
      <c r="Q8" s="12" t="str">
        <f>TRIM(Table1[[#This Row],[Margin]])</f>
        <v>137 Runs</v>
      </c>
      <c r="R8" s="12">
        <f>VALUE(LEFT(Calculations_1[[#This Row],[Margin (text)]],FIND(" ",Calculations_1[[#This Row],[Margin (text)]])-1))</f>
        <v>137</v>
      </c>
      <c r="S8" s="12" t="str">
        <f>IF(ISNUMBER(SEARCH("DLS",Calculations_1[[#This Row],[Margin (text)]])),"Runs (DLS) Method",IF(ISNUMBER(SEARCH("run",Calculations_1[[#This Row],[Margin (text)]])),"Runs","Wickets"))</f>
        <v>Runs</v>
      </c>
      <c r="T8" s="12" t="str">
        <f>IF(Calculations_1[[#This Row],[Winning Margin Type]]="Wickets","Chasing Won",IF(Calculations_1[[#This Row],[Winning Margin Type]]="Runs","Batting First Won","DLS Result"))</f>
        <v>Batting First Won</v>
      </c>
      <c r="U8" s="12">
        <f>IF(Calculations_1[[#This Row],[Toss Winner]]=Calculations_1[[#This Row],[Winning Team]],1,0)</f>
        <v>0</v>
      </c>
      <c r="V8" s="12" t="str">
        <f>IF(Calculations_1[[#This Row],[Toss Winner Won Match (1/0)]]=1,"Toss Winner Won","Toss Winner Lost")</f>
        <v>Toss Winner Lost</v>
      </c>
      <c r="W8" s="12" t="str">
        <f>TRIM(Table1[[#This Row],[Man of the Match]])</f>
        <v>Dawid Malan</v>
      </c>
      <c r="X8" s="12" t="str" cm="1">
        <f t="array" ref="X8">IF(Calculations_1[[#This Row],[Winning Margin Type]]="Runs",_xlfn.IFS(Calculations_1[[#This Row],[Margin Value]]&lt;=50,"1-50",Calculations_1[[#This Row],[Margin Value]]&lt;=100,"51-100",Calculations_1[[#This Row],[Margin Value]]&lt;=150,"101-150",Calculations_1[[#This Row],[Margin Value]]&lt;=200,"151-200",TRUE,"201+"),"")</f>
        <v>101-150</v>
      </c>
      <c r="Y8" s="12" t="str" cm="1">
        <f t="array" ref="Y8">IF(Calculations_1[[#This Row],[Winning Margin Type]]="Wickets",_xlfn.IFS(Calculations_1[[#This Row],[Margin Value]]&lt;=3,"1-3",Calculations_1[[#This Row],[Margin Value]]&lt;=6,"4-6",Calculations_1[[#This Row],[Margin Value]]&lt;=10,"7-10"),"")</f>
        <v/>
      </c>
      <c r="AA8" s="12">
        <v>4</v>
      </c>
      <c r="AB8" s="22">
        <v>45206</v>
      </c>
      <c r="AC8" s="12" t="s">
        <v>75</v>
      </c>
      <c r="AD8" s="12" t="s">
        <v>76</v>
      </c>
      <c r="AE8" s="12" t="s">
        <v>73</v>
      </c>
      <c r="AF8" s="12" t="s">
        <v>74</v>
      </c>
      <c r="AG8" s="12" t="s">
        <v>202</v>
      </c>
      <c r="AH8" s="12" t="s">
        <v>203</v>
      </c>
      <c r="AI8" s="12">
        <v>428</v>
      </c>
      <c r="AJ8" s="32" cm="1">
        <f t="array" ref="AJ8">_xlfn.XLOOKUP(
1,
(Table354[Match ID]=Table354[[#This Row],[Match ID]])*
(Table354[Team]=Table354[[#This Row],[Opponent]]),
Table354[Wickets Lost (batting)]
)</f>
        <v>10</v>
      </c>
      <c r="AK8" s="12">
        <v>5</v>
      </c>
      <c r="AL8" s="12">
        <v>50</v>
      </c>
      <c r="AM8" s="12">
        <v>1</v>
      </c>
      <c r="AN8" s="12">
        <v>45</v>
      </c>
      <c r="AO8" s="12">
        <v>14</v>
      </c>
      <c r="AP8" s="12">
        <v>59</v>
      </c>
      <c r="AQ8" s="12">
        <v>8.56</v>
      </c>
      <c r="AR8" s="12" t="str">
        <f>_xlfn.XLOOKUP(Table354[[#This Row],[Match ID]],Calculations_1[Match ID],Calculations_1[Winning Team])</f>
        <v>South Africa</v>
      </c>
      <c r="AS8" s="12">
        <v>0</v>
      </c>
      <c r="AT8" s="12">
        <v>14</v>
      </c>
      <c r="AU8" s="12">
        <v>1</v>
      </c>
      <c r="AV8" s="12">
        <v>20</v>
      </c>
      <c r="AW8" s="12">
        <f>1</f>
        <v>1</v>
      </c>
      <c r="AX8" s="12">
        <f>IF(Table354[[#This Row],[Team]]=_xlfn.XLOOKUP(Table354[[#This Row],[Match ID]],Calculations_1[Match ID],Calculations_1[Winning Team]),1,0)</f>
        <v>1</v>
      </c>
      <c r="AY8" s="12">
        <f>IF(NOT(Table354[[#This Row],[Win(1/0)]]),1,0)</f>
        <v>0</v>
      </c>
      <c r="AZ8" s="12" t="str">
        <f>IF(Table354[[#This Row],[Win(1/0)]]=1,"Win","Loss")</f>
        <v>Win</v>
      </c>
      <c r="BA8" s="12">
        <f>IF(Table354[[#This Row],[Team]]=_xlfn.XLOOKUP(Table354[[#This Row],[Match ID]],Calculations_1[Match ID],Calculations_1[Toss Winner]),1,0)</f>
        <v>0</v>
      </c>
      <c r="BB8" s="12">
        <f>Table354[[#This Row],[Win(1/0)]]*Table354[[#This Row],[Toss Won (1/0)]]</f>
        <v>0</v>
      </c>
      <c r="BC8" s="12" t="str" cm="1">
        <f t="array" ref="BC8">_xlfn.XLOOKUP(Table354[[#This Row],[Match ID]],Calculations_1[Match ID],Calculations_1[Toss Decision],NA,0)</f>
        <v>Field</v>
      </c>
    </row>
    <row r="9" spans="1:55" x14ac:dyDescent="0.3">
      <c r="A9" s="12">
        <v>8</v>
      </c>
      <c r="B9" s="23">
        <f>IF(ISNUMBER(Table1[[#This Row],[Match Date]]),DATE(YEAR(Table1[[#This Row],[Match Date]]),DAY(Table1[[#This Row],[Match Date]]),MONTH(Table1[[#This Row],[Match Date]])),DATE(VALUE(RIGHT(TRIM(Table1[[#This Row],[Match Date]]),4)),VALUE(MID(TRIM(Table1[[#This Row],[Match Date]]),4,2)),VALUE(LEFT(TRIM(Table1[[#This Row],[Match Date]]),2))))</f>
        <v>45209</v>
      </c>
      <c r="C9" s="12" t="str">
        <f>TRIM(Table1[[#This Row],[City]])</f>
        <v>Hyderabad</v>
      </c>
      <c r="D9" s="12" t="str">
        <f>IF(AND(TRIM(Table1[[#This Row],[Stadium]])="Eden Gardens",TRIM(Table1[[#This Row],[City]])&lt;&gt;"Kolkata"),"Rajiv Gandhi International Stadium",TRIM(Table1[[#This Row],[Stadium]]))</f>
        <v>Rajiv Gandhi International Stadium</v>
      </c>
      <c r="E9" s="12" t="str">
        <f>SUBSTITUTE(Table1[[#This Row],[Team A]],"NewZealand","New Zealand")</f>
        <v>Sri Lanka</v>
      </c>
      <c r="F9" s="12" t="str">
        <f>SUBSTITUTE(Table1[[#This Row],[Team B]],"NewZealand","New Zealand")</f>
        <v>Pakistan</v>
      </c>
      <c r="G9" s="12" t="str">
        <f>SUBSTITUTE(Table1[[#This Row],[Toss Winner]],"NewZealand","New Zealand")</f>
        <v>Sri Lanka</v>
      </c>
      <c r="H9" s="12" t="str">
        <f>SUBSTITUTE(Table1[[#This Row],[Wining Team]],"NewZealand","New Zealand")</f>
        <v>Pakistan</v>
      </c>
      <c r="I9" s="12" t="str">
        <f>TRIM(Table1[[#This Row],[Toss Decision]])</f>
        <v>Bat</v>
      </c>
      <c r="J9" s="12">
        <f>Table1[[#This Row],[Score A]]</f>
        <v>344</v>
      </c>
      <c r="K9" s="12">
        <f>Table1[[#This Row],[Score B]]</f>
        <v>345</v>
      </c>
      <c r="L9" s="12">
        <f>SUM(Calculations_1[[#This Row],[Score A]],Calculations_1[[#This Row],[Score B]])</f>
        <v>689</v>
      </c>
      <c r="M9" s="12">
        <f>SUM(Table1[[#This Row],[Wickets A]],Table1[[#This Row],[Wickets B]])</f>
        <v>13</v>
      </c>
      <c r="N9" s="12">
        <f>SUM(Table1[[#This Row],[4s A]],Table1[[#This Row],[4s B]])</f>
        <v>62</v>
      </c>
      <c r="O9" s="12">
        <f>SUM(Table1[[#This Row],[6s A]],Table1[[#This Row],[6s B]])</f>
        <v>15</v>
      </c>
      <c r="P9" s="12">
        <f>SUM(Calculations_1[[#This Row],[Total 4s (match)]],Calculations_1[[#This Row],[Total 6s (match)]])</f>
        <v>77</v>
      </c>
      <c r="Q9" s="12" t="str">
        <f>TRIM(Table1[[#This Row],[Margin]])</f>
        <v>6 Wickets</v>
      </c>
      <c r="R9" s="12">
        <f>VALUE(LEFT(Calculations_1[[#This Row],[Margin (text)]],FIND(" ",Calculations_1[[#This Row],[Margin (text)]])-1))</f>
        <v>6</v>
      </c>
      <c r="S9" s="12" t="str">
        <f>IF(ISNUMBER(SEARCH("DLS",Calculations_1[[#This Row],[Margin (text)]])),"Runs (DLS) Method",IF(ISNUMBER(SEARCH("run",Calculations_1[[#This Row],[Margin (text)]])),"Runs","Wickets"))</f>
        <v>Wickets</v>
      </c>
      <c r="T9" s="12" t="str">
        <f>IF(Calculations_1[[#This Row],[Winning Margin Type]]="Wickets","Chasing Won",IF(Calculations_1[[#This Row],[Winning Margin Type]]="Runs","Batting First Won","DLS Result"))</f>
        <v>Chasing Won</v>
      </c>
      <c r="U9" s="12">
        <f>IF(Calculations_1[[#This Row],[Toss Winner]]=Calculations_1[[#This Row],[Winning Team]],1,0)</f>
        <v>0</v>
      </c>
      <c r="V9" s="12" t="str">
        <f>IF(Calculations_1[[#This Row],[Toss Winner Won Match (1/0)]]=1,"Toss Winner Won","Toss Winner Lost")</f>
        <v>Toss Winner Lost</v>
      </c>
      <c r="W9" s="12" t="str">
        <f>TRIM(Table1[[#This Row],[Man of the Match]])</f>
        <v>Mohammad Rizwan</v>
      </c>
      <c r="X9" s="12" t="str" cm="1">
        <f t="array" ref="X9">IF(Calculations_1[[#This Row],[Winning Margin Type]]="Runs",_xlfn.IFS(Calculations_1[[#This Row],[Margin Value]]&lt;=50,"1-50",Calculations_1[[#This Row],[Margin Value]]&lt;=100,"51-100",Calculations_1[[#This Row],[Margin Value]]&lt;=150,"101-150",Calculations_1[[#This Row],[Margin Value]]&lt;=200,"151-200",TRUE,"201+"),"")</f>
        <v/>
      </c>
      <c r="Y9" s="12" t="str" cm="1">
        <f t="array" ref="Y9">IF(Calculations_1[[#This Row],[Winning Margin Type]]="Wickets",_xlfn.IFS(Calculations_1[[#This Row],[Margin Value]]&lt;=3,"1-3",Calculations_1[[#This Row],[Margin Value]]&lt;=6,"4-6",Calculations_1[[#This Row],[Margin Value]]&lt;=10,"7-10"),"")</f>
        <v>4-6</v>
      </c>
      <c r="AA9" s="12">
        <v>4</v>
      </c>
      <c r="AB9" s="22">
        <v>45206</v>
      </c>
      <c r="AC9" s="12" t="s">
        <v>76</v>
      </c>
      <c r="AD9" s="12" t="s">
        <v>75</v>
      </c>
      <c r="AE9" s="12" t="s">
        <v>73</v>
      </c>
      <c r="AF9" s="12" t="s">
        <v>74</v>
      </c>
      <c r="AG9" s="12" t="s">
        <v>202</v>
      </c>
      <c r="AH9" s="12" t="s">
        <v>203</v>
      </c>
      <c r="AI9" s="12">
        <v>326</v>
      </c>
      <c r="AJ9" s="32" cm="1">
        <f t="array" ref="AJ9">_xlfn.XLOOKUP(
1,
(Table354[Match ID]=Table354[[#This Row],[Match ID]])*
(Table354[Team]=Table354[[#This Row],[Opponent]]),
Table354[Wickets Lost (batting)]
)</f>
        <v>5</v>
      </c>
      <c r="AK9" s="12">
        <v>10</v>
      </c>
      <c r="AL9" s="12">
        <v>44.5</v>
      </c>
      <c r="AM9" s="12">
        <v>1</v>
      </c>
      <c r="AN9" s="12">
        <v>31</v>
      </c>
      <c r="AO9" s="12">
        <v>17</v>
      </c>
      <c r="AP9" s="12">
        <v>48</v>
      </c>
      <c r="AQ9" s="12">
        <v>7.27</v>
      </c>
      <c r="AR9" s="12" t="str">
        <f>_xlfn.XLOOKUP(Table354[[#This Row],[Match ID]],Calculations_1[Match ID],Calculations_1[Winning Team])</f>
        <v>South Africa</v>
      </c>
      <c r="AS9" s="12">
        <v>0</v>
      </c>
      <c r="AT9" s="12">
        <v>21</v>
      </c>
      <c r="AU9" s="12">
        <v>1</v>
      </c>
      <c r="AV9" s="12">
        <v>23</v>
      </c>
      <c r="AW9" s="12">
        <f>1</f>
        <v>1</v>
      </c>
      <c r="AX9" s="12">
        <f>IF(Table354[[#This Row],[Team]]=_xlfn.XLOOKUP(Table354[[#This Row],[Match ID]],Calculations_1[Match ID],Calculations_1[Winning Team]),1,0)</f>
        <v>0</v>
      </c>
      <c r="AY9" s="12">
        <f>IF(NOT(Table354[[#This Row],[Win(1/0)]]),1,0)</f>
        <v>1</v>
      </c>
      <c r="AZ9" s="12" t="str">
        <f>IF(Table354[[#This Row],[Win(1/0)]]=1,"Win","Loss")</f>
        <v>Loss</v>
      </c>
      <c r="BA9" s="12">
        <f>IF(Table354[[#This Row],[Team]]=_xlfn.XLOOKUP(Table354[[#This Row],[Match ID]],Calculations_1[Match ID],Calculations_1[Toss Winner]),1,0)</f>
        <v>1</v>
      </c>
      <c r="BB9" s="12">
        <f>Table354[[#This Row],[Win(1/0)]]*Table354[[#This Row],[Toss Won (1/0)]]</f>
        <v>0</v>
      </c>
      <c r="BC9" s="12" t="str" cm="1">
        <f t="array" ref="BC9">_xlfn.XLOOKUP(Table354[[#This Row],[Match ID]],Calculations_1[Match ID],Calculations_1[Toss Decision],NA,0)</f>
        <v>Field</v>
      </c>
    </row>
    <row r="10" spans="1:55" x14ac:dyDescent="0.3">
      <c r="A10" s="12">
        <v>9</v>
      </c>
      <c r="B10" s="23">
        <f>IF(ISNUMBER(Table1[[#This Row],[Match Date]]),DATE(YEAR(Table1[[#This Row],[Match Date]]),DAY(Table1[[#This Row],[Match Date]]),MONTH(Table1[[#This Row],[Match Date]])),DATE(VALUE(RIGHT(TRIM(Table1[[#This Row],[Match Date]]),4)),VALUE(MID(TRIM(Table1[[#This Row],[Match Date]]),4,2)),VALUE(LEFT(TRIM(Table1[[#This Row],[Match Date]]),2))))</f>
        <v>45210</v>
      </c>
      <c r="C10" s="12" t="str">
        <f>TRIM(Table1[[#This Row],[City]])</f>
        <v>Delhi</v>
      </c>
      <c r="D10" s="12" t="str">
        <f>IF(AND(TRIM(Table1[[#This Row],[Stadium]])="Eden Gardens",TRIM(Table1[[#This Row],[City]])&lt;&gt;"Kolkata"),"Rajiv Gandhi International Stadium",TRIM(Table1[[#This Row],[Stadium]]))</f>
        <v>Arun Jaitley Stadium</v>
      </c>
      <c r="E10" s="12" t="str">
        <f>SUBSTITUTE(Table1[[#This Row],[Team A]],"NewZealand","New Zealand")</f>
        <v>Afghanistan</v>
      </c>
      <c r="F10" s="12" t="str">
        <f>SUBSTITUTE(Table1[[#This Row],[Team B]],"NewZealand","New Zealand")</f>
        <v>India</v>
      </c>
      <c r="G10" s="12" t="str">
        <f>SUBSTITUTE(Table1[[#This Row],[Toss Winner]],"NewZealand","New Zealand")</f>
        <v>Afghanistan</v>
      </c>
      <c r="H10" s="12" t="str">
        <f>SUBSTITUTE(Table1[[#This Row],[Wining Team]],"NewZealand","New Zealand")</f>
        <v>India</v>
      </c>
      <c r="I10" s="12" t="str">
        <f>TRIM(Table1[[#This Row],[Toss Decision]])</f>
        <v>Bat</v>
      </c>
      <c r="J10" s="12">
        <f>Table1[[#This Row],[Score A]]</f>
        <v>272</v>
      </c>
      <c r="K10" s="12">
        <f>Table1[[#This Row],[Score B]]</f>
        <v>273</v>
      </c>
      <c r="L10" s="12">
        <f>SUM(Calculations_1[[#This Row],[Score A]],Calculations_1[[#This Row],[Score B]])</f>
        <v>545</v>
      </c>
      <c r="M10" s="12">
        <f>SUM(Table1[[#This Row],[Wickets A]],Table1[[#This Row],[Wickets B]])</f>
        <v>10</v>
      </c>
      <c r="N10" s="12">
        <f>SUM(Table1[[#This Row],[4s A]],Table1[[#This Row],[4s B]])</f>
        <v>53</v>
      </c>
      <c r="O10" s="12">
        <f>SUM(Table1[[#This Row],[6s A]],Table1[[#This Row],[6s B]])</f>
        <v>15</v>
      </c>
      <c r="P10" s="12">
        <f>SUM(Calculations_1[[#This Row],[Total 4s (match)]],Calculations_1[[#This Row],[Total 6s (match)]])</f>
        <v>68</v>
      </c>
      <c r="Q10" s="12" t="str">
        <f>TRIM(Table1[[#This Row],[Margin]])</f>
        <v>8 Wickets</v>
      </c>
      <c r="R10" s="12">
        <f>VALUE(LEFT(Calculations_1[[#This Row],[Margin (text)]],FIND(" ",Calculations_1[[#This Row],[Margin (text)]])-1))</f>
        <v>8</v>
      </c>
      <c r="S10" s="12" t="str">
        <f>IF(ISNUMBER(SEARCH("DLS",Calculations_1[[#This Row],[Margin (text)]])),"Runs (DLS) Method",IF(ISNUMBER(SEARCH("run",Calculations_1[[#This Row],[Margin (text)]])),"Runs","Wickets"))</f>
        <v>Wickets</v>
      </c>
      <c r="T10" s="12" t="str">
        <f>IF(Calculations_1[[#This Row],[Winning Margin Type]]="Wickets","Chasing Won",IF(Calculations_1[[#This Row],[Winning Margin Type]]="Runs","Batting First Won","DLS Result"))</f>
        <v>Chasing Won</v>
      </c>
      <c r="U10" s="12">
        <f>IF(Calculations_1[[#This Row],[Toss Winner]]=Calculations_1[[#This Row],[Winning Team]],1,0)</f>
        <v>0</v>
      </c>
      <c r="V10" s="12" t="str">
        <f>IF(Calculations_1[[#This Row],[Toss Winner Won Match (1/0)]]=1,"Toss Winner Won","Toss Winner Lost")</f>
        <v>Toss Winner Lost</v>
      </c>
      <c r="W10" s="12" t="str">
        <f>TRIM(Table1[[#This Row],[Man of the Match]])</f>
        <v>Rohit Sharma</v>
      </c>
      <c r="X10" s="12" t="str" cm="1">
        <f t="array" ref="X10">IF(Calculations_1[[#This Row],[Winning Margin Type]]="Runs",_xlfn.IFS(Calculations_1[[#This Row],[Margin Value]]&lt;=50,"1-50",Calculations_1[[#This Row],[Margin Value]]&lt;=100,"51-100",Calculations_1[[#This Row],[Margin Value]]&lt;=150,"101-150",Calculations_1[[#This Row],[Margin Value]]&lt;=200,"151-200",TRUE,"201+"),"")</f>
        <v/>
      </c>
      <c r="Y10" s="12" t="str" cm="1">
        <f t="array" ref="Y10">IF(Calculations_1[[#This Row],[Winning Margin Type]]="Wickets",_xlfn.IFS(Calculations_1[[#This Row],[Margin Value]]&lt;=3,"1-3",Calculations_1[[#This Row],[Margin Value]]&lt;=6,"4-6",Calculations_1[[#This Row],[Margin Value]]&lt;=10,"7-10"),"")</f>
        <v>7-10</v>
      </c>
      <c r="AA10" s="12">
        <v>5</v>
      </c>
      <c r="AB10" s="22">
        <v>45207</v>
      </c>
      <c r="AC10" s="12" t="s">
        <v>84</v>
      </c>
      <c r="AD10" s="12" t="s">
        <v>85</v>
      </c>
      <c r="AE10" s="12" t="s">
        <v>82</v>
      </c>
      <c r="AF10" s="12" t="s">
        <v>83</v>
      </c>
      <c r="AG10" s="12" t="s">
        <v>201</v>
      </c>
      <c r="AH10" s="12" t="s">
        <v>195</v>
      </c>
      <c r="AI10" s="12">
        <v>199</v>
      </c>
      <c r="AJ10" s="32" cm="1">
        <f t="array" ref="AJ10">_xlfn.XLOOKUP(
1,
(Table354[Match ID]=Table354[[#This Row],[Match ID]])*
(Table354[Team]=Table354[[#This Row],[Opponent]]),
Table354[Wickets Lost (batting)]
)</f>
        <v>4</v>
      </c>
      <c r="AK10" s="12">
        <v>10</v>
      </c>
      <c r="AL10" s="12">
        <v>49.3</v>
      </c>
      <c r="AM10" s="12">
        <v>1</v>
      </c>
      <c r="AN10" s="12">
        <v>16</v>
      </c>
      <c r="AO10" s="12">
        <v>2</v>
      </c>
      <c r="AP10" s="12">
        <v>18</v>
      </c>
      <c r="AQ10" s="12">
        <v>4.0199999999999996</v>
      </c>
      <c r="AR10" s="12" t="str">
        <f>_xlfn.XLOOKUP(Table354[[#This Row],[Match ID]],Calculations_1[Match ID],Calculations_1[Winning Team])</f>
        <v>India</v>
      </c>
      <c r="AS10" s="12">
        <v>1</v>
      </c>
      <c r="AT10" s="12">
        <v>5</v>
      </c>
      <c r="AU10" s="12">
        <v>1</v>
      </c>
      <c r="AV10" s="12">
        <v>8</v>
      </c>
      <c r="AW10" s="12">
        <f>1</f>
        <v>1</v>
      </c>
      <c r="AX10" s="12">
        <f>IF(Table354[[#This Row],[Team]]=_xlfn.XLOOKUP(Table354[[#This Row],[Match ID]],Calculations_1[Match ID],Calculations_1[Winning Team]),1,0)</f>
        <v>0</v>
      </c>
      <c r="AY10" s="12">
        <f>IF(NOT(Table354[[#This Row],[Win(1/0)]]),1,0)</f>
        <v>1</v>
      </c>
      <c r="AZ10" s="12" t="str">
        <f>IF(Table354[[#This Row],[Win(1/0)]]=1,"Win","Loss")</f>
        <v>Loss</v>
      </c>
      <c r="BA10" s="12">
        <f>IF(Table354[[#This Row],[Team]]=_xlfn.XLOOKUP(Table354[[#This Row],[Match ID]],Calculations_1[Match ID],Calculations_1[Toss Winner]),1,0)</f>
        <v>1</v>
      </c>
      <c r="BB10" s="12">
        <f>Table354[[#This Row],[Win(1/0)]]*Table354[[#This Row],[Toss Won (1/0)]]</f>
        <v>0</v>
      </c>
      <c r="BC10" s="12" t="str" cm="1">
        <f t="array" ref="BC10">_xlfn.XLOOKUP(Table354[[#This Row],[Match ID]],Calculations_1[Match ID],Calculations_1[Toss Decision],NA,0)</f>
        <v>Bat</v>
      </c>
    </row>
    <row r="11" spans="1:55" x14ac:dyDescent="0.3">
      <c r="A11" s="12">
        <v>10</v>
      </c>
      <c r="B11" s="23">
        <f>IF(ISNUMBER(Table1[[#This Row],[Match Date]]),DATE(YEAR(Table1[[#This Row],[Match Date]]),DAY(Table1[[#This Row],[Match Date]]),MONTH(Table1[[#This Row],[Match Date]])),DATE(VALUE(RIGHT(TRIM(Table1[[#This Row],[Match Date]]),4)),VALUE(MID(TRIM(Table1[[#This Row],[Match Date]]),4,2)),VALUE(LEFT(TRIM(Table1[[#This Row],[Match Date]]),2))))</f>
        <v>45211</v>
      </c>
      <c r="C11" s="12" t="str">
        <f>TRIM(Table1[[#This Row],[City]])</f>
        <v>Lucknow</v>
      </c>
      <c r="D11" s="12" t="str">
        <f>IF(AND(TRIM(Table1[[#This Row],[Stadium]])="Eden Gardens",TRIM(Table1[[#This Row],[City]])&lt;&gt;"Kolkata"),"Rajiv Gandhi International Stadium",TRIM(Table1[[#This Row],[Stadium]]))</f>
        <v>BRSABV Ekana Cricket Stadium</v>
      </c>
      <c r="E11" s="12" t="str">
        <f>SUBSTITUTE(Table1[[#This Row],[Team A]],"NewZealand","New Zealand")</f>
        <v>South Africa</v>
      </c>
      <c r="F11" s="12" t="str">
        <f>SUBSTITUTE(Table1[[#This Row],[Team B]],"NewZealand","New Zealand")</f>
        <v>Australia</v>
      </c>
      <c r="G11" s="12" t="str">
        <f>SUBSTITUTE(Table1[[#This Row],[Toss Winner]],"NewZealand","New Zealand")</f>
        <v>Australia</v>
      </c>
      <c r="H11" s="12" t="str">
        <f>SUBSTITUTE(Table1[[#This Row],[Wining Team]],"NewZealand","New Zealand")</f>
        <v>South Africa</v>
      </c>
      <c r="I11" s="12" t="str">
        <f>TRIM(Table1[[#This Row],[Toss Decision]])</f>
        <v>Field</v>
      </c>
      <c r="J11" s="12">
        <f>Table1[[#This Row],[Score A]]</f>
        <v>311</v>
      </c>
      <c r="K11" s="12">
        <f>Table1[[#This Row],[Score B]]</f>
        <v>177</v>
      </c>
      <c r="L11" s="12">
        <f>SUM(Calculations_1[[#This Row],[Score A]],Calculations_1[[#This Row],[Score B]])</f>
        <v>488</v>
      </c>
      <c r="M11" s="12">
        <f>SUM(Table1[[#This Row],[Wickets A]],Table1[[#This Row],[Wickets B]])</f>
        <v>17</v>
      </c>
      <c r="N11" s="12">
        <f>SUM(Table1[[#This Row],[4s A]],Table1[[#This Row],[4s B]])</f>
        <v>45</v>
      </c>
      <c r="O11" s="12">
        <f>SUM(Table1[[#This Row],[6s A]],Table1[[#This Row],[6s B]])</f>
        <v>8</v>
      </c>
      <c r="P11" s="12">
        <f>SUM(Calculations_1[[#This Row],[Total 4s (match)]],Calculations_1[[#This Row],[Total 6s (match)]])</f>
        <v>53</v>
      </c>
      <c r="Q11" s="12" t="str">
        <f>TRIM(Table1[[#This Row],[Margin]])</f>
        <v>134 Runs</v>
      </c>
      <c r="R11" s="12">
        <f>VALUE(LEFT(Calculations_1[[#This Row],[Margin (text)]],FIND(" ",Calculations_1[[#This Row],[Margin (text)]])-1))</f>
        <v>134</v>
      </c>
      <c r="S11" s="12" t="str">
        <f>IF(ISNUMBER(SEARCH("DLS",Calculations_1[[#This Row],[Margin (text)]])),"Runs (DLS) Method",IF(ISNUMBER(SEARCH("run",Calculations_1[[#This Row],[Margin (text)]])),"Runs","Wickets"))</f>
        <v>Runs</v>
      </c>
      <c r="T11" s="12" t="str">
        <f>IF(Calculations_1[[#This Row],[Winning Margin Type]]="Wickets","Chasing Won",IF(Calculations_1[[#This Row],[Winning Margin Type]]="Runs","Batting First Won","DLS Result"))</f>
        <v>Batting First Won</v>
      </c>
      <c r="U11" s="12">
        <f>IF(Calculations_1[[#This Row],[Toss Winner]]=Calculations_1[[#This Row],[Winning Team]],1,0)</f>
        <v>0</v>
      </c>
      <c r="V11" s="12" t="str">
        <f>IF(Calculations_1[[#This Row],[Toss Winner Won Match (1/0)]]=1,"Toss Winner Won","Toss Winner Lost")</f>
        <v>Toss Winner Lost</v>
      </c>
      <c r="W11" s="12" t="str">
        <f>TRIM(Table1[[#This Row],[Man of the Match]])</f>
        <v>Quinton de Kock</v>
      </c>
      <c r="X11" s="12" t="str" cm="1">
        <f t="array" ref="X11">IF(Calculations_1[[#This Row],[Winning Margin Type]]="Runs",_xlfn.IFS(Calculations_1[[#This Row],[Margin Value]]&lt;=50,"1-50",Calculations_1[[#This Row],[Margin Value]]&lt;=100,"51-100",Calculations_1[[#This Row],[Margin Value]]&lt;=150,"101-150",Calculations_1[[#This Row],[Margin Value]]&lt;=200,"151-200",TRUE,"201+"),"")</f>
        <v>101-150</v>
      </c>
      <c r="Y11" s="12" t="str" cm="1">
        <f t="array" ref="Y11">IF(Calculations_1[[#This Row],[Winning Margin Type]]="Wickets",_xlfn.IFS(Calculations_1[[#This Row],[Margin Value]]&lt;=3,"1-3",Calculations_1[[#This Row],[Margin Value]]&lt;=6,"4-6",Calculations_1[[#This Row],[Margin Value]]&lt;=10,"7-10"),"")</f>
        <v/>
      </c>
      <c r="AA11" s="12">
        <v>5</v>
      </c>
      <c r="AB11" s="22">
        <v>45207</v>
      </c>
      <c r="AC11" s="12" t="s">
        <v>85</v>
      </c>
      <c r="AD11" s="12" t="s">
        <v>84</v>
      </c>
      <c r="AE11" s="12" t="s">
        <v>82</v>
      </c>
      <c r="AF11" s="12" t="s">
        <v>83</v>
      </c>
      <c r="AG11" s="12" t="s">
        <v>201</v>
      </c>
      <c r="AH11" s="12" t="s">
        <v>195</v>
      </c>
      <c r="AI11" s="12">
        <v>201</v>
      </c>
      <c r="AJ11" s="32" cm="1">
        <f t="array" ref="AJ11">_xlfn.XLOOKUP(
1,
(Table354[Match ID]=Table354[[#This Row],[Match ID]])*
(Table354[Team]=Table354[[#This Row],[Opponent]]),
Table354[Wickets Lost (batting)]
)</f>
        <v>10</v>
      </c>
      <c r="AK11" s="12">
        <v>4</v>
      </c>
      <c r="AL11" s="12">
        <v>41.2</v>
      </c>
      <c r="AM11" s="12">
        <v>4</v>
      </c>
      <c r="AN11" s="12">
        <v>14</v>
      </c>
      <c r="AO11" s="12">
        <v>3</v>
      </c>
      <c r="AP11" s="12">
        <v>17</v>
      </c>
      <c r="AQ11" s="12">
        <v>4.8600000000000003</v>
      </c>
      <c r="AR11" s="12" t="str">
        <f>_xlfn.XLOOKUP(Table354[[#This Row],[Match ID]],Calculations_1[Match ID],Calculations_1[Winning Team])</f>
        <v>India</v>
      </c>
      <c r="AS11" s="12">
        <v>0</v>
      </c>
      <c r="AT11" s="12">
        <v>6</v>
      </c>
      <c r="AU11" s="12">
        <v>0</v>
      </c>
      <c r="AV11" s="12">
        <v>12</v>
      </c>
      <c r="AW11" s="12">
        <f>1</f>
        <v>1</v>
      </c>
      <c r="AX11" s="12">
        <f>IF(Table354[[#This Row],[Team]]=_xlfn.XLOOKUP(Table354[[#This Row],[Match ID]],Calculations_1[Match ID],Calculations_1[Winning Team]),1,0)</f>
        <v>1</v>
      </c>
      <c r="AY11" s="12">
        <f>IF(NOT(Table354[[#This Row],[Win(1/0)]]),1,0)</f>
        <v>0</v>
      </c>
      <c r="AZ11" s="12" t="str">
        <f>IF(Table354[[#This Row],[Win(1/0)]]=1,"Win","Loss")</f>
        <v>Win</v>
      </c>
      <c r="BA11" s="12">
        <f>IF(Table354[[#This Row],[Team]]=_xlfn.XLOOKUP(Table354[[#This Row],[Match ID]],Calculations_1[Match ID],Calculations_1[Toss Winner]),1,0)</f>
        <v>0</v>
      </c>
      <c r="BB11" s="12">
        <f>Table354[[#This Row],[Win(1/0)]]*Table354[[#This Row],[Toss Won (1/0)]]</f>
        <v>0</v>
      </c>
      <c r="BC11" s="12" t="str" cm="1">
        <f t="array" ref="BC11">_xlfn.XLOOKUP(Table354[[#This Row],[Match ID]],Calculations_1[Match ID],Calculations_1[Toss Decision],NA,0)</f>
        <v>Bat</v>
      </c>
    </row>
    <row r="12" spans="1:55" x14ac:dyDescent="0.3">
      <c r="A12" s="12">
        <v>11</v>
      </c>
      <c r="B12" s="23">
        <f>IF(ISNUMBER(Table1[[#This Row],[Match Date]]),DATE(YEAR(Table1[[#This Row],[Match Date]]),DAY(Table1[[#This Row],[Match Date]]),MONTH(Table1[[#This Row],[Match Date]])),DATE(VALUE(RIGHT(TRIM(Table1[[#This Row],[Match Date]]),4)),VALUE(MID(TRIM(Table1[[#This Row],[Match Date]]),4,2)),VALUE(LEFT(TRIM(Table1[[#This Row],[Match Date]]),2))))</f>
        <v>45212</v>
      </c>
      <c r="C12" s="12" t="str">
        <f>TRIM(Table1[[#This Row],[City]])</f>
        <v>Chennai</v>
      </c>
      <c r="D12" s="12" t="str">
        <f>IF(AND(TRIM(Table1[[#This Row],[Stadium]])="Eden Gardens",TRIM(Table1[[#This Row],[City]])&lt;&gt;"Kolkata"),"Rajiv Gandhi International Stadium",TRIM(Table1[[#This Row],[Stadium]]))</f>
        <v>M. A. Chidambaram Stadium</v>
      </c>
      <c r="E12" s="12" t="str">
        <f>SUBSTITUTE(Table1[[#This Row],[Team A]],"NewZealand","New Zealand")</f>
        <v>Bangladesh</v>
      </c>
      <c r="F12" s="12" t="str">
        <f>SUBSTITUTE(Table1[[#This Row],[Team B]],"NewZealand","New Zealand")</f>
        <v>New Zealand</v>
      </c>
      <c r="G12" s="12" t="str">
        <f>SUBSTITUTE(Table1[[#This Row],[Toss Winner]],"NewZealand","New Zealand")</f>
        <v>New Zealand</v>
      </c>
      <c r="H12" s="12" t="str">
        <f>SUBSTITUTE(Table1[[#This Row],[Wining Team]],"NewZealand","New Zealand")</f>
        <v>New Zealand</v>
      </c>
      <c r="I12" s="12" t="str">
        <f>TRIM(Table1[[#This Row],[Toss Decision]])</f>
        <v>Field</v>
      </c>
      <c r="J12" s="12">
        <f>Table1[[#This Row],[Score A]]</f>
        <v>245</v>
      </c>
      <c r="K12" s="12">
        <f>Table1[[#This Row],[Score B]]</f>
        <v>248</v>
      </c>
      <c r="L12" s="12">
        <f>SUM(Calculations_1[[#This Row],[Score A]],Calculations_1[[#This Row],[Score B]])</f>
        <v>493</v>
      </c>
      <c r="M12" s="12">
        <f>SUM(Table1[[#This Row],[Wickets A]],Table1[[#This Row],[Wickets B]])</f>
        <v>11</v>
      </c>
      <c r="N12" s="12">
        <f>SUM(Table1[[#This Row],[4s A]],Table1[[#This Row],[4s B]])</f>
        <v>40</v>
      </c>
      <c r="O12" s="12">
        <f>SUM(Table1[[#This Row],[6s A]],Table1[[#This Row],[6s B]])</f>
        <v>14</v>
      </c>
      <c r="P12" s="12">
        <f>SUM(Calculations_1[[#This Row],[Total 4s (match)]],Calculations_1[[#This Row],[Total 6s (match)]])</f>
        <v>54</v>
      </c>
      <c r="Q12" s="12" t="str">
        <f>TRIM(Table1[[#This Row],[Margin]])</f>
        <v>8 Wickets</v>
      </c>
      <c r="R12" s="12">
        <f>VALUE(LEFT(Calculations_1[[#This Row],[Margin (text)]],FIND(" ",Calculations_1[[#This Row],[Margin (text)]])-1))</f>
        <v>8</v>
      </c>
      <c r="S12" s="12" t="str">
        <f>IF(ISNUMBER(SEARCH("DLS",Calculations_1[[#This Row],[Margin (text)]])),"Runs (DLS) Method",IF(ISNUMBER(SEARCH("run",Calculations_1[[#This Row],[Margin (text)]])),"Runs","Wickets"))</f>
        <v>Wickets</v>
      </c>
      <c r="T12" s="12" t="str">
        <f>IF(Calculations_1[[#This Row],[Winning Margin Type]]="Wickets","Chasing Won",IF(Calculations_1[[#This Row],[Winning Margin Type]]="Runs","Batting First Won","DLS Result"))</f>
        <v>Chasing Won</v>
      </c>
      <c r="U12" s="12">
        <f>IF(Calculations_1[[#This Row],[Toss Winner]]=Calculations_1[[#This Row],[Winning Team]],1,0)</f>
        <v>1</v>
      </c>
      <c r="V12" s="12" t="str">
        <f>IF(Calculations_1[[#This Row],[Toss Winner Won Match (1/0)]]=1,"Toss Winner Won","Toss Winner Lost")</f>
        <v>Toss Winner Won</v>
      </c>
      <c r="W12" s="12" t="str">
        <f>TRIM(Table1[[#This Row],[Man of the Match]])</f>
        <v>Lockie Ferguson</v>
      </c>
      <c r="X12" s="12" t="str" cm="1">
        <f t="array" ref="X12">IF(Calculations_1[[#This Row],[Winning Margin Type]]="Runs",_xlfn.IFS(Calculations_1[[#This Row],[Margin Value]]&lt;=50,"1-50",Calculations_1[[#This Row],[Margin Value]]&lt;=100,"51-100",Calculations_1[[#This Row],[Margin Value]]&lt;=150,"101-150",Calculations_1[[#This Row],[Margin Value]]&lt;=200,"151-200",TRUE,"201+"),"")</f>
        <v/>
      </c>
      <c r="Y12" s="12" t="str" cm="1">
        <f t="array" ref="Y12">IF(Calculations_1[[#This Row],[Winning Margin Type]]="Wickets",_xlfn.IFS(Calculations_1[[#This Row],[Margin Value]]&lt;=3,"1-3",Calculations_1[[#This Row],[Margin Value]]&lt;=6,"4-6",Calculations_1[[#This Row],[Margin Value]]&lt;=10,"7-10"),"")</f>
        <v>7-10</v>
      </c>
      <c r="AA12" s="12">
        <v>6</v>
      </c>
      <c r="AB12" s="22">
        <v>45208</v>
      </c>
      <c r="AC12" s="12" t="s">
        <v>200</v>
      </c>
      <c r="AD12" s="12" t="s">
        <v>57</v>
      </c>
      <c r="AE12" s="12" t="s">
        <v>54</v>
      </c>
      <c r="AF12" s="12" t="s">
        <v>92</v>
      </c>
      <c r="AG12" s="12" t="s">
        <v>202</v>
      </c>
      <c r="AH12" s="12" t="s">
        <v>203</v>
      </c>
      <c r="AI12" s="12">
        <v>322</v>
      </c>
      <c r="AJ12" s="32" cm="1">
        <f t="array" ref="AJ12">_xlfn.XLOOKUP(
1,
(Table354[Match ID]=Table354[[#This Row],[Match ID]])*
(Table354[Team]=Table354[[#This Row],[Opponent]]),
Table354[Wickets Lost (batting)]
)</f>
        <v>10</v>
      </c>
      <c r="AK12" s="12">
        <v>7</v>
      </c>
      <c r="AL12" s="12">
        <v>50</v>
      </c>
      <c r="AM12" s="12">
        <v>0</v>
      </c>
      <c r="AN12" s="12">
        <v>30</v>
      </c>
      <c r="AO12" s="12">
        <v>10</v>
      </c>
      <c r="AP12" s="12">
        <v>40</v>
      </c>
      <c r="AQ12" s="12">
        <v>6.44</v>
      </c>
      <c r="AR12" s="12" t="str">
        <f>_xlfn.XLOOKUP(Table354[[#This Row],[Match ID]],Calculations_1[Match ID],Calculations_1[Winning Team])</f>
        <v>New Zealand</v>
      </c>
      <c r="AS12" s="12">
        <v>0</v>
      </c>
      <c r="AT12" s="12">
        <v>2</v>
      </c>
      <c r="AU12" s="12">
        <v>1</v>
      </c>
      <c r="AV12" s="12">
        <v>4</v>
      </c>
      <c r="AW12" s="12">
        <f>1</f>
        <v>1</v>
      </c>
      <c r="AX12" s="12">
        <f>IF(Table354[[#This Row],[Team]]=_xlfn.XLOOKUP(Table354[[#This Row],[Match ID]],Calculations_1[Match ID],Calculations_1[Winning Team]),1,0)</f>
        <v>1</v>
      </c>
      <c r="AY12" s="12">
        <f>IF(NOT(Table354[[#This Row],[Win(1/0)]]),1,0)</f>
        <v>0</v>
      </c>
      <c r="AZ12" s="12" t="str">
        <f>IF(Table354[[#This Row],[Win(1/0)]]=1,"Win","Loss")</f>
        <v>Win</v>
      </c>
      <c r="BA12" s="12">
        <f>IF(Table354[[#This Row],[Team]]=_xlfn.XLOOKUP(Table354[[#This Row],[Match ID]],Calculations_1[Match ID],Calculations_1[Toss Winner]),1,0)</f>
        <v>0</v>
      </c>
      <c r="BB12" s="12">
        <f>Table354[[#This Row],[Win(1/0)]]*Table354[[#This Row],[Toss Won (1/0)]]</f>
        <v>0</v>
      </c>
      <c r="BC12" s="12" t="str" cm="1">
        <f t="array" ref="BC12">_xlfn.XLOOKUP(Table354[[#This Row],[Match ID]],Calculations_1[Match ID],Calculations_1[Toss Decision],NA,0)</f>
        <v>Field</v>
      </c>
    </row>
    <row r="13" spans="1:55" x14ac:dyDescent="0.3">
      <c r="A13" s="12">
        <v>12</v>
      </c>
      <c r="B13" s="23">
        <f>IF(ISNUMBER(Table1[[#This Row],[Match Date]]),DATE(YEAR(Table1[[#This Row],[Match Date]]),DAY(Table1[[#This Row],[Match Date]]),MONTH(Table1[[#This Row],[Match Date]])),DATE(VALUE(RIGHT(TRIM(Table1[[#This Row],[Match Date]]),4)),VALUE(MID(TRIM(Table1[[#This Row],[Match Date]]),4,2)),VALUE(LEFT(TRIM(Table1[[#This Row],[Match Date]]),2))))</f>
        <v>45213</v>
      </c>
      <c r="C13" s="12" t="str">
        <f>TRIM(Table1[[#This Row],[City]])</f>
        <v>Ahmedabad</v>
      </c>
      <c r="D13" s="12" t="str">
        <f>IF(AND(TRIM(Table1[[#This Row],[Stadium]])="Eden Gardens",TRIM(Table1[[#This Row],[City]])&lt;&gt;"Kolkata"),"Rajiv Gandhi International Stadium",TRIM(Table1[[#This Row],[Stadium]]))</f>
        <v>Narendra Modi Stadium</v>
      </c>
      <c r="E13" s="12" t="str">
        <f>SUBSTITUTE(Table1[[#This Row],[Team A]],"NewZealand","New Zealand")</f>
        <v>Pakistan</v>
      </c>
      <c r="F13" s="12" t="str">
        <f>SUBSTITUTE(Table1[[#This Row],[Team B]],"NewZealand","New Zealand")</f>
        <v>India</v>
      </c>
      <c r="G13" s="12" t="str">
        <f>SUBSTITUTE(Table1[[#This Row],[Toss Winner]],"NewZealand","New Zealand")</f>
        <v>India</v>
      </c>
      <c r="H13" s="12" t="str">
        <f>SUBSTITUTE(Table1[[#This Row],[Wining Team]],"NewZealand","New Zealand")</f>
        <v>India</v>
      </c>
      <c r="I13" s="12" t="str">
        <f>TRIM(Table1[[#This Row],[Toss Decision]])</f>
        <v>Field</v>
      </c>
      <c r="J13" s="12">
        <f>Table1[[#This Row],[Score A]]</f>
        <v>191</v>
      </c>
      <c r="K13" s="12">
        <f>Table1[[#This Row],[Score B]]</f>
        <v>192</v>
      </c>
      <c r="L13" s="12">
        <f>SUM(Calculations_1[[#This Row],[Score A]],Calculations_1[[#This Row],[Score B]])</f>
        <v>383</v>
      </c>
      <c r="M13" s="12">
        <f>SUM(Table1[[#This Row],[Wickets A]],Table1[[#This Row],[Wickets B]])</f>
        <v>13</v>
      </c>
      <c r="N13" s="12">
        <f>SUM(Table1[[#This Row],[4s A]],Table1[[#This Row],[4s B]])</f>
        <v>43</v>
      </c>
      <c r="O13" s="12">
        <f>SUM(Table1[[#This Row],[6s A]],Table1[[#This Row],[6s B]])</f>
        <v>8</v>
      </c>
      <c r="P13" s="12">
        <f>SUM(Calculations_1[[#This Row],[Total 4s (match)]],Calculations_1[[#This Row],[Total 6s (match)]])</f>
        <v>51</v>
      </c>
      <c r="Q13" s="12" t="str">
        <f>TRIM(Table1[[#This Row],[Margin]])</f>
        <v>7 Wickets</v>
      </c>
      <c r="R13" s="12">
        <f>VALUE(LEFT(Calculations_1[[#This Row],[Margin (text)]],FIND(" ",Calculations_1[[#This Row],[Margin (text)]])-1))</f>
        <v>7</v>
      </c>
      <c r="S13" s="12" t="str">
        <f>IF(ISNUMBER(SEARCH("DLS",Calculations_1[[#This Row],[Margin (text)]])),"Runs (DLS) Method",IF(ISNUMBER(SEARCH("run",Calculations_1[[#This Row],[Margin (text)]])),"Runs","Wickets"))</f>
        <v>Wickets</v>
      </c>
      <c r="T13" s="12" t="str">
        <f>IF(Calculations_1[[#This Row],[Winning Margin Type]]="Wickets","Chasing Won",IF(Calculations_1[[#This Row],[Winning Margin Type]]="Runs","Batting First Won","DLS Result"))</f>
        <v>Chasing Won</v>
      </c>
      <c r="U13" s="12">
        <f>IF(Calculations_1[[#This Row],[Toss Winner]]=Calculations_1[[#This Row],[Winning Team]],1,0)</f>
        <v>1</v>
      </c>
      <c r="V13" s="12" t="str">
        <f>IF(Calculations_1[[#This Row],[Toss Winner Won Match (1/0)]]=1,"Toss Winner Won","Toss Winner Lost")</f>
        <v>Toss Winner Won</v>
      </c>
      <c r="W13" s="12" t="str">
        <f>TRIM(Table1[[#This Row],[Man of the Match]])</f>
        <v>Jasprit Bumrah</v>
      </c>
      <c r="X13" s="12" t="str" cm="1">
        <f t="array" ref="X13">IF(Calculations_1[[#This Row],[Winning Margin Type]]="Runs",_xlfn.IFS(Calculations_1[[#This Row],[Margin Value]]&lt;=50,"1-50",Calculations_1[[#This Row],[Margin Value]]&lt;=100,"51-100",Calculations_1[[#This Row],[Margin Value]]&lt;=150,"101-150",Calculations_1[[#This Row],[Margin Value]]&lt;=200,"151-200",TRUE,"201+"),"")</f>
        <v/>
      </c>
      <c r="Y13" s="12" t="str" cm="1">
        <f t="array" ref="Y13">IF(Calculations_1[[#This Row],[Winning Margin Type]]="Wickets",_xlfn.IFS(Calculations_1[[#This Row],[Margin Value]]&lt;=3,"1-3",Calculations_1[[#This Row],[Margin Value]]&lt;=6,"4-6",Calculations_1[[#This Row],[Margin Value]]&lt;=10,"7-10"),"")</f>
        <v>7-10</v>
      </c>
      <c r="AA13" s="12">
        <v>6</v>
      </c>
      <c r="AB13" s="22">
        <v>45208</v>
      </c>
      <c r="AC13" s="12" t="s">
        <v>57</v>
      </c>
      <c r="AD13" s="12" t="s">
        <v>200</v>
      </c>
      <c r="AE13" s="12" t="s">
        <v>54</v>
      </c>
      <c r="AF13" s="12" t="s">
        <v>92</v>
      </c>
      <c r="AG13" s="12" t="s">
        <v>202</v>
      </c>
      <c r="AH13" s="12" t="s">
        <v>203</v>
      </c>
      <c r="AI13" s="12">
        <v>223</v>
      </c>
      <c r="AJ13" s="32" cm="1">
        <f t="array" ref="AJ13">_xlfn.XLOOKUP(
1,
(Table354[Match ID]=Table354[[#This Row],[Match ID]])*
(Table354[Team]=Table354[[#This Row],[Opponent]]),
Table354[Wickets Lost (batting)]
)</f>
        <v>7</v>
      </c>
      <c r="AK13" s="12">
        <v>10</v>
      </c>
      <c r="AL13" s="12">
        <v>46.3</v>
      </c>
      <c r="AM13" s="12">
        <v>3</v>
      </c>
      <c r="AN13" s="12">
        <v>19</v>
      </c>
      <c r="AO13" s="12">
        <v>3</v>
      </c>
      <c r="AP13" s="12">
        <v>22</v>
      </c>
      <c r="AQ13" s="12">
        <v>4.79</v>
      </c>
      <c r="AR13" s="12" t="str">
        <f>_xlfn.XLOOKUP(Table354[[#This Row],[Match ID]],Calculations_1[Match ID],Calculations_1[Winning Team])</f>
        <v>New Zealand</v>
      </c>
      <c r="AS13" s="12">
        <v>0</v>
      </c>
      <c r="AT13" s="12">
        <v>8</v>
      </c>
      <c r="AU13" s="12">
        <v>2</v>
      </c>
      <c r="AV13" s="12">
        <v>13</v>
      </c>
      <c r="AW13" s="12">
        <f>1</f>
        <v>1</v>
      </c>
      <c r="AX13" s="12">
        <f>IF(Table354[[#This Row],[Team]]=_xlfn.XLOOKUP(Table354[[#This Row],[Match ID]],Calculations_1[Match ID],Calculations_1[Winning Team]),1,0)</f>
        <v>0</v>
      </c>
      <c r="AY13" s="12">
        <f>IF(NOT(Table354[[#This Row],[Win(1/0)]]),1,0)</f>
        <v>1</v>
      </c>
      <c r="AZ13" s="12" t="str">
        <f>IF(Table354[[#This Row],[Win(1/0)]]=1,"Win","Loss")</f>
        <v>Loss</v>
      </c>
      <c r="BA13" s="12">
        <f>IF(Table354[[#This Row],[Team]]=_xlfn.XLOOKUP(Table354[[#This Row],[Match ID]],Calculations_1[Match ID],Calculations_1[Toss Winner]),1,0)</f>
        <v>1</v>
      </c>
      <c r="BB13" s="12">
        <f>Table354[[#This Row],[Win(1/0)]]*Table354[[#This Row],[Toss Won (1/0)]]</f>
        <v>0</v>
      </c>
      <c r="BC13" s="12" t="str" cm="1">
        <f t="array" ref="BC13">_xlfn.XLOOKUP(Table354[[#This Row],[Match ID]],Calculations_1[Match ID],Calculations_1[Toss Decision],NA,0)</f>
        <v>Field</v>
      </c>
    </row>
    <row r="14" spans="1:55" x14ac:dyDescent="0.3">
      <c r="A14" s="12">
        <v>13</v>
      </c>
      <c r="B14" s="23">
        <f>IF(ISNUMBER(Table1[[#This Row],[Match Date]]),DATE(YEAR(Table1[[#This Row],[Match Date]]),DAY(Table1[[#This Row],[Match Date]]),MONTH(Table1[[#This Row],[Match Date]])),DATE(VALUE(RIGHT(TRIM(Table1[[#This Row],[Match Date]]),4)),VALUE(MID(TRIM(Table1[[#This Row],[Match Date]]),4,2)),VALUE(LEFT(TRIM(Table1[[#This Row],[Match Date]]),2))))</f>
        <v>45214</v>
      </c>
      <c r="C14" s="12" t="str">
        <f>TRIM(Table1[[#This Row],[City]])</f>
        <v>Delhi</v>
      </c>
      <c r="D14" s="12" t="str">
        <f>IF(AND(TRIM(Table1[[#This Row],[Stadium]])="Eden Gardens",TRIM(Table1[[#This Row],[City]])&lt;&gt;"Kolkata"),"Rajiv Gandhi International Stadium",TRIM(Table1[[#This Row],[Stadium]]))</f>
        <v>Arun Jaitley Stadium</v>
      </c>
      <c r="E14" s="12" t="str">
        <f>SUBSTITUTE(Table1[[#This Row],[Team A]],"NewZealand","New Zealand")</f>
        <v>Afghanistan</v>
      </c>
      <c r="F14" s="12" t="str">
        <f>SUBSTITUTE(Table1[[#This Row],[Team B]],"NewZealand","New Zealand")</f>
        <v>England</v>
      </c>
      <c r="G14" s="12" t="str">
        <f>SUBSTITUTE(Table1[[#This Row],[Toss Winner]],"NewZealand","New Zealand")</f>
        <v>England</v>
      </c>
      <c r="H14" s="12" t="str">
        <f>SUBSTITUTE(Table1[[#This Row],[Wining Team]],"NewZealand","New Zealand")</f>
        <v>Afghanistan</v>
      </c>
      <c r="I14" s="12" t="str">
        <f>TRIM(Table1[[#This Row],[Toss Decision]])</f>
        <v>Field</v>
      </c>
      <c r="J14" s="12">
        <f>Table1[[#This Row],[Score A]]</f>
        <v>284</v>
      </c>
      <c r="K14" s="12">
        <f>Table1[[#This Row],[Score B]]</f>
        <v>215</v>
      </c>
      <c r="L14" s="12">
        <f>SUM(Calculations_1[[#This Row],[Score A]],Calculations_1[[#This Row],[Score B]])</f>
        <v>499</v>
      </c>
      <c r="M14" s="12">
        <f>SUM(Table1[[#This Row],[Wickets A]],Table1[[#This Row],[Wickets B]])</f>
        <v>20</v>
      </c>
      <c r="N14" s="12">
        <f>SUM(Table1[[#This Row],[4s A]],Table1[[#This Row],[4s B]])</f>
        <v>47</v>
      </c>
      <c r="O14" s="12">
        <f>SUM(Table1[[#This Row],[6s A]],Table1[[#This Row],[6s B]])</f>
        <v>9</v>
      </c>
      <c r="P14" s="12">
        <f>SUM(Calculations_1[[#This Row],[Total 4s (match)]],Calculations_1[[#This Row],[Total 6s (match)]])</f>
        <v>56</v>
      </c>
      <c r="Q14" s="12" t="str">
        <f>TRIM(Table1[[#This Row],[Margin]])</f>
        <v>69 Runs</v>
      </c>
      <c r="R14" s="12">
        <f>VALUE(LEFT(Calculations_1[[#This Row],[Margin (text)]],FIND(" ",Calculations_1[[#This Row],[Margin (text)]])-1))</f>
        <v>69</v>
      </c>
      <c r="S14" s="12" t="str">
        <f>IF(ISNUMBER(SEARCH("DLS",Calculations_1[[#This Row],[Margin (text)]])),"Runs (DLS) Method",IF(ISNUMBER(SEARCH("run",Calculations_1[[#This Row],[Margin (text)]])),"Runs","Wickets"))</f>
        <v>Runs</v>
      </c>
      <c r="T14" s="12" t="str">
        <f>IF(Calculations_1[[#This Row],[Winning Margin Type]]="Wickets","Chasing Won",IF(Calculations_1[[#This Row],[Winning Margin Type]]="Runs","Batting First Won","DLS Result"))</f>
        <v>Batting First Won</v>
      </c>
      <c r="U14" s="12">
        <f>IF(Calculations_1[[#This Row],[Toss Winner]]=Calculations_1[[#This Row],[Winning Team]],1,0)</f>
        <v>0</v>
      </c>
      <c r="V14" s="12" t="str">
        <f>IF(Calculations_1[[#This Row],[Toss Winner Won Match (1/0)]]=1,"Toss Winner Won","Toss Winner Lost")</f>
        <v>Toss Winner Lost</v>
      </c>
      <c r="W14" s="12" t="str">
        <f>TRIM(Table1[[#This Row],[Man of the Match]])</f>
        <v>Mujeeb Ur Rahman</v>
      </c>
      <c r="X14" s="12" t="str" cm="1">
        <f t="array" ref="X14">IF(Calculations_1[[#This Row],[Winning Margin Type]]="Runs",_xlfn.IFS(Calculations_1[[#This Row],[Margin Value]]&lt;=50,"1-50",Calculations_1[[#This Row],[Margin Value]]&lt;=100,"51-100",Calculations_1[[#This Row],[Margin Value]]&lt;=150,"101-150",Calculations_1[[#This Row],[Margin Value]]&lt;=200,"151-200",TRUE,"201+"),"")</f>
        <v>51-100</v>
      </c>
      <c r="Y14" s="12" t="str" cm="1">
        <f t="array" ref="Y14">IF(Calculations_1[[#This Row],[Winning Margin Type]]="Wickets",_xlfn.IFS(Calculations_1[[#This Row],[Margin Value]]&lt;=3,"1-3",Calculations_1[[#This Row],[Margin Value]]&lt;=6,"4-6",Calculations_1[[#This Row],[Margin Value]]&lt;=10,"7-10"),"")</f>
        <v/>
      </c>
      <c r="AA14" s="12">
        <v>7</v>
      </c>
      <c r="AB14" s="22">
        <v>45209</v>
      </c>
      <c r="AC14" s="12" t="s">
        <v>45</v>
      </c>
      <c r="AD14" s="12" t="s">
        <v>67</v>
      </c>
      <c r="AE14" s="12" t="s">
        <v>64</v>
      </c>
      <c r="AF14" s="12" t="s">
        <v>65</v>
      </c>
      <c r="AG14" s="12" t="s">
        <v>202</v>
      </c>
      <c r="AH14" s="12" t="s">
        <v>203</v>
      </c>
      <c r="AI14" s="12">
        <v>364</v>
      </c>
      <c r="AJ14" s="32" cm="1">
        <f t="array" ref="AJ14">_xlfn.XLOOKUP(
1,
(Table354[Match ID]=Table354[[#This Row],[Match ID]])*
(Table354[Team]=Table354[[#This Row],[Opponent]]),
Table354[Wickets Lost (batting)]
)</f>
        <v>10</v>
      </c>
      <c r="AK14" s="12">
        <v>9</v>
      </c>
      <c r="AL14" s="12">
        <v>50</v>
      </c>
      <c r="AM14" s="12">
        <v>1</v>
      </c>
      <c r="AN14" s="12">
        <v>41</v>
      </c>
      <c r="AO14" s="12">
        <v>7</v>
      </c>
      <c r="AP14" s="12">
        <v>48</v>
      </c>
      <c r="AQ14" s="12">
        <v>7.28</v>
      </c>
      <c r="AR14" s="12" t="str">
        <f>_xlfn.XLOOKUP(Table354[[#This Row],[Match ID]],Calculations_1[Match ID],Calculations_1[Winning Team])</f>
        <v>England</v>
      </c>
      <c r="AS14" s="12">
        <v>0</v>
      </c>
      <c r="AT14" s="12">
        <v>3</v>
      </c>
      <c r="AU14" s="12">
        <v>0</v>
      </c>
      <c r="AV14" s="12">
        <v>7</v>
      </c>
      <c r="AW14" s="12">
        <f>1</f>
        <v>1</v>
      </c>
      <c r="AX14" s="12">
        <f>IF(Table354[[#This Row],[Team]]=_xlfn.XLOOKUP(Table354[[#This Row],[Match ID]],Calculations_1[Match ID],Calculations_1[Winning Team]),1,0)</f>
        <v>1</v>
      </c>
      <c r="AY14" s="12">
        <f>IF(NOT(Table354[[#This Row],[Win(1/0)]]),1,0)</f>
        <v>0</v>
      </c>
      <c r="AZ14" s="12" t="str">
        <f>IF(Table354[[#This Row],[Win(1/0)]]=1,"Win","Loss")</f>
        <v>Win</v>
      </c>
      <c r="BA14" s="12">
        <f>IF(Table354[[#This Row],[Team]]=_xlfn.XLOOKUP(Table354[[#This Row],[Match ID]],Calculations_1[Match ID],Calculations_1[Toss Winner]),1,0)</f>
        <v>0</v>
      </c>
      <c r="BB14" s="12">
        <f>Table354[[#This Row],[Win(1/0)]]*Table354[[#This Row],[Toss Won (1/0)]]</f>
        <v>0</v>
      </c>
      <c r="BC14" s="12" t="str" cm="1">
        <f t="array" ref="BC14">_xlfn.XLOOKUP(Table354[[#This Row],[Match ID]],Calculations_1[Match ID],Calculations_1[Toss Decision],NA,0)</f>
        <v>Field</v>
      </c>
    </row>
    <row r="15" spans="1:55" x14ac:dyDescent="0.3">
      <c r="A15" s="12">
        <v>14</v>
      </c>
      <c r="B15" s="23">
        <f>IF(ISNUMBER(Table1[[#This Row],[Match Date]]),DATE(YEAR(Table1[[#This Row],[Match Date]]),DAY(Table1[[#This Row],[Match Date]]),MONTH(Table1[[#This Row],[Match Date]])),DATE(VALUE(RIGHT(TRIM(Table1[[#This Row],[Match Date]]),4)),VALUE(MID(TRIM(Table1[[#This Row],[Match Date]]),4,2)),VALUE(LEFT(TRIM(Table1[[#This Row],[Match Date]]),2))))</f>
        <v>45215</v>
      </c>
      <c r="C15" s="12" t="str">
        <f>TRIM(Table1[[#This Row],[City]])</f>
        <v>Lucknow</v>
      </c>
      <c r="D15" s="12" t="str">
        <f>IF(AND(TRIM(Table1[[#This Row],[Stadium]])="Eden Gardens",TRIM(Table1[[#This Row],[City]])&lt;&gt;"Kolkata"),"Rajiv Gandhi International Stadium",TRIM(Table1[[#This Row],[Stadium]]))</f>
        <v>BRSABV Ekana Cricket Stadium</v>
      </c>
      <c r="E15" s="12" t="str">
        <f>SUBSTITUTE(Table1[[#This Row],[Team A]],"NewZealand","New Zealand")</f>
        <v>Sri Lanka</v>
      </c>
      <c r="F15" s="12" t="str">
        <f>SUBSTITUTE(Table1[[#This Row],[Team B]],"NewZealand","New Zealand")</f>
        <v>Australia</v>
      </c>
      <c r="G15" s="12" t="str">
        <f>SUBSTITUTE(Table1[[#This Row],[Toss Winner]],"NewZealand","New Zealand")</f>
        <v>Sri Lanka</v>
      </c>
      <c r="H15" s="12" t="str">
        <f>SUBSTITUTE(Table1[[#This Row],[Wining Team]],"NewZealand","New Zealand")</f>
        <v>Australia</v>
      </c>
      <c r="I15" s="12" t="str">
        <f>TRIM(Table1[[#This Row],[Toss Decision]])</f>
        <v>Bat</v>
      </c>
      <c r="J15" s="12">
        <f>Table1[[#This Row],[Score A]]</f>
        <v>209</v>
      </c>
      <c r="K15" s="12">
        <f>Table1[[#This Row],[Score B]]</f>
        <v>215</v>
      </c>
      <c r="L15" s="12">
        <f>SUM(Calculations_1[[#This Row],[Score A]],Calculations_1[[#This Row],[Score B]])</f>
        <v>424</v>
      </c>
      <c r="M15" s="12">
        <f>SUM(Table1[[#This Row],[Wickets A]],Table1[[#This Row],[Wickets B]])</f>
        <v>15</v>
      </c>
      <c r="N15" s="12">
        <f>SUM(Table1[[#This Row],[4s A]],Table1[[#This Row],[4s B]])</f>
        <v>45</v>
      </c>
      <c r="O15" s="12">
        <f>SUM(Table1[[#This Row],[6s A]],Table1[[#This Row],[6s B]])</f>
        <v>6</v>
      </c>
      <c r="P15" s="12">
        <f>SUM(Calculations_1[[#This Row],[Total 4s (match)]],Calculations_1[[#This Row],[Total 6s (match)]])</f>
        <v>51</v>
      </c>
      <c r="Q15" s="12" t="str">
        <f>TRIM(Table1[[#This Row],[Margin]])</f>
        <v>5 Wickets</v>
      </c>
      <c r="R15" s="12">
        <f>VALUE(LEFT(Calculations_1[[#This Row],[Margin (text)]],FIND(" ",Calculations_1[[#This Row],[Margin (text)]])-1))</f>
        <v>5</v>
      </c>
      <c r="S15" s="12" t="str">
        <f>IF(ISNUMBER(SEARCH("DLS",Calculations_1[[#This Row],[Margin (text)]])),"Runs (DLS) Method",IF(ISNUMBER(SEARCH("run",Calculations_1[[#This Row],[Margin (text)]])),"Runs","Wickets"))</f>
        <v>Wickets</v>
      </c>
      <c r="T15" s="12" t="str">
        <f>IF(Calculations_1[[#This Row],[Winning Margin Type]]="Wickets","Chasing Won",IF(Calculations_1[[#This Row],[Winning Margin Type]]="Runs","Batting First Won","DLS Result"))</f>
        <v>Chasing Won</v>
      </c>
      <c r="U15" s="12">
        <f>IF(Calculations_1[[#This Row],[Toss Winner]]=Calculations_1[[#This Row],[Winning Team]],1,0)</f>
        <v>0</v>
      </c>
      <c r="V15" s="12" t="str">
        <f>IF(Calculations_1[[#This Row],[Toss Winner Won Match (1/0)]]=1,"Toss Winner Won","Toss Winner Lost")</f>
        <v>Toss Winner Lost</v>
      </c>
      <c r="W15" s="12" t="str">
        <f>TRIM(Table1[[#This Row],[Man of the Match]])</f>
        <v>Adam Zampa</v>
      </c>
      <c r="X15" s="12" t="str" cm="1">
        <f t="array" ref="X15">IF(Calculations_1[[#This Row],[Winning Margin Type]]="Runs",_xlfn.IFS(Calculations_1[[#This Row],[Margin Value]]&lt;=50,"1-50",Calculations_1[[#This Row],[Margin Value]]&lt;=100,"51-100",Calculations_1[[#This Row],[Margin Value]]&lt;=150,"101-150",Calculations_1[[#This Row],[Margin Value]]&lt;=200,"151-200",TRUE,"201+"),"")</f>
        <v/>
      </c>
      <c r="Y15" s="12" t="str" cm="1">
        <f t="array" ref="Y15">IF(Calculations_1[[#This Row],[Winning Margin Type]]="Wickets",_xlfn.IFS(Calculations_1[[#This Row],[Margin Value]]&lt;=3,"1-3",Calculations_1[[#This Row],[Margin Value]]&lt;=6,"4-6",Calculations_1[[#This Row],[Margin Value]]&lt;=10,"7-10"),"")</f>
        <v>4-6</v>
      </c>
      <c r="AA15" s="12">
        <v>7</v>
      </c>
      <c r="AB15" s="22">
        <v>45209</v>
      </c>
      <c r="AC15" s="12" t="s">
        <v>67</v>
      </c>
      <c r="AD15" s="12" t="s">
        <v>45</v>
      </c>
      <c r="AE15" s="12" t="s">
        <v>64</v>
      </c>
      <c r="AF15" s="12" t="s">
        <v>65</v>
      </c>
      <c r="AG15" s="12" t="s">
        <v>202</v>
      </c>
      <c r="AH15" s="12" t="s">
        <v>203</v>
      </c>
      <c r="AI15" s="12">
        <v>227</v>
      </c>
      <c r="AJ15" s="32" cm="1">
        <f t="array" ref="AJ15">_xlfn.XLOOKUP(
1,
(Table354[Match ID]=Table354[[#This Row],[Match ID]])*
(Table354[Team]=Table354[[#This Row],[Opponent]]),
Table354[Wickets Lost (batting)]
)</f>
        <v>9</v>
      </c>
      <c r="AK15" s="12">
        <v>10</v>
      </c>
      <c r="AL15" s="12">
        <v>48.2</v>
      </c>
      <c r="AM15" s="12">
        <v>0</v>
      </c>
      <c r="AN15" s="12">
        <v>17</v>
      </c>
      <c r="AO15" s="12">
        <v>3</v>
      </c>
      <c r="AP15" s="12">
        <v>20</v>
      </c>
      <c r="AQ15" s="12">
        <v>4.6900000000000004</v>
      </c>
      <c r="AR15" s="12" t="str">
        <f>_xlfn.XLOOKUP(Table354[[#This Row],[Match ID]],Calculations_1[Match ID],Calculations_1[Winning Team])</f>
        <v>England</v>
      </c>
      <c r="AS15" s="12">
        <v>1</v>
      </c>
      <c r="AT15" s="12">
        <v>4</v>
      </c>
      <c r="AU15" s="12">
        <v>0</v>
      </c>
      <c r="AV15" s="12">
        <v>7</v>
      </c>
      <c r="AW15" s="12">
        <f>1</f>
        <v>1</v>
      </c>
      <c r="AX15" s="12">
        <f>IF(Table354[[#This Row],[Team]]=_xlfn.XLOOKUP(Table354[[#This Row],[Match ID]],Calculations_1[Match ID],Calculations_1[Winning Team]),1,0)</f>
        <v>0</v>
      </c>
      <c r="AY15" s="12">
        <f>IF(NOT(Table354[[#This Row],[Win(1/0)]]),1,0)</f>
        <v>1</v>
      </c>
      <c r="AZ15" s="12" t="str">
        <f>IF(Table354[[#This Row],[Win(1/0)]]=1,"Win","Loss")</f>
        <v>Loss</v>
      </c>
      <c r="BA15" s="12">
        <f>IF(Table354[[#This Row],[Team]]=_xlfn.XLOOKUP(Table354[[#This Row],[Match ID]],Calculations_1[Match ID],Calculations_1[Toss Winner]),1,0)</f>
        <v>1</v>
      </c>
      <c r="BB15" s="12">
        <f>Table354[[#This Row],[Win(1/0)]]*Table354[[#This Row],[Toss Won (1/0)]]</f>
        <v>0</v>
      </c>
      <c r="BC15" s="12" t="str" cm="1">
        <f t="array" ref="BC15">_xlfn.XLOOKUP(Table354[[#This Row],[Match ID]],Calculations_1[Match ID],Calculations_1[Toss Decision],NA,0)</f>
        <v>Field</v>
      </c>
    </row>
    <row r="16" spans="1:55" x14ac:dyDescent="0.3">
      <c r="A16" s="12">
        <v>15</v>
      </c>
      <c r="B16" s="23">
        <f>IF(ISNUMBER(Table1[[#This Row],[Match Date]]),DATE(YEAR(Table1[[#This Row],[Match Date]]),DAY(Table1[[#This Row],[Match Date]]),MONTH(Table1[[#This Row],[Match Date]])),DATE(VALUE(RIGHT(TRIM(Table1[[#This Row],[Match Date]]),4)),VALUE(MID(TRIM(Table1[[#This Row],[Match Date]]),4,2)),VALUE(LEFT(TRIM(Table1[[#This Row],[Match Date]]),2))))</f>
        <v>45216</v>
      </c>
      <c r="C16" s="12" t="str">
        <f>TRIM(Table1[[#This Row],[City]])</f>
        <v>Dharamshala</v>
      </c>
      <c r="D16" s="12" t="str">
        <f>IF(AND(TRIM(Table1[[#This Row],[Stadium]])="Eden Gardens",TRIM(Table1[[#This Row],[City]])&lt;&gt;"Kolkata"),"Rajiv Gandhi International Stadium",TRIM(Table1[[#This Row],[Stadium]]))</f>
        <v>HPCA Stadium</v>
      </c>
      <c r="E16" s="12" t="str">
        <f>SUBSTITUTE(Table1[[#This Row],[Team A]],"NewZealand","New Zealand")</f>
        <v>Netherlands</v>
      </c>
      <c r="F16" s="12" t="str">
        <f>SUBSTITUTE(Table1[[#This Row],[Team B]],"NewZealand","New Zealand")</f>
        <v>South Africa</v>
      </c>
      <c r="G16" s="12" t="str">
        <f>SUBSTITUTE(Table1[[#This Row],[Toss Winner]],"NewZealand","New Zealand")</f>
        <v>South Africa</v>
      </c>
      <c r="H16" s="12" t="str">
        <f>SUBSTITUTE(Table1[[#This Row],[Wining Team]],"NewZealand","New Zealand")</f>
        <v>Netherlands</v>
      </c>
      <c r="I16" s="12" t="str">
        <f>TRIM(Table1[[#This Row],[Toss Decision]])</f>
        <v>Field</v>
      </c>
      <c r="J16" s="12">
        <f>Table1[[#This Row],[Score A]]</f>
        <v>245</v>
      </c>
      <c r="K16" s="12">
        <f>Table1[[#This Row],[Score B]]</f>
        <v>207</v>
      </c>
      <c r="L16" s="12">
        <f>SUM(Calculations_1[[#This Row],[Score A]],Calculations_1[[#This Row],[Score B]])</f>
        <v>452</v>
      </c>
      <c r="M16" s="12">
        <f>SUM(Table1[[#This Row],[Wickets A]],Table1[[#This Row],[Wickets B]])</f>
        <v>18</v>
      </c>
      <c r="N16" s="12">
        <f>SUM(Table1[[#This Row],[4s A]],Table1[[#This Row],[4s B]])</f>
        <v>42</v>
      </c>
      <c r="O16" s="12">
        <f>SUM(Table1[[#This Row],[6s A]],Table1[[#This Row],[6s B]])</f>
        <v>11</v>
      </c>
      <c r="P16" s="12">
        <f>SUM(Calculations_1[[#This Row],[Total 4s (match)]],Calculations_1[[#This Row],[Total 6s (match)]])</f>
        <v>53</v>
      </c>
      <c r="Q16" s="12" t="str">
        <f>TRIM(Table1[[#This Row],[Margin]])</f>
        <v>38 Runs</v>
      </c>
      <c r="R16" s="12">
        <f>VALUE(LEFT(Calculations_1[[#This Row],[Margin (text)]],FIND(" ",Calculations_1[[#This Row],[Margin (text)]])-1))</f>
        <v>38</v>
      </c>
      <c r="S16" s="12" t="str">
        <f>IF(ISNUMBER(SEARCH("DLS",Calculations_1[[#This Row],[Margin (text)]])),"Runs (DLS) Method",IF(ISNUMBER(SEARCH("run",Calculations_1[[#This Row],[Margin (text)]])),"Runs","Wickets"))</f>
        <v>Runs</v>
      </c>
      <c r="T16" s="12" t="str">
        <f>IF(Calculations_1[[#This Row],[Winning Margin Type]]="Wickets","Chasing Won",IF(Calculations_1[[#This Row],[Winning Margin Type]]="Runs","Batting First Won","DLS Result"))</f>
        <v>Batting First Won</v>
      </c>
      <c r="U16" s="12">
        <f>IF(Calculations_1[[#This Row],[Toss Winner]]=Calculations_1[[#This Row],[Winning Team]],1,0)</f>
        <v>0</v>
      </c>
      <c r="V16" s="12" t="str">
        <f>IF(Calculations_1[[#This Row],[Toss Winner Won Match (1/0)]]=1,"Toss Winner Won","Toss Winner Lost")</f>
        <v>Toss Winner Lost</v>
      </c>
      <c r="W16" s="12" t="str">
        <f>TRIM(Table1[[#This Row],[Man of the Match]])</f>
        <v>Scott Edwards</v>
      </c>
      <c r="X16" s="12" t="str" cm="1">
        <f t="array" ref="X16">IF(Calculations_1[[#This Row],[Winning Margin Type]]="Runs",_xlfn.IFS(Calculations_1[[#This Row],[Margin Value]]&lt;=50,"1-50",Calculations_1[[#This Row],[Margin Value]]&lt;=100,"51-100",Calculations_1[[#This Row],[Margin Value]]&lt;=150,"101-150",Calculations_1[[#This Row],[Margin Value]]&lt;=200,"151-200",TRUE,"201+"),"")</f>
        <v>1-50</v>
      </c>
      <c r="Y16" s="12" t="str" cm="1">
        <f t="array" ref="Y16">IF(Calculations_1[[#This Row],[Winning Margin Type]]="Wickets",_xlfn.IFS(Calculations_1[[#This Row],[Margin Value]]&lt;=3,"1-3",Calculations_1[[#This Row],[Margin Value]]&lt;=6,"4-6",Calculations_1[[#This Row],[Margin Value]]&lt;=10,"7-10"),"")</f>
        <v/>
      </c>
      <c r="AA16" s="12">
        <v>8</v>
      </c>
      <c r="AB16" s="22">
        <v>45209</v>
      </c>
      <c r="AC16" s="12" t="s">
        <v>76</v>
      </c>
      <c r="AD16" s="12" t="s">
        <v>56</v>
      </c>
      <c r="AE16" s="12" t="s">
        <v>54</v>
      </c>
      <c r="AF16" s="12" t="s">
        <v>92</v>
      </c>
      <c r="AG16" s="12" t="s">
        <v>201</v>
      </c>
      <c r="AH16" s="12" t="s">
        <v>195</v>
      </c>
      <c r="AI16" s="12">
        <v>344</v>
      </c>
      <c r="AJ16" s="32" cm="1">
        <f t="array" ref="AJ16">_xlfn.XLOOKUP(
1,
(Table354[Match ID]=Table354[[#This Row],[Match ID]])*
(Table354[Team]=Table354[[#This Row],[Opponent]]),
Table354[Wickets Lost (batting)]
)</f>
        <v>4</v>
      </c>
      <c r="AK16" s="12">
        <v>9</v>
      </c>
      <c r="AL16" s="12">
        <v>50</v>
      </c>
      <c r="AM16" s="12">
        <v>0</v>
      </c>
      <c r="AN16" s="12">
        <v>36</v>
      </c>
      <c r="AO16" s="12">
        <v>9</v>
      </c>
      <c r="AP16" s="12">
        <v>45</v>
      </c>
      <c r="AQ16" s="12">
        <v>6.88</v>
      </c>
      <c r="AR16" s="12" t="str">
        <f>_xlfn.XLOOKUP(Table354[[#This Row],[Match ID]],Calculations_1[Match ID],Calculations_1[Winning Team])</f>
        <v>Pakistan</v>
      </c>
      <c r="AS16" s="12">
        <v>0</v>
      </c>
      <c r="AT16" s="12">
        <v>25</v>
      </c>
      <c r="AU16" s="12">
        <v>1</v>
      </c>
      <c r="AV16" s="12">
        <v>26</v>
      </c>
      <c r="AW16" s="12">
        <f>1</f>
        <v>1</v>
      </c>
      <c r="AX16" s="12">
        <f>IF(Table354[[#This Row],[Team]]=_xlfn.XLOOKUP(Table354[[#This Row],[Match ID]],Calculations_1[Match ID],Calculations_1[Winning Team]),1,0)</f>
        <v>0</v>
      </c>
      <c r="AY16" s="12">
        <f>IF(NOT(Table354[[#This Row],[Win(1/0)]]),1,0)</f>
        <v>1</v>
      </c>
      <c r="AZ16" s="12" t="str">
        <f>IF(Table354[[#This Row],[Win(1/0)]]=1,"Win","Loss")</f>
        <v>Loss</v>
      </c>
      <c r="BA16" s="12">
        <f>IF(Table354[[#This Row],[Team]]=_xlfn.XLOOKUP(Table354[[#This Row],[Match ID]],Calculations_1[Match ID],Calculations_1[Toss Winner]),1,0)</f>
        <v>1</v>
      </c>
      <c r="BB16" s="12">
        <f>Table354[[#This Row],[Win(1/0)]]*Table354[[#This Row],[Toss Won (1/0)]]</f>
        <v>0</v>
      </c>
      <c r="BC16" s="12" t="str" cm="1">
        <f t="array" ref="BC16">_xlfn.XLOOKUP(Table354[[#This Row],[Match ID]],Calculations_1[Match ID],Calculations_1[Toss Decision],NA,0)</f>
        <v>Bat</v>
      </c>
    </row>
    <row r="17" spans="1:55" x14ac:dyDescent="0.3">
      <c r="A17" s="12">
        <v>16</v>
      </c>
      <c r="B17" s="23">
        <f>IF(ISNUMBER(Table1[[#This Row],[Match Date]]),DATE(YEAR(Table1[[#This Row],[Match Date]]),DAY(Table1[[#This Row],[Match Date]]),MONTH(Table1[[#This Row],[Match Date]])),DATE(VALUE(RIGHT(TRIM(Table1[[#This Row],[Match Date]]),4)),VALUE(MID(TRIM(Table1[[#This Row],[Match Date]]),4,2)),VALUE(LEFT(TRIM(Table1[[#This Row],[Match Date]]),2))))</f>
        <v>45217</v>
      </c>
      <c r="C17" s="12" t="str">
        <f>TRIM(Table1[[#This Row],[City]])</f>
        <v>Chennai</v>
      </c>
      <c r="D17" s="12" t="str">
        <f>IF(AND(TRIM(Table1[[#This Row],[Stadium]])="Eden Gardens",TRIM(Table1[[#This Row],[City]])&lt;&gt;"Kolkata"),"Rajiv Gandhi International Stadium",TRIM(Table1[[#This Row],[Stadium]]))</f>
        <v>M. A. Chidambaram Stadium</v>
      </c>
      <c r="E17" s="12" t="str">
        <f>SUBSTITUTE(Table1[[#This Row],[Team A]],"NewZealand","New Zealand")</f>
        <v>New Zealand</v>
      </c>
      <c r="F17" s="12" t="str">
        <f>SUBSTITUTE(Table1[[#This Row],[Team B]],"NewZealand","New Zealand")</f>
        <v>Afghanistan</v>
      </c>
      <c r="G17" s="12" t="str">
        <f>SUBSTITUTE(Table1[[#This Row],[Toss Winner]],"NewZealand","New Zealand")</f>
        <v>Afghanistan</v>
      </c>
      <c r="H17" s="12" t="str">
        <f>SUBSTITUTE(Table1[[#This Row],[Wining Team]],"NewZealand","New Zealand")</f>
        <v>New Zealand</v>
      </c>
      <c r="I17" s="12" t="str">
        <f>TRIM(Table1[[#This Row],[Toss Decision]])</f>
        <v>Field</v>
      </c>
      <c r="J17" s="12">
        <f>Table1[[#This Row],[Score A]]</f>
        <v>288</v>
      </c>
      <c r="K17" s="12">
        <f>Table1[[#This Row],[Score B]]</f>
        <v>139</v>
      </c>
      <c r="L17" s="12">
        <f>SUM(Calculations_1[[#This Row],[Score A]],Calculations_1[[#This Row],[Score B]])</f>
        <v>427</v>
      </c>
      <c r="M17" s="12">
        <f>SUM(Table1[[#This Row],[Wickets A]],Table1[[#This Row],[Wickets B]])</f>
        <v>16</v>
      </c>
      <c r="N17" s="12">
        <f>SUM(Table1[[#This Row],[4s A]],Table1[[#This Row],[4s B]])</f>
        <v>30</v>
      </c>
      <c r="O17" s="12">
        <f>SUM(Table1[[#This Row],[6s A]],Table1[[#This Row],[6s B]])</f>
        <v>13</v>
      </c>
      <c r="P17" s="12">
        <f>SUM(Calculations_1[[#This Row],[Total 4s (match)]],Calculations_1[[#This Row],[Total 6s (match)]])</f>
        <v>43</v>
      </c>
      <c r="Q17" s="12" t="str">
        <f>TRIM(Table1[[#This Row],[Margin]])</f>
        <v>149 Runs</v>
      </c>
      <c r="R17" s="12">
        <f>VALUE(LEFT(Calculations_1[[#This Row],[Margin (text)]],FIND(" ",Calculations_1[[#This Row],[Margin (text)]])-1))</f>
        <v>149</v>
      </c>
      <c r="S17" s="12" t="str">
        <f>IF(ISNUMBER(SEARCH("DLS",Calculations_1[[#This Row],[Margin (text)]])),"Runs (DLS) Method",IF(ISNUMBER(SEARCH("run",Calculations_1[[#This Row],[Margin (text)]])),"Runs","Wickets"))</f>
        <v>Runs</v>
      </c>
      <c r="T17" s="12" t="str">
        <f>IF(Calculations_1[[#This Row],[Winning Margin Type]]="Wickets","Chasing Won",IF(Calculations_1[[#This Row],[Winning Margin Type]]="Runs","Batting First Won","DLS Result"))</f>
        <v>Batting First Won</v>
      </c>
      <c r="U17" s="12">
        <f>IF(Calculations_1[[#This Row],[Toss Winner]]=Calculations_1[[#This Row],[Winning Team]],1,0)</f>
        <v>0</v>
      </c>
      <c r="V17" s="12" t="str">
        <f>IF(Calculations_1[[#This Row],[Toss Winner Won Match (1/0)]]=1,"Toss Winner Won","Toss Winner Lost")</f>
        <v>Toss Winner Lost</v>
      </c>
      <c r="W17" s="12" t="str">
        <f>TRIM(Table1[[#This Row],[Man of the Match]])</f>
        <v>Glenn Phillips</v>
      </c>
      <c r="X17" s="12" t="str" cm="1">
        <f t="array" ref="X17">IF(Calculations_1[[#This Row],[Winning Margin Type]]="Runs",_xlfn.IFS(Calculations_1[[#This Row],[Margin Value]]&lt;=50,"1-50",Calculations_1[[#This Row],[Margin Value]]&lt;=100,"51-100",Calculations_1[[#This Row],[Margin Value]]&lt;=150,"101-150",Calculations_1[[#This Row],[Margin Value]]&lt;=200,"151-200",TRUE,"201+"),"")</f>
        <v>101-150</v>
      </c>
      <c r="Y17" s="12" t="str" cm="1">
        <f t="array" ref="Y17">IF(Calculations_1[[#This Row],[Winning Margin Type]]="Wickets",_xlfn.IFS(Calculations_1[[#This Row],[Margin Value]]&lt;=3,"1-3",Calculations_1[[#This Row],[Margin Value]]&lt;=6,"4-6",Calculations_1[[#This Row],[Margin Value]]&lt;=10,"7-10"),"")</f>
        <v/>
      </c>
      <c r="AA17" s="12">
        <v>8</v>
      </c>
      <c r="AB17" s="22">
        <v>45209</v>
      </c>
      <c r="AC17" s="12" t="s">
        <v>56</v>
      </c>
      <c r="AD17" s="12" t="s">
        <v>76</v>
      </c>
      <c r="AE17" s="12" t="s">
        <v>54</v>
      </c>
      <c r="AF17" s="12" t="s">
        <v>92</v>
      </c>
      <c r="AG17" s="12" t="s">
        <v>201</v>
      </c>
      <c r="AH17" s="12" t="s">
        <v>195</v>
      </c>
      <c r="AI17" s="12">
        <v>345</v>
      </c>
      <c r="AJ17" s="32" cm="1">
        <f t="array" ref="AJ17">_xlfn.XLOOKUP(
1,
(Table354[Match ID]=Table354[[#This Row],[Match ID]])*
(Table354[Team]=Table354[[#This Row],[Opponent]]),
Table354[Wickets Lost (batting)]
)</f>
        <v>9</v>
      </c>
      <c r="AK17" s="12">
        <v>4</v>
      </c>
      <c r="AL17" s="12">
        <v>48.2</v>
      </c>
      <c r="AM17" s="12">
        <v>0</v>
      </c>
      <c r="AN17" s="12">
        <v>26</v>
      </c>
      <c r="AO17" s="12">
        <v>6</v>
      </c>
      <c r="AP17" s="12">
        <v>32</v>
      </c>
      <c r="AQ17" s="12">
        <v>7.13</v>
      </c>
      <c r="AR17" s="12" t="str">
        <f>_xlfn.XLOOKUP(Table354[[#This Row],[Match ID]],Calculations_1[Match ID],Calculations_1[Winning Team])</f>
        <v>Pakistan</v>
      </c>
      <c r="AS17" s="12">
        <v>2</v>
      </c>
      <c r="AT17" s="12">
        <v>9</v>
      </c>
      <c r="AU17" s="12">
        <v>1</v>
      </c>
      <c r="AV17" s="12">
        <v>14</v>
      </c>
      <c r="AW17" s="12">
        <f>1</f>
        <v>1</v>
      </c>
      <c r="AX17" s="12">
        <f>IF(Table354[[#This Row],[Team]]=_xlfn.XLOOKUP(Table354[[#This Row],[Match ID]],Calculations_1[Match ID],Calculations_1[Winning Team]),1,0)</f>
        <v>1</v>
      </c>
      <c r="AY17" s="12">
        <f>IF(NOT(Table354[[#This Row],[Win(1/0)]]),1,0)</f>
        <v>0</v>
      </c>
      <c r="AZ17" s="12" t="str">
        <f>IF(Table354[[#This Row],[Win(1/0)]]=1,"Win","Loss")</f>
        <v>Win</v>
      </c>
      <c r="BA17" s="12">
        <f>IF(Table354[[#This Row],[Team]]=_xlfn.XLOOKUP(Table354[[#This Row],[Match ID]],Calculations_1[Match ID],Calculations_1[Toss Winner]),1,0)</f>
        <v>0</v>
      </c>
      <c r="BB17" s="12">
        <f>Table354[[#This Row],[Win(1/0)]]*Table354[[#This Row],[Toss Won (1/0)]]</f>
        <v>0</v>
      </c>
      <c r="BC17" s="12" t="str" cm="1">
        <f t="array" ref="BC17">_xlfn.XLOOKUP(Table354[[#This Row],[Match ID]],Calculations_1[Match ID],Calculations_1[Toss Decision],NA,0)</f>
        <v>Bat</v>
      </c>
    </row>
    <row r="18" spans="1:55" x14ac:dyDescent="0.3">
      <c r="A18" s="12">
        <v>17</v>
      </c>
      <c r="B18" s="23">
        <f>IF(ISNUMBER(Table1[[#This Row],[Match Date]]),DATE(YEAR(Table1[[#This Row],[Match Date]]),DAY(Table1[[#This Row],[Match Date]]),MONTH(Table1[[#This Row],[Match Date]])),DATE(VALUE(RIGHT(TRIM(Table1[[#This Row],[Match Date]]),4)),VALUE(MID(TRIM(Table1[[#This Row],[Match Date]]),4,2)),VALUE(LEFT(TRIM(Table1[[#This Row],[Match Date]]),2))))</f>
        <v>45218</v>
      </c>
      <c r="C18" s="12" t="str">
        <f>TRIM(Table1[[#This Row],[City]])</f>
        <v>Pune</v>
      </c>
      <c r="D18" s="12" t="str">
        <f>IF(AND(TRIM(Table1[[#This Row],[Stadium]])="Eden Gardens",TRIM(Table1[[#This Row],[City]])&lt;&gt;"Kolkata"),"Rajiv Gandhi International Stadium",TRIM(Table1[[#This Row],[Stadium]]))</f>
        <v>Maharashtra Cricket Association Stadium</v>
      </c>
      <c r="E18" s="12" t="str">
        <f>SUBSTITUTE(Table1[[#This Row],[Team A]],"NewZealand","New Zealand")</f>
        <v>Bangladesh</v>
      </c>
      <c r="F18" s="12" t="str">
        <f>SUBSTITUTE(Table1[[#This Row],[Team B]],"NewZealand","New Zealand")</f>
        <v>India</v>
      </c>
      <c r="G18" s="12" t="str">
        <f>SUBSTITUTE(Table1[[#This Row],[Toss Winner]],"NewZealand","New Zealand")</f>
        <v>Bangladesh</v>
      </c>
      <c r="H18" s="12" t="str">
        <f>SUBSTITUTE(Table1[[#This Row],[Wining Team]],"NewZealand","New Zealand")</f>
        <v>India</v>
      </c>
      <c r="I18" s="12" t="str">
        <f>TRIM(Table1[[#This Row],[Toss Decision]])</f>
        <v>Bat</v>
      </c>
      <c r="J18" s="12">
        <f>Table1[[#This Row],[Score A]]</f>
        <v>256</v>
      </c>
      <c r="K18" s="12">
        <f>Table1[[#This Row],[Score B]]</f>
        <v>261</v>
      </c>
      <c r="L18" s="12">
        <f>SUM(Calculations_1[[#This Row],[Score A]],Calculations_1[[#This Row],[Score B]])</f>
        <v>517</v>
      </c>
      <c r="M18" s="12">
        <f>SUM(Table1[[#This Row],[Wickets A]],Table1[[#This Row],[Wickets B]])</f>
        <v>11</v>
      </c>
      <c r="N18" s="12">
        <f>SUM(Table1[[#This Row],[4s A]],Table1[[#This Row],[4s B]])</f>
        <v>41</v>
      </c>
      <c r="O18" s="12">
        <f>SUM(Table1[[#This Row],[6s A]],Table1[[#This Row],[6s B]])</f>
        <v>17</v>
      </c>
      <c r="P18" s="12">
        <f>SUM(Calculations_1[[#This Row],[Total 4s (match)]],Calculations_1[[#This Row],[Total 6s (match)]])</f>
        <v>58</v>
      </c>
      <c r="Q18" s="12" t="str">
        <f>TRIM(Table1[[#This Row],[Margin]])</f>
        <v>7 Wickets</v>
      </c>
      <c r="R18" s="12">
        <f>VALUE(LEFT(Calculations_1[[#This Row],[Margin (text)]],FIND(" ",Calculations_1[[#This Row],[Margin (text)]])-1))</f>
        <v>7</v>
      </c>
      <c r="S18" s="12" t="str">
        <f>IF(ISNUMBER(SEARCH("DLS",Calculations_1[[#This Row],[Margin (text)]])),"Runs (DLS) Method",IF(ISNUMBER(SEARCH("run",Calculations_1[[#This Row],[Margin (text)]])),"Runs","Wickets"))</f>
        <v>Wickets</v>
      </c>
      <c r="T18" s="12" t="str">
        <f>IF(Calculations_1[[#This Row],[Winning Margin Type]]="Wickets","Chasing Won",IF(Calculations_1[[#This Row],[Winning Margin Type]]="Runs","Batting First Won","DLS Result"))</f>
        <v>Chasing Won</v>
      </c>
      <c r="U18" s="12">
        <f>IF(Calculations_1[[#This Row],[Toss Winner]]=Calculations_1[[#This Row],[Winning Team]],1,0)</f>
        <v>0</v>
      </c>
      <c r="V18" s="12" t="str">
        <f>IF(Calculations_1[[#This Row],[Toss Winner Won Match (1/0)]]=1,"Toss Winner Won","Toss Winner Lost")</f>
        <v>Toss Winner Lost</v>
      </c>
      <c r="W18" s="12" t="str">
        <f>TRIM(Table1[[#This Row],[Man of the Match]])</f>
        <v>Virat Kohli</v>
      </c>
      <c r="X18" s="12" t="str" cm="1">
        <f t="array" ref="X18">IF(Calculations_1[[#This Row],[Winning Margin Type]]="Runs",_xlfn.IFS(Calculations_1[[#This Row],[Margin Value]]&lt;=50,"1-50",Calculations_1[[#This Row],[Margin Value]]&lt;=100,"51-100",Calculations_1[[#This Row],[Margin Value]]&lt;=150,"101-150",Calculations_1[[#This Row],[Margin Value]]&lt;=200,"151-200",TRUE,"201+"),"")</f>
        <v/>
      </c>
      <c r="Y18" s="12" t="str" cm="1">
        <f t="array" ref="Y18">IF(Calculations_1[[#This Row],[Winning Margin Type]]="Wickets",_xlfn.IFS(Calculations_1[[#This Row],[Margin Value]]&lt;=3,"1-3",Calculations_1[[#This Row],[Margin Value]]&lt;=6,"4-6",Calculations_1[[#This Row],[Margin Value]]&lt;=10,"7-10"),"")</f>
        <v>7-10</v>
      </c>
      <c r="AA18" s="12">
        <v>9</v>
      </c>
      <c r="AB18" s="22">
        <v>45210</v>
      </c>
      <c r="AC18" s="12" t="s">
        <v>66</v>
      </c>
      <c r="AD18" s="12" t="s">
        <v>85</v>
      </c>
      <c r="AE18" s="12" t="s">
        <v>73</v>
      </c>
      <c r="AF18" s="12" t="s">
        <v>74</v>
      </c>
      <c r="AG18" s="12" t="s">
        <v>201</v>
      </c>
      <c r="AH18" s="12" t="s">
        <v>195</v>
      </c>
      <c r="AI18" s="12">
        <v>272</v>
      </c>
      <c r="AJ18" s="32" cm="1">
        <f t="array" ref="AJ18">_xlfn.XLOOKUP(
1,
(Table354[Match ID]=Table354[[#This Row],[Match ID]])*
(Table354[Team]=Table354[[#This Row],[Opponent]]),
Table354[Wickets Lost (batting)]
)</f>
        <v>2</v>
      </c>
      <c r="AK18" s="12">
        <v>8</v>
      </c>
      <c r="AL18" s="12">
        <v>50</v>
      </c>
      <c r="AM18" s="12">
        <v>0</v>
      </c>
      <c r="AN18" s="12">
        <v>25</v>
      </c>
      <c r="AO18" s="12">
        <v>7</v>
      </c>
      <c r="AP18" s="12">
        <v>32</v>
      </c>
      <c r="AQ18" s="12">
        <v>5.44</v>
      </c>
      <c r="AR18" s="12" t="str">
        <f>_xlfn.XLOOKUP(Table354[[#This Row],[Match ID]],Calculations_1[Match ID],Calculations_1[Winning Team])</f>
        <v>India</v>
      </c>
      <c r="AS18" s="12">
        <v>1</v>
      </c>
      <c r="AT18" s="12">
        <v>10</v>
      </c>
      <c r="AU18" s="12">
        <v>0</v>
      </c>
      <c r="AV18" s="12">
        <v>15</v>
      </c>
      <c r="AW18" s="12">
        <f>1</f>
        <v>1</v>
      </c>
      <c r="AX18" s="12">
        <f>IF(Table354[[#This Row],[Team]]=_xlfn.XLOOKUP(Table354[[#This Row],[Match ID]],Calculations_1[Match ID],Calculations_1[Winning Team]),1,0)</f>
        <v>0</v>
      </c>
      <c r="AY18" s="12">
        <f>IF(NOT(Table354[[#This Row],[Win(1/0)]]),1,0)</f>
        <v>1</v>
      </c>
      <c r="AZ18" s="12" t="str">
        <f>IF(Table354[[#This Row],[Win(1/0)]]=1,"Win","Loss")</f>
        <v>Loss</v>
      </c>
      <c r="BA18" s="12">
        <f>IF(Table354[[#This Row],[Team]]=_xlfn.XLOOKUP(Table354[[#This Row],[Match ID]],Calculations_1[Match ID],Calculations_1[Toss Winner]),1,0)</f>
        <v>1</v>
      </c>
      <c r="BB18" s="12">
        <f>Table354[[#This Row],[Win(1/0)]]*Table354[[#This Row],[Toss Won (1/0)]]</f>
        <v>0</v>
      </c>
      <c r="BC18" s="12" t="str" cm="1">
        <f t="array" ref="BC18">_xlfn.XLOOKUP(Table354[[#This Row],[Match ID]],Calculations_1[Match ID],Calculations_1[Toss Decision],NA,0)</f>
        <v>Bat</v>
      </c>
    </row>
    <row r="19" spans="1:55" x14ac:dyDescent="0.3">
      <c r="A19" s="12">
        <v>18</v>
      </c>
      <c r="B19" s="23">
        <f>IF(ISNUMBER(Table1[[#This Row],[Match Date]]),DATE(YEAR(Table1[[#This Row],[Match Date]]),DAY(Table1[[#This Row],[Match Date]]),MONTH(Table1[[#This Row],[Match Date]])),DATE(VALUE(RIGHT(TRIM(Table1[[#This Row],[Match Date]]),4)),VALUE(MID(TRIM(Table1[[#This Row],[Match Date]]),4,2)),VALUE(LEFT(TRIM(Table1[[#This Row],[Match Date]]),2))))</f>
        <v>45219</v>
      </c>
      <c r="C19" s="12" t="str">
        <f>TRIM(Table1[[#This Row],[City]])</f>
        <v>Bangalore</v>
      </c>
      <c r="D19" s="12" t="str">
        <f>IF(AND(TRIM(Table1[[#This Row],[Stadium]])="Eden Gardens",TRIM(Table1[[#This Row],[City]])&lt;&gt;"Kolkata"),"Rajiv Gandhi International Stadium",TRIM(Table1[[#This Row],[Stadium]]))</f>
        <v>M. Chinnaswamy Stadium</v>
      </c>
      <c r="E19" s="12" t="str">
        <f>SUBSTITUTE(Table1[[#This Row],[Team A]],"NewZealand","New Zealand")</f>
        <v>Australia</v>
      </c>
      <c r="F19" s="12" t="str">
        <f>SUBSTITUTE(Table1[[#This Row],[Team B]],"NewZealand","New Zealand")</f>
        <v>Pakistan</v>
      </c>
      <c r="G19" s="12" t="str">
        <f>SUBSTITUTE(Table1[[#This Row],[Toss Winner]],"NewZealand","New Zealand")</f>
        <v>Pakistan</v>
      </c>
      <c r="H19" s="12" t="str">
        <f>SUBSTITUTE(Table1[[#This Row],[Wining Team]],"NewZealand","New Zealand")</f>
        <v>Australia</v>
      </c>
      <c r="I19" s="12" t="str">
        <f>TRIM(Table1[[#This Row],[Toss Decision]])</f>
        <v>Field</v>
      </c>
      <c r="J19" s="12">
        <f>Table1[[#This Row],[Score A]]</f>
        <v>367</v>
      </c>
      <c r="K19" s="12">
        <f>Table1[[#This Row],[Score B]]</f>
        <v>305</v>
      </c>
      <c r="L19" s="12">
        <f>SUM(Calculations_1[[#This Row],[Score A]],Calculations_1[[#This Row],[Score B]])</f>
        <v>672</v>
      </c>
      <c r="M19" s="12">
        <f>SUM(Table1[[#This Row],[Wickets A]],Table1[[#This Row],[Wickets B]])</f>
        <v>19</v>
      </c>
      <c r="N19" s="12">
        <f>SUM(Table1[[#This Row],[4s A]],Table1[[#This Row],[4s B]])</f>
        <v>63</v>
      </c>
      <c r="O19" s="12">
        <f>SUM(Table1[[#This Row],[6s A]],Table1[[#This Row],[6s B]])</f>
        <v>25</v>
      </c>
      <c r="P19" s="12">
        <f>SUM(Calculations_1[[#This Row],[Total 4s (match)]],Calculations_1[[#This Row],[Total 6s (match)]])</f>
        <v>88</v>
      </c>
      <c r="Q19" s="12" t="str">
        <f>TRIM(Table1[[#This Row],[Margin]])</f>
        <v>62 Runs</v>
      </c>
      <c r="R19" s="12">
        <f>VALUE(LEFT(Calculations_1[[#This Row],[Margin (text)]],FIND(" ",Calculations_1[[#This Row],[Margin (text)]])-1))</f>
        <v>62</v>
      </c>
      <c r="S19" s="12" t="str">
        <f>IF(ISNUMBER(SEARCH("DLS",Calculations_1[[#This Row],[Margin (text)]])),"Runs (DLS) Method",IF(ISNUMBER(SEARCH("run",Calculations_1[[#This Row],[Margin (text)]])),"Runs","Wickets"))</f>
        <v>Runs</v>
      </c>
      <c r="T19" s="12" t="str">
        <f>IF(Calculations_1[[#This Row],[Winning Margin Type]]="Wickets","Chasing Won",IF(Calculations_1[[#This Row],[Winning Margin Type]]="Runs","Batting First Won","DLS Result"))</f>
        <v>Batting First Won</v>
      </c>
      <c r="U19" s="12">
        <f>IF(Calculations_1[[#This Row],[Toss Winner]]=Calculations_1[[#This Row],[Winning Team]],1,0)</f>
        <v>0</v>
      </c>
      <c r="V19" s="12" t="str">
        <f>IF(Calculations_1[[#This Row],[Toss Winner Won Match (1/0)]]=1,"Toss Winner Won","Toss Winner Lost")</f>
        <v>Toss Winner Lost</v>
      </c>
      <c r="W19" s="12" t="str">
        <f>TRIM(Table1[[#This Row],[Man of the Match]])</f>
        <v>David Warner</v>
      </c>
      <c r="X19" s="12" t="str" cm="1">
        <f t="array" ref="X19">IF(Calculations_1[[#This Row],[Winning Margin Type]]="Runs",_xlfn.IFS(Calculations_1[[#This Row],[Margin Value]]&lt;=50,"1-50",Calculations_1[[#This Row],[Margin Value]]&lt;=100,"51-100",Calculations_1[[#This Row],[Margin Value]]&lt;=150,"101-150",Calculations_1[[#This Row],[Margin Value]]&lt;=200,"151-200",TRUE,"201+"),"")</f>
        <v>51-100</v>
      </c>
      <c r="Y19" s="12" t="str" cm="1">
        <f t="array" ref="Y19">IF(Calculations_1[[#This Row],[Winning Margin Type]]="Wickets",_xlfn.IFS(Calculations_1[[#This Row],[Margin Value]]&lt;=3,"1-3",Calculations_1[[#This Row],[Margin Value]]&lt;=6,"4-6",Calculations_1[[#This Row],[Margin Value]]&lt;=10,"7-10"),"")</f>
        <v/>
      </c>
      <c r="AA19" s="12">
        <v>9</v>
      </c>
      <c r="AB19" s="22">
        <v>45210</v>
      </c>
      <c r="AC19" s="12" t="s">
        <v>85</v>
      </c>
      <c r="AD19" s="12" t="s">
        <v>66</v>
      </c>
      <c r="AE19" s="12" t="s">
        <v>73</v>
      </c>
      <c r="AF19" s="12" t="s">
        <v>74</v>
      </c>
      <c r="AG19" s="12" t="s">
        <v>201</v>
      </c>
      <c r="AH19" s="12" t="s">
        <v>195</v>
      </c>
      <c r="AI19" s="12">
        <v>273</v>
      </c>
      <c r="AJ19" s="32" cm="1">
        <f t="array" ref="AJ19">_xlfn.XLOOKUP(
1,
(Table354[Match ID]=Table354[[#This Row],[Match ID]])*
(Table354[Team]=Table354[[#This Row],[Opponent]]),
Table354[Wickets Lost (batting)]
)</f>
        <v>8</v>
      </c>
      <c r="AK19" s="12">
        <v>2</v>
      </c>
      <c r="AL19" s="12">
        <v>35</v>
      </c>
      <c r="AM19" s="12">
        <v>0</v>
      </c>
      <c r="AN19" s="12">
        <v>28</v>
      </c>
      <c r="AO19" s="12">
        <v>8</v>
      </c>
      <c r="AP19" s="12">
        <v>36</v>
      </c>
      <c r="AQ19" s="12">
        <v>7.8</v>
      </c>
      <c r="AR19" s="12" t="str">
        <f>_xlfn.XLOOKUP(Table354[[#This Row],[Match ID]],Calculations_1[Match ID],Calculations_1[Winning Team])</f>
        <v>India</v>
      </c>
      <c r="AS19" s="12">
        <v>2</v>
      </c>
      <c r="AT19" s="12">
        <v>8</v>
      </c>
      <c r="AU19" s="12">
        <v>2</v>
      </c>
      <c r="AV19" s="12">
        <v>15</v>
      </c>
      <c r="AW19" s="12">
        <f>1</f>
        <v>1</v>
      </c>
      <c r="AX19" s="12">
        <f>IF(Table354[[#This Row],[Team]]=_xlfn.XLOOKUP(Table354[[#This Row],[Match ID]],Calculations_1[Match ID],Calculations_1[Winning Team]),1,0)</f>
        <v>1</v>
      </c>
      <c r="AY19" s="12">
        <f>IF(NOT(Table354[[#This Row],[Win(1/0)]]),1,0)</f>
        <v>0</v>
      </c>
      <c r="AZ19" s="12" t="str">
        <f>IF(Table354[[#This Row],[Win(1/0)]]=1,"Win","Loss")</f>
        <v>Win</v>
      </c>
      <c r="BA19" s="12">
        <f>IF(Table354[[#This Row],[Team]]=_xlfn.XLOOKUP(Table354[[#This Row],[Match ID]],Calculations_1[Match ID],Calculations_1[Toss Winner]),1,0)</f>
        <v>0</v>
      </c>
      <c r="BB19" s="12">
        <f>Table354[[#This Row],[Win(1/0)]]*Table354[[#This Row],[Toss Won (1/0)]]</f>
        <v>0</v>
      </c>
      <c r="BC19" s="12" t="str" cm="1">
        <f t="array" ref="BC19">_xlfn.XLOOKUP(Table354[[#This Row],[Match ID]],Calculations_1[Match ID],Calculations_1[Toss Decision],NA,0)</f>
        <v>Bat</v>
      </c>
    </row>
    <row r="20" spans="1:55" x14ac:dyDescent="0.3">
      <c r="A20" s="12">
        <v>19</v>
      </c>
      <c r="B20" s="23">
        <f>IF(ISNUMBER(Table1[[#This Row],[Match Date]]),DATE(YEAR(Table1[[#This Row],[Match Date]]),DAY(Table1[[#This Row],[Match Date]]),MONTH(Table1[[#This Row],[Match Date]])),DATE(VALUE(RIGHT(TRIM(Table1[[#This Row],[Match Date]]),4)),VALUE(MID(TRIM(Table1[[#This Row],[Match Date]]),4,2)),VALUE(LEFT(TRIM(Table1[[#This Row],[Match Date]]),2))))</f>
        <v>45220</v>
      </c>
      <c r="C20" s="12" t="str">
        <f>TRIM(Table1[[#This Row],[City]])</f>
        <v>Lucknow</v>
      </c>
      <c r="D20" s="12" t="str">
        <f>IF(AND(TRIM(Table1[[#This Row],[Stadium]])="Eden Gardens",TRIM(Table1[[#This Row],[City]])&lt;&gt;"Kolkata"),"Rajiv Gandhi International Stadium",TRIM(Table1[[#This Row],[Stadium]]))</f>
        <v>BRSABV Ekana Cricket Stadium</v>
      </c>
      <c r="E20" s="12" t="str">
        <f>SUBSTITUTE(Table1[[#This Row],[Team A]],"NewZealand","New Zealand")</f>
        <v>Netherlands</v>
      </c>
      <c r="F20" s="12" t="str">
        <f>SUBSTITUTE(Table1[[#This Row],[Team B]],"NewZealand","New Zealand")</f>
        <v>Sri Lanka</v>
      </c>
      <c r="G20" s="12" t="str">
        <f>SUBSTITUTE(Table1[[#This Row],[Toss Winner]],"NewZealand","New Zealand")</f>
        <v>Netherlands</v>
      </c>
      <c r="H20" s="12" t="str">
        <f>SUBSTITUTE(Table1[[#This Row],[Wining Team]],"NewZealand","New Zealand")</f>
        <v>Sri Lanka</v>
      </c>
      <c r="I20" s="12" t="str">
        <f>TRIM(Table1[[#This Row],[Toss Decision]])</f>
        <v>Bat</v>
      </c>
      <c r="J20" s="12">
        <f>Table1[[#This Row],[Score A]]</f>
        <v>262</v>
      </c>
      <c r="K20" s="12">
        <f>Table1[[#This Row],[Score B]]</f>
        <v>263</v>
      </c>
      <c r="L20" s="12">
        <f>SUM(Calculations_1[[#This Row],[Score A]],Calculations_1[[#This Row],[Score B]])</f>
        <v>525</v>
      </c>
      <c r="M20" s="12">
        <f>SUM(Table1[[#This Row],[Wickets A]],Table1[[#This Row],[Wickets B]])</f>
        <v>15</v>
      </c>
      <c r="N20" s="12">
        <f>SUM(Table1[[#This Row],[4s A]],Table1[[#This Row],[4s B]])</f>
        <v>37</v>
      </c>
      <c r="O20" s="12">
        <f>SUM(Table1[[#This Row],[6s A]],Table1[[#This Row],[6s B]])</f>
        <v>6</v>
      </c>
      <c r="P20" s="12">
        <f>SUM(Calculations_1[[#This Row],[Total 4s (match)]],Calculations_1[[#This Row],[Total 6s (match)]])</f>
        <v>43</v>
      </c>
      <c r="Q20" s="12" t="str">
        <f>TRIM(Table1[[#This Row],[Margin]])</f>
        <v>5 Wickets</v>
      </c>
      <c r="R20" s="12">
        <f>VALUE(LEFT(Calculations_1[[#This Row],[Margin (text)]],FIND(" ",Calculations_1[[#This Row],[Margin (text)]])-1))</f>
        <v>5</v>
      </c>
      <c r="S20" s="12" t="str">
        <f>IF(ISNUMBER(SEARCH("DLS",Calculations_1[[#This Row],[Margin (text)]])),"Runs (DLS) Method",IF(ISNUMBER(SEARCH("run",Calculations_1[[#This Row],[Margin (text)]])),"Runs","Wickets"))</f>
        <v>Wickets</v>
      </c>
      <c r="T20" s="12" t="str">
        <f>IF(Calculations_1[[#This Row],[Winning Margin Type]]="Wickets","Chasing Won",IF(Calculations_1[[#This Row],[Winning Margin Type]]="Runs","Batting First Won","DLS Result"))</f>
        <v>Chasing Won</v>
      </c>
      <c r="U20" s="12">
        <f>IF(Calculations_1[[#This Row],[Toss Winner]]=Calculations_1[[#This Row],[Winning Team]],1,0)</f>
        <v>0</v>
      </c>
      <c r="V20" s="12" t="str">
        <f>IF(Calculations_1[[#This Row],[Toss Winner Won Match (1/0)]]=1,"Toss Winner Won","Toss Winner Lost")</f>
        <v>Toss Winner Lost</v>
      </c>
      <c r="W20" s="12" t="str">
        <f>TRIM(Table1[[#This Row],[Man of the Match]])</f>
        <v>Sadeera Samarawickrama</v>
      </c>
      <c r="X20" s="12" t="str" cm="1">
        <f t="array" ref="X20">IF(Calculations_1[[#This Row],[Winning Margin Type]]="Runs",_xlfn.IFS(Calculations_1[[#This Row],[Margin Value]]&lt;=50,"1-50",Calculations_1[[#This Row],[Margin Value]]&lt;=100,"51-100",Calculations_1[[#This Row],[Margin Value]]&lt;=150,"101-150",Calculations_1[[#This Row],[Margin Value]]&lt;=200,"151-200",TRUE,"201+"),"")</f>
        <v/>
      </c>
      <c r="Y20" s="12" t="str" cm="1">
        <f t="array" ref="Y20">IF(Calculations_1[[#This Row],[Winning Margin Type]]="Wickets",_xlfn.IFS(Calculations_1[[#This Row],[Margin Value]]&lt;=3,"1-3",Calculations_1[[#This Row],[Margin Value]]&lt;=6,"4-6",Calculations_1[[#This Row],[Margin Value]]&lt;=10,"7-10"),"")</f>
        <v>4-6</v>
      </c>
      <c r="AA20" s="12">
        <v>10</v>
      </c>
      <c r="AB20" s="22">
        <v>45211</v>
      </c>
      <c r="AC20" s="12" t="s">
        <v>75</v>
      </c>
      <c r="AD20" s="12" t="s">
        <v>84</v>
      </c>
      <c r="AE20" s="12" t="s">
        <v>103</v>
      </c>
      <c r="AF20" s="12" t="s">
        <v>104</v>
      </c>
      <c r="AG20" s="12" t="s">
        <v>202</v>
      </c>
      <c r="AH20" s="12" t="s">
        <v>203</v>
      </c>
      <c r="AI20" s="12">
        <v>311</v>
      </c>
      <c r="AJ20" s="32" cm="1">
        <f t="array" ref="AJ20">_xlfn.XLOOKUP(
1,
(Table354[Match ID]=Table354[[#This Row],[Match ID]])*
(Table354[Team]=Table354[[#This Row],[Opponent]]),
Table354[Wickets Lost (batting)]
)</f>
        <v>10</v>
      </c>
      <c r="AK20" s="12">
        <v>7</v>
      </c>
      <c r="AL20" s="12">
        <v>50</v>
      </c>
      <c r="AM20" s="12">
        <v>3</v>
      </c>
      <c r="AN20" s="12">
        <v>26</v>
      </c>
      <c r="AO20" s="12">
        <v>8</v>
      </c>
      <c r="AP20" s="12">
        <v>34</v>
      </c>
      <c r="AQ20" s="12">
        <v>6.22</v>
      </c>
      <c r="AR20" s="12" t="str">
        <f>_xlfn.XLOOKUP(Table354[[#This Row],[Match ID]],Calculations_1[Match ID],Calculations_1[Winning Team])</f>
        <v>South Africa</v>
      </c>
      <c r="AS20" s="12">
        <v>0</v>
      </c>
      <c r="AT20" s="12">
        <v>11</v>
      </c>
      <c r="AU20" s="12">
        <v>2</v>
      </c>
      <c r="AV20" s="12">
        <v>17</v>
      </c>
      <c r="AW20" s="12">
        <f>1</f>
        <v>1</v>
      </c>
      <c r="AX20" s="12">
        <f>IF(Table354[[#This Row],[Team]]=_xlfn.XLOOKUP(Table354[[#This Row],[Match ID]],Calculations_1[Match ID],Calculations_1[Winning Team]),1,0)</f>
        <v>1</v>
      </c>
      <c r="AY20" s="12">
        <f>IF(NOT(Table354[[#This Row],[Win(1/0)]]),1,0)</f>
        <v>0</v>
      </c>
      <c r="AZ20" s="12" t="str">
        <f>IF(Table354[[#This Row],[Win(1/0)]]=1,"Win","Loss")</f>
        <v>Win</v>
      </c>
      <c r="BA20" s="12">
        <f>IF(Table354[[#This Row],[Team]]=_xlfn.XLOOKUP(Table354[[#This Row],[Match ID]],Calculations_1[Match ID],Calculations_1[Toss Winner]),1,0)</f>
        <v>0</v>
      </c>
      <c r="BB20" s="12">
        <f>Table354[[#This Row],[Win(1/0)]]*Table354[[#This Row],[Toss Won (1/0)]]</f>
        <v>0</v>
      </c>
      <c r="BC20" s="12" t="str" cm="1">
        <f t="array" ref="BC20">_xlfn.XLOOKUP(Table354[[#This Row],[Match ID]],Calculations_1[Match ID],Calculations_1[Toss Decision],NA,0)</f>
        <v>Field</v>
      </c>
    </row>
    <row r="21" spans="1:55" x14ac:dyDescent="0.3">
      <c r="A21" s="12">
        <v>20</v>
      </c>
      <c r="B21" s="23">
        <f>IF(ISNUMBER(Table1[[#This Row],[Match Date]]),DATE(YEAR(Table1[[#This Row],[Match Date]]),DAY(Table1[[#This Row],[Match Date]]),MONTH(Table1[[#This Row],[Match Date]])),DATE(VALUE(RIGHT(TRIM(Table1[[#This Row],[Match Date]]),4)),VALUE(MID(TRIM(Table1[[#This Row],[Match Date]]),4,2)),VALUE(LEFT(TRIM(Table1[[#This Row],[Match Date]]),2))))</f>
        <v>45220</v>
      </c>
      <c r="C21" s="12" t="str">
        <f>TRIM(Table1[[#This Row],[City]])</f>
        <v>Mumbai</v>
      </c>
      <c r="D21" s="12" t="str">
        <f>IF(AND(TRIM(Table1[[#This Row],[Stadium]])="Eden Gardens",TRIM(Table1[[#This Row],[City]])&lt;&gt;"Kolkata"),"Rajiv Gandhi International Stadium",TRIM(Table1[[#This Row],[Stadium]]))</f>
        <v>Wankhede Stadium</v>
      </c>
      <c r="E21" s="12" t="str">
        <f>SUBSTITUTE(Table1[[#This Row],[Team A]],"NewZealand","New Zealand")</f>
        <v>South Africa</v>
      </c>
      <c r="F21" s="12" t="str">
        <f>SUBSTITUTE(Table1[[#This Row],[Team B]],"NewZealand","New Zealand")</f>
        <v>England</v>
      </c>
      <c r="G21" s="12" t="str">
        <f>SUBSTITUTE(Table1[[#This Row],[Toss Winner]],"NewZealand","New Zealand")</f>
        <v>England</v>
      </c>
      <c r="H21" s="12" t="str">
        <f>SUBSTITUTE(Table1[[#This Row],[Wining Team]],"NewZealand","New Zealand")</f>
        <v>South Africa</v>
      </c>
      <c r="I21" s="12" t="str">
        <f>TRIM(Table1[[#This Row],[Toss Decision]])</f>
        <v>Field</v>
      </c>
      <c r="J21" s="12">
        <f>Table1[[#This Row],[Score A]]</f>
        <v>399</v>
      </c>
      <c r="K21" s="12">
        <f>Table1[[#This Row],[Score B]]</f>
        <v>170</v>
      </c>
      <c r="L21" s="12">
        <f>SUM(Calculations_1[[#This Row],[Score A]],Calculations_1[[#This Row],[Score B]])</f>
        <v>569</v>
      </c>
      <c r="M21" s="12">
        <f>SUM(Table1[[#This Row],[Wickets A]],Table1[[#This Row],[Wickets B]])</f>
        <v>17</v>
      </c>
      <c r="N21" s="12">
        <f>SUM(Table1[[#This Row],[4s A]],Table1[[#This Row],[4s B]])</f>
        <v>56</v>
      </c>
      <c r="O21" s="12">
        <f>SUM(Table1[[#This Row],[6s A]],Table1[[#This Row],[6s B]])</f>
        <v>22</v>
      </c>
      <c r="P21" s="12">
        <f>SUM(Calculations_1[[#This Row],[Total 4s (match)]],Calculations_1[[#This Row],[Total 6s (match)]])</f>
        <v>78</v>
      </c>
      <c r="Q21" s="12" t="str">
        <f>TRIM(Table1[[#This Row],[Margin]])</f>
        <v>229 Runs</v>
      </c>
      <c r="R21" s="12">
        <f>VALUE(LEFT(Calculations_1[[#This Row],[Margin (text)]],FIND(" ",Calculations_1[[#This Row],[Margin (text)]])-1))</f>
        <v>229</v>
      </c>
      <c r="S21" s="12" t="str">
        <f>IF(ISNUMBER(SEARCH("DLS",Calculations_1[[#This Row],[Margin (text)]])),"Runs (DLS) Method",IF(ISNUMBER(SEARCH("run",Calculations_1[[#This Row],[Margin (text)]])),"Runs","Wickets"))</f>
        <v>Runs</v>
      </c>
      <c r="T21" s="12" t="str">
        <f>IF(Calculations_1[[#This Row],[Winning Margin Type]]="Wickets","Chasing Won",IF(Calculations_1[[#This Row],[Winning Margin Type]]="Runs","Batting First Won","DLS Result"))</f>
        <v>Batting First Won</v>
      </c>
      <c r="U21" s="12">
        <f>IF(Calculations_1[[#This Row],[Toss Winner]]=Calculations_1[[#This Row],[Winning Team]],1,0)</f>
        <v>0</v>
      </c>
      <c r="V21" s="12" t="str">
        <f>IF(Calculations_1[[#This Row],[Toss Winner Won Match (1/0)]]=1,"Toss Winner Won","Toss Winner Lost")</f>
        <v>Toss Winner Lost</v>
      </c>
      <c r="W21" s="12" t="str">
        <f>TRIM(Table1[[#This Row],[Man of the Match]])</f>
        <v>Heinrich Klaasen</v>
      </c>
      <c r="X21" s="12" t="str" cm="1">
        <f t="array" ref="X21">IF(Calculations_1[[#This Row],[Winning Margin Type]]="Runs",_xlfn.IFS(Calculations_1[[#This Row],[Margin Value]]&lt;=50,"1-50",Calculations_1[[#This Row],[Margin Value]]&lt;=100,"51-100",Calculations_1[[#This Row],[Margin Value]]&lt;=150,"101-150",Calculations_1[[#This Row],[Margin Value]]&lt;=200,"151-200",TRUE,"201+"),"")</f>
        <v>201+</v>
      </c>
      <c r="Y21" s="12" t="str" cm="1">
        <f t="array" ref="Y21">IF(Calculations_1[[#This Row],[Winning Margin Type]]="Wickets",_xlfn.IFS(Calculations_1[[#This Row],[Margin Value]]&lt;=3,"1-3",Calculations_1[[#This Row],[Margin Value]]&lt;=6,"4-6",Calculations_1[[#This Row],[Margin Value]]&lt;=10,"7-10"),"")</f>
        <v/>
      </c>
      <c r="AA21" s="12">
        <v>10</v>
      </c>
      <c r="AB21" s="22">
        <v>45211</v>
      </c>
      <c r="AC21" s="12" t="s">
        <v>84</v>
      </c>
      <c r="AD21" s="12" t="s">
        <v>75</v>
      </c>
      <c r="AE21" s="12" t="s">
        <v>103</v>
      </c>
      <c r="AF21" s="12" t="s">
        <v>104</v>
      </c>
      <c r="AG21" s="12" t="s">
        <v>202</v>
      </c>
      <c r="AH21" s="12" t="s">
        <v>203</v>
      </c>
      <c r="AI21" s="12">
        <v>177</v>
      </c>
      <c r="AJ21" s="32" cm="1">
        <f t="array" ref="AJ21">_xlfn.XLOOKUP(
1,
(Table354[Match ID]=Table354[[#This Row],[Match ID]])*
(Table354[Team]=Table354[[#This Row],[Opponent]]),
Table354[Wickets Lost (batting)]
)</f>
        <v>7</v>
      </c>
      <c r="AK21" s="12">
        <v>10</v>
      </c>
      <c r="AL21" s="12">
        <v>40.5</v>
      </c>
      <c r="AM21" s="12">
        <v>2</v>
      </c>
      <c r="AN21" s="12">
        <v>19</v>
      </c>
      <c r="AO21" s="12">
        <v>0</v>
      </c>
      <c r="AP21" s="12">
        <v>19</v>
      </c>
      <c r="AQ21" s="12">
        <v>4.33</v>
      </c>
      <c r="AR21" s="12" t="str">
        <f>_xlfn.XLOOKUP(Table354[[#This Row],[Match ID]],Calculations_1[Match ID],Calculations_1[Winning Team])</f>
        <v>South Africa</v>
      </c>
      <c r="AS21" s="12">
        <v>4</v>
      </c>
      <c r="AT21" s="12">
        <v>7</v>
      </c>
      <c r="AU21" s="12">
        <v>0</v>
      </c>
      <c r="AV21" s="12">
        <v>13</v>
      </c>
      <c r="AW21" s="12">
        <f>1</f>
        <v>1</v>
      </c>
      <c r="AX21" s="12">
        <f>IF(Table354[[#This Row],[Team]]=_xlfn.XLOOKUP(Table354[[#This Row],[Match ID]],Calculations_1[Match ID],Calculations_1[Winning Team]),1,0)</f>
        <v>0</v>
      </c>
      <c r="AY21" s="12">
        <f>IF(NOT(Table354[[#This Row],[Win(1/0)]]),1,0)</f>
        <v>1</v>
      </c>
      <c r="AZ21" s="12" t="str">
        <f>IF(Table354[[#This Row],[Win(1/0)]]=1,"Win","Loss")</f>
        <v>Loss</v>
      </c>
      <c r="BA21" s="12">
        <f>IF(Table354[[#This Row],[Team]]=_xlfn.XLOOKUP(Table354[[#This Row],[Match ID]],Calculations_1[Match ID],Calculations_1[Toss Winner]),1,0)</f>
        <v>1</v>
      </c>
      <c r="BB21" s="12">
        <f>Table354[[#This Row],[Win(1/0)]]*Table354[[#This Row],[Toss Won (1/0)]]</f>
        <v>0</v>
      </c>
      <c r="BC21" s="12" t="str" cm="1">
        <f t="array" ref="BC21">_xlfn.XLOOKUP(Table354[[#This Row],[Match ID]],Calculations_1[Match ID],Calculations_1[Toss Decision],NA,0)</f>
        <v>Field</v>
      </c>
    </row>
    <row r="22" spans="1:55" x14ac:dyDescent="0.3">
      <c r="A22" s="12">
        <v>21</v>
      </c>
      <c r="B22" s="23">
        <f>IF(ISNUMBER(Table1[[#This Row],[Match Date]]),DATE(YEAR(Table1[[#This Row],[Match Date]]),DAY(Table1[[#This Row],[Match Date]]),MONTH(Table1[[#This Row],[Match Date]])),DATE(VALUE(RIGHT(TRIM(Table1[[#This Row],[Match Date]]),4)),VALUE(MID(TRIM(Table1[[#This Row],[Match Date]]),4,2)),VALUE(LEFT(TRIM(Table1[[#This Row],[Match Date]]),2))))</f>
        <v>45221</v>
      </c>
      <c r="C22" s="12" t="str">
        <f>TRIM(Table1[[#This Row],[City]])</f>
        <v>Dharamshala</v>
      </c>
      <c r="D22" s="12" t="str">
        <f>IF(AND(TRIM(Table1[[#This Row],[Stadium]])="Eden Gardens",TRIM(Table1[[#This Row],[City]])&lt;&gt;"Kolkata"),"Rajiv Gandhi International Stadium",TRIM(Table1[[#This Row],[Stadium]]))</f>
        <v>HPCA Stadium</v>
      </c>
      <c r="E22" s="12" t="str">
        <f>SUBSTITUTE(Table1[[#This Row],[Team A]],"NewZealand","New Zealand")</f>
        <v>New Zealand</v>
      </c>
      <c r="F22" s="12" t="str">
        <f>SUBSTITUTE(Table1[[#This Row],[Team B]],"NewZealand","New Zealand")</f>
        <v>India</v>
      </c>
      <c r="G22" s="12" t="str">
        <f>SUBSTITUTE(Table1[[#This Row],[Toss Winner]],"NewZealand","New Zealand")</f>
        <v>India</v>
      </c>
      <c r="H22" s="12" t="str">
        <f>SUBSTITUTE(Table1[[#This Row],[Wining Team]],"NewZealand","New Zealand")</f>
        <v>India</v>
      </c>
      <c r="I22" s="12" t="str">
        <f>TRIM(Table1[[#This Row],[Toss Decision]])</f>
        <v>Field</v>
      </c>
      <c r="J22" s="12">
        <f>Table1[[#This Row],[Score A]]</f>
        <v>273</v>
      </c>
      <c r="K22" s="12">
        <f>Table1[[#This Row],[Score B]]</f>
        <v>274</v>
      </c>
      <c r="L22" s="12">
        <f>SUM(Calculations_1[[#This Row],[Score A]],Calculations_1[[#This Row],[Score B]])</f>
        <v>547</v>
      </c>
      <c r="M22" s="12">
        <f>SUM(Table1[[#This Row],[Wickets A]],Table1[[#This Row],[Wickets B]])</f>
        <v>16</v>
      </c>
      <c r="N22" s="12">
        <f>SUM(Table1[[#This Row],[4s A]],Table1[[#This Row],[4s B]])</f>
        <v>48</v>
      </c>
      <c r="O22" s="12">
        <f>SUM(Table1[[#This Row],[6s A]],Table1[[#This Row],[6s B]])</f>
        <v>14</v>
      </c>
      <c r="P22" s="12">
        <f>SUM(Calculations_1[[#This Row],[Total 4s (match)]],Calculations_1[[#This Row],[Total 6s (match)]])</f>
        <v>62</v>
      </c>
      <c r="Q22" s="12" t="str">
        <f>TRIM(Table1[[#This Row],[Margin]])</f>
        <v>4 Wickets</v>
      </c>
      <c r="R22" s="12">
        <f>VALUE(LEFT(Calculations_1[[#This Row],[Margin (text)]],FIND(" ",Calculations_1[[#This Row],[Margin (text)]])-1))</f>
        <v>4</v>
      </c>
      <c r="S22" s="12" t="str">
        <f>IF(ISNUMBER(SEARCH("DLS",Calculations_1[[#This Row],[Margin (text)]])),"Runs (DLS) Method",IF(ISNUMBER(SEARCH("run",Calculations_1[[#This Row],[Margin (text)]])),"Runs","Wickets"))</f>
        <v>Wickets</v>
      </c>
      <c r="T22" s="12" t="str">
        <f>IF(Calculations_1[[#This Row],[Winning Margin Type]]="Wickets","Chasing Won",IF(Calculations_1[[#This Row],[Winning Margin Type]]="Runs","Batting First Won","DLS Result"))</f>
        <v>Chasing Won</v>
      </c>
      <c r="U22" s="12">
        <f>IF(Calculations_1[[#This Row],[Toss Winner]]=Calculations_1[[#This Row],[Winning Team]],1,0)</f>
        <v>1</v>
      </c>
      <c r="V22" s="12" t="str">
        <f>IF(Calculations_1[[#This Row],[Toss Winner Won Match (1/0)]]=1,"Toss Winner Won","Toss Winner Lost")</f>
        <v>Toss Winner Won</v>
      </c>
      <c r="W22" s="12" t="str">
        <f>TRIM(Table1[[#This Row],[Man of the Match]])</f>
        <v>Mohammed Shami</v>
      </c>
      <c r="X22" s="12" t="str" cm="1">
        <f t="array" ref="X22">IF(Calculations_1[[#This Row],[Winning Margin Type]]="Runs",_xlfn.IFS(Calculations_1[[#This Row],[Margin Value]]&lt;=50,"1-50",Calculations_1[[#This Row],[Margin Value]]&lt;=100,"51-100",Calculations_1[[#This Row],[Margin Value]]&lt;=150,"101-150",Calculations_1[[#This Row],[Margin Value]]&lt;=200,"151-200",TRUE,"201+"),"")</f>
        <v/>
      </c>
      <c r="Y22" s="12" t="str" cm="1">
        <f t="array" ref="Y22">IF(Calculations_1[[#This Row],[Winning Margin Type]]="Wickets",_xlfn.IFS(Calculations_1[[#This Row],[Margin Value]]&lt;=3,"1-3",Calculations_1[[#This Row],[Margin Value]]&lt;=6,"4-6",Calculations_1[[#This Row],[Margin Value]]&lt;=10,"7-10"),"")</f>
        <v>4-6</v>
      </c>
      <c r="AA22" s="12">
        <v>11</v>
      </c>
      <c r="AB22" s="22">
        <v>45212</v>
      </c>
      <c r="AC22" s="12" t="s">
        <v>67</v>
      </c>
      <c r="AD22" s="12" t="s">
        <v>200</v>
      </c>
      <c r="AE22" s="12" t="s">
        <v>82</v>
      </c>
      <c r="AF22" s="12" t="s">
        <v>83</v>
      </c>
      <c r="AG22" s="12" t="s">
        <v>201</v>
      </c>
      <c r="AH22" s="12" t="s">
        <v>195</v>
      </c>
      <c r="AI22" s="12">
        <v>245</v>
      </c>
      <c r="AJ22" s="32" cm="1">
        <f t="array" ref="AJ22">_xlfn.XLOOKUP(
1,
(Table354[Match ID]=Table354[[#This Row],[Match ID]])*
(Table354[Team]=Table354[[#This Row],[Opponent]]),
Table354[Wickets Lost (batting)]
)</f>
        <v>2</v>
      </c>
      <c r="AK22" s="12">
        <v>9</v>
      </c>
      <c r="AL22" s="12">
        <v>50</v>
      </c>
      <c r="AM22" s="12">
        <v>1</v>
      </c>
      <c r="AN22" s="12">
        <v>20</v>
      </c>
      <c r="AO22" s="12">
        <v>8</v>
      </c>
      <c r="AP22" s="12">
        <v>28</v>
      </c>
      <c r="AQ22" s="12">
        <v>4.9000000000000004</v>
      </c>
      <c r="AR22" s="12" t="str">
        <f>_xlfn.XLOOKUP(Table354[[#This Row],[Match ID]],Calculations_1[Match ID],Calculations_1[Winning Team])</f>
        <v>New Zealand</v>
      </c>
      <c r="AS22" s="12">
        <v>0</v>
      </c>
      <c r="AT22" s="12">
        <v>10</v>
      </c>
      <c r="AU22" s="12">
        <v>0</v>
      </c>
      <c r="AV22" s="12">
        <v>11</v>
      </c>
      <c r="AW22" s="12">
        <f>1</f>
        <v>1</v>
      </c>
      <c r="AX22" s="12">
        <f>IF(Table354[[#This Row],[Team]]=_xlfn.XLOOKUP(Table354[[#This Row],[Match ID]],Calculations_1[Match ID],Calculations_1[Winning Team]),1,0)</f>
        <v>0</v>
      </c>
      <c r="AY22" s="12">
        <f>IF(NOT(Table354[[#This Row],[Win(1/0)]]),1,0)</f>
        <v>1</v>
      </c>
      <c r="AZ22" s="12" t="str">
        <f>IF(Table354[[#This Row],[Win(1/0)]]=1,"Win","Loss")</f>
        <v>Loss</v>
      </c>
      <c r="BA22" s="12">
        <f>IF(Table354[[#This Row],[Team]]=_xlfn.XLOOKUP(Table354[[#This Row],[Match ID]],Calculations_1[Match ID],Calculations_1[Toss Winner]),1,0)</f>
        <v>0</v>
      </c>
      <c r="BB22" s="12">
        <f>Table354[[#This Row],[Win(1/0)]]*Table354[[#This Row],[Toss Won (1/0)]]</f>
        <v>0</v>
      </c>
      <c r="BC22" s="12" t="str" cm="1">
        <f t="array" ref="BC22">_xlfn.XLOOKUP(Table354[[#This Row],[Match ID]],Calculations_1[Match ID],Calculations_1[Toss Decision],NA,0)</f>
        <v>Field</v>
      </c>
    </row>
    <row r="23" spans="1:55" x14ac:dyDescent="0.3">
      <c r="A23" s="12">
        <v>22</v>
      </c>
      <c r="B23" s="23">
        <f>IF(ISNUMBER(Table1[[#This Row],[Match Date]]),DATE(YEAR(Table1[[#This Row],[Match Date]]),DAY(Table1[[#This Row],[Match Date]]),MONTH(Table1[[#This Row],[Match Date]])),DATE(VALUE(RIGHT(TRIM(Table1[[#This Row],[Match Date]]),4)),VALUE(MID(TRIM(Table1[[#This Row],[Match Date]]),4,2)),VALUE(LEFT(TRIM(Table1[[#This Row],[Match Date]]),2))))</f>
        <v>45222</v>
      </c>
      <c r="C23" s="12" t="str">
        <f>TRIM(Table1[[#This Row],[City]])</f>
        <v>Chennai</v>
      </c>
      <c r="D23" s="12" t="str">
        <f>IF(AND(TRIM(Table1[[#This Row],[Stadium]])="Eden Gardens",TRIM(Table1[[#This Row],[City]])&lt;&gt;"Kolkata"),"Rajiv Gandhi International Stadium",TRIM(Table1[[#This Row],[Stadium]]))</f>
        <v>M. A. Chidambaram Stadium</v>
      </c>
      <c r="E23" s="12" t="str">
        <f>SUBSTITUTE(Table1[[#This Row],[Team A]],"NewZealand","New Zealand")</f>
        <v>Pakistan</v>
      </c>
      <c r="F23" s="12" t="str">
        <f>SUBSTITUTE(Table1[[#This Row],[Team B]],"NewZealand","New Zealand")</f>
        <v>Afghanistan</v>
      </c>
      <c r="G23" s="12" t="str">
        <f>SUBSTITUTE(Table1[[#This Row],[Toss Winner]],"NewZealand","New Zealand")</f>
        <v>Pakistan</v>
      </c>
      <c r="H23" s="12" t="str">
        <f>SUBSTITUTE(Table1[[#This Row],[Wining Team]],"NewZealand","New Zealand")</f>
        <v>Afghanistan</v>
      </c>
      <c r="I23" s="12" t="str">
        <f>TRIM(Table1[[#This Row],[Toss Decision]])</f>
        <v>Bat</v>
      </c>
      <c r="J23" s="12">
        <f>Table1[[#This Row],[Score A]]</f>
        <v>282</v>
      </c>
      <c r="K23" s="12">
        <f>Table1[[#This Row],[Score B]]</f>
        <v>286</v>
      </c>
      <c r="L23" s="12">
        <f>SUM(Calculations_1[[#This Row],[Score A]],Calculations_1[[#This Row],[Score B]])</f>
        <v>568</v>
      </c>
      <c r="M23" s="12">
        <f>SUM(Table1[[#This Row],[Wickets A]],Table1[[#This Row],[Wickets B]])</f>
        <v>9</v>
      </c>
      <c r="N23" s="12">
        <f>SUM(Table1[[#This Row],[4s A]],Table1[[#This Row],[4s B]])</f>
        <v>45</v>
      </c>
      <c r="O23" s="12">
        <f>SUM(Table1[[#This Row],[6s A]],Table1[[#This Row],[6s B]])</f>
        <v>12</v>
      </c>
      <c r="P23" s="12">
        <f>SUM(Calculations_1[[#This Row],[Total 4s (match)]],Calculations_1[[#This Row],[Total 6s (match)]])</f>
        <v>57</v>
      </c>
      <c r="Q23" s="12" t="str">
        <f>TRIM(Table1[[#This Row],[Margin]])</f>
        <v>8 Wickets</v>
      </c>
      <c r="R23" s="12">
        <f>VALUE(LEFT(Calculations_1[[#This Row],[Margin (text)]],FIND(" ",Calculations_1[[#This Row],[Margin (text)]])-1))</f>
        <v>8</v>
      </c>
      <c r="S23" s="12" t="str">
        <f>IF(ISNUMBER(SEARCH("DLS",Calculations_1[[#This Row],[Margin (text)]])),"Runs (DLS) Method",IF(ISNUMBER(SEARCH("run",Calculations_1[[#This Row],[Margin (text)]])),"Runs","Wickets"))</f>
        <v>Wickets</v>
      </c>
      <c r="T23" s="12" t="str">
        <f>IF(Calculations_1[[#This Row],[Winning Margin Type]]="Wickets","Chasing Won",IF(Calculations_1[[#This Row],[Winning Margin Type]]="Runs","Batting First Won","DLS Result"))</f>
        <v>Chasing Won</v>
      </c>
      <c r="U23" s="12">
        <f>IF(Calculations_1[[#This Row],[Toss Winner]]=Calculations_1[[#This Row],[Winning Team]],1,0)</f>
        <v>0</v>
      </c>
      <c r="V23" s="12" t="str">
        <f>IF(Calculations_1[[#This Row],[Toss Winner Won Match (1/0)]]=1,"Toss Winner Won","Toss Winner Lost")</f>
        <v>Toss Winner Lost</v>
      </c>
      <c r="W23" s="12" t="str">
        <f>TRIM(Table1[[#This Row],[Man of the Match]])</f>
        <v>Ibrahim Zadran</v>
      </c>
      <c r="X23" s="12" t="str" cm="1">
        <f t="array" ref="X23">IF(Calculations_1[[#This Row],[Winning Margin Type]]="Runs",_xlfn.IFS(Calculations_1[[#This Row],[Margin Value]]&lt;=50,"1-50",Calculations_1[[#This Row],[Margin Value]]&lt;=100,"51-100",Calculations_1[[#This Row],[Margin Value]]&lt;=150,"101-150",Calculations_1[[#This Row],[Margin Value]]&lt;=200,"151-200",TRUE,"201+"),"")</f>
        <v/>
      </c>
      <c r="Y23" s="12" t="str" cm="1">
        <f t="array" ref="Y23">IF(Calculations_1[[#This Row],[Winning Margin Type]]="Wickets",_xlfn.IFS(Calculations_1[[#This Row],[Margin Value]]&lt;=3,"1-3",Calculations_1[[#This Row],[Margin Value]]&lt;=6,"4-6",Calculations_1[[#This Row],[Margin Value]]&lt;=10,"7-10"),"")</f>
        <v>7-10</v>
      </c>
      <c r="AA23" s="12">
        <v>11</v>
      </c>
      <c r="AB23" s="22">
        <v>45212</v>
      </c>
      <c r="AC23" s="12" t="s">
        <v>200</v>
      </c>
      <c r="AD23" s="12" t="s">
        <v>67</v>
      </c>
      <c r="AE23" s="12" t="s">
        <v>82</v>
      </c>
      <c r="AF23" s="12" t="s">
        <v>83</v>
      </c>
      <c r="AG23" s="12" t="s">
        <v>201</v>
      </c>
      <c r="AH23" s="12" t="s">
        <v>195</v>
      </c>
      <c r="AI23" s="12">
        <v>248</v>
      </c>
      <c r="AJ23" s="32" cm="1">
        <f t="array" ref="AJ23">_xlfn.XLOOKUP(
1,
(Table354[Match ID]=Table354[[#This Row],[Match ID]])*
(Table354[Team]=Table354[[#This Row],[Opponent]]),
Table354[Wickets Lost (batting)]
)</f>
        <v>9</v>
      </c>
      <c r="AK23" s="12">
        <v>2</v>
      </c>
      <c r="AL23" s="12">
        <v>42.5</v>
      </c>
      <c r="AM23" s="12">
        <v>1</v>
      </c>
      <c r="AN23" s="12">
        <v>20</v>
      </c>
      <c r="AO23" s="12">
        <v>6</v>
      </c>
      <c r="AP23" s="12">
        <v>26</v>
      </c>
      <c r="AQ23" s="12">
        <v>5.78</v>
      </c>
      <c r="AR23" s="12" t="str">
        <f>_xlfn.XLOOKUP(Table354[[#This Row],[Match ID]],Calculations_1[Match ID],Calculations_1[Winning Team])</f>
        <v>New Zealand</v>
      </c>
      <c r="AS23" s="12">
        <v>0</v>
      </c>
      <c r="AT23" s="12">
        <v>4</v>
      </c>
      <c r="AU23" s="12">
        <v>4</v>
      </c>
      <c r="AV23" s="12">
        <v>9</v>
      </c>
      <c r="AW23" s="12">
        <f>1</f>
        <v>1</v>
      </c>
      <c r="AX23" s="12">
        <f>IF(Table354[[#This Row],[Team]]=_xlfn.XLOOKUP(Table354[[#This Row],[Match ID]],Calculations_1[Match ID],Calculations_1[Winning Team]),1,0)</f>
        <v>1</v>
      </c>
      <c r="AY23" s="12">
        <f>IF(NOT(Table354[[#This Row],[Win(1/0)]]),1,0)</f>
        <v>0</v>
      </c>
      <c r="AZ23" s="12" t="str">
        <f>IF(Table354[[#This Row],[Win(1/0)]]=1,"Win","Loss")</f>
        <v>Win</v>
      </c>
      <c r="BA23" s="12">
        <f>IF(Table354[[#This Row],[Team]]=_xlfn.XLOOKUP(Table354[[#This Row],[Match ID]],Calculations_1[Match ID],Calculations_1[Toss Winner]),1,0)</f>
        <v>1</v>
      </c>
      <c r="BB23" s="12">
        <f>Table354[[#This Row],[Win(1/0)]]*Table354[[#This Row],[Toss Won (1/0)]]</f>
        <v>1</v>
      </c>
      <c r="BC23" s="12" t="str" cm="1">
        <f t="array" ref="BC23">_xlfn.XLOOKUP(Table354[[#This Row],[Match ID]],Calculations_1[Match ID],Calculations_1[Toss Decision],NA,0)</f>
        <v>Field</v>
      </c>
    </row>
    <row r="24" spans="1:55" x14ac:dyDescent="0.3">
      <c r="A24" s="12">
        <v>23</v>
      </c>
      <c r="B24" s="23">
        <f>IF(ISNUMBER(Table1[[#This Row],[Match Date]]),DATE(YEAR(Table1[[#This Row],[Match Date]]),DAY(Table1[[#This Row],[Match Date]]),MONTH(Table1[[#This Row],[Match Date]])),DATE(VALUE(RIGHT(TRIM(Table1[[#This Row],[Match Date]]),4)),VALUE(MID(TRIM(Table1[[#This Row],[Match Date]]),4,2)),VALUE(LEFT(TRIM(Table1[[#This Row],[Match Date]]),2))))</f>
        <v>45223</v>
      </c>
      <c r="C24" s="12" t="str">
        <f>TRIM(Table1[[#This Row],[City]])</f>
        <v>Mumbai</v>
      </c>
      <c r="D24" s="12" t="str">
        <f>IF(AND(TRIM(Table1[[#This Row],[Stadium]])="Eden Gardens",TRIM(Table1[[#This Row],[City]])&lt;&gt;"Kolkata"),"Rajiv Gandhi International Stadium",TRIM(Table1[[#This Row],[Stadium]]))</f>
        <v>Wankhede Stadium</v>
      </c>
      <c r="E24" s="12" t="str">
        <f>SUBSTITUTE(Table1[[#This Row],[Team A]],"NewZealand","New Zealand")</f>
        <v>South Africa</v>
      </c>
      <c r="F24" s="12" t="str">
        <f>SUBSTITUTE(Table1[[#This Row],[Team B]],"NewZealand","New Zealand")</f>
        <v>Bangladesh</v>
      </c>
      <c r="G24" s="12" t="str">
        <f>SUBSTITUTE(Table1[[#This Row],[Toss Winner]],"NewZealand","New Zealand")</f>
        <v>South Africa</v>
      </c>
      <c r="H24" s="12" t="str">
        <f>SUBSTITUTE(Table1[[#This Row],[Wining Team]],"NewZealand","New Zealand")</f>
        <v>South Africa</v>
      </c>
      <c r="I24" s="12" t="str">
        <f>TRIM(Table1[[#This Row],[Toss Decision]])</f>
        <v>Bat</v>
      </c>
      <c r="J24" s="12">
        <f>Table1[[#This Row],[Score A]]</f>
        <v>382</v>
      </c>
      <c r="K24" s="12">
        <f>Table1[[#This Row],[Score B]]</f>
        <v>233</v>
      </c>
      <c r="L24" s="12">
        <f>SUM(Calculations_1[[#This Row],[Score A]],Calculations_1[[#This Row],[Score B]])</f>
        <v>615</v>
      </c>
      <c r="M24" s="12">
        <f>SUM(Table1[[#This Row],[Wickets A]],Table1[[#This Row],[Wickets B]])</f>
        <v>15</v>
      </c>
      <c r="N24" s="12">
        <f>SUM(Table1[[#This Row],[4s A]],Table1[[#This Row],[4s B]])</f>
        <v>51</v>
      </c>
      <c r="O24" s="12">
        <f>SUM(Table1[[#This Row],[6s A]],Table1[[#This Row],[6s B]])</f>
        <v>24</v>
      </c>
      <c r="P24" s="12">
        <f>SUM(Calculations_1[[#This Row],[Total 4s (match)]],Calculations_1[[#This Row],[Total 6s (match)]])</f>
        <v>75</v>
      </c>
      <c r="Q24" s="12" t="str">
        <f>TRIM(Table1[[#This Row],[Margin]])</f>
        <v>149 Runs</v>
      </c>
      <c r="R24" s="12">
        <f>VALUE(LEFT(Calculations_1[[#This Row],[Margin (text)]],FIND(" ",Calculations_1[[#This Row],[Margin (text)]])-1))</f>
        <v>149</v>
      </c>
      <c r="S24" s="12" t="str">
        <f>IF(ISNUMBER(SEARCH("DLS",Calculations_1[[#This Row],[Margin (text)]])),"Runs (DLS) Method",IF(ISNUMBER(SEARCH("run",Calculations_1[[#This Row],[Margin (text)]])),"Runs","Wickets"))</f>
        <v>Runs</v>
      </c>
      <c r="T24" s="12" t="str">
        <f>IF(Calculations_1[[#This Row],[Winning Margin Type]]="Wickets","Chasing Won",IF(Calculations_1[[#This Row],[Winning Margin Type]]="Runs","Batting First Won","DLS Result"))</f>
        <v>Batting First Won</v>
      </c>
      <c r="U24" s="12">
        <f>IF(Calculations_1[[#This Row],[Toss Winner]]=Calculations_1[[#This Row],[Winning Team]],1,0)</f>
        <v>1</v>
      </c>
      <c r="V24" s="12" t="str">
        <f>IF(Calculations_1[[#This Row],[Toss Winner Won Match (1/0)]]=1,"Toss Winner Won","Toss Winner Lost")</f>
        <v>Toss Winner Won</v>
      </c>
      <c r="W24" s="12" t="str">
        <f>TRIM(Table1[[#This Row],[Man of the Match]])</f>
        <v>Quinton de Kock</v>
      </c>
      <c r="X24" s="12" t="str" cm="1">
        <f t="array" ref="X24">IF(Calculations_1[[#This Row],[Winning Margin Type]]="Runs",_xlfn.IFS(Calculations_1[[#This Row],[Margin Value]]&lt;=50,"1-50",Calculations_1[[#This Row],[Margin Value]]&lt;=100,"51-100",Calculations_1[[#This Row],[Margin Value]]&lt;=150,"101-150",Calculations_1[[#This Row],[Margin Value]]&lt;=200,"151-200",TRUE,"201+"),"")</f>
        <v>101-150</v>
      </c>
      <c r="Y24" s="12" t="str" cm="1">
        <f t="array" ref="Y24">IF(Calculations_1[[#This Row],[Winning Margin Type]]="Wickets",_xlfn.IFS(Calculations_1[[#This Row],[Margin Value]]&lt;=3,"1-3",Calculations_1[[#This Row],[Margin Value]]&lt;=6,"4-6",Calculations_1[[#This Row],[Margin Value]]&lt;=10,"7-10"),"")</f>
        <v/>
      </c>
      <c r="AA24" s="12">
        <v>12</v>
      </c>
      <c r="AB24" s="22">
        <v>45213</v>
      </c>
      <c r="AC24" s="12" t="s">
        <v>56</v>
      </c>
      <c r="AD24" s="12" t="s">
        <v>85</v>
      </c>
      <c r="AE24" s="12" t="s">
        <v>43</v>
      </c>
      <c r="AF24" s="12" t="s">
        <v>44</v>
      </c>
      <c r="AG24" s="12" t="s">
        <v>201</v>
      </c>
      <c r="AH24" s="12" t="s">
        <v>195</v>
      </c>
      <c r="AI24" s="12">
        <v>191</v>
      </c>
      <c r="AJ24" s="32" cm="1">
        <f t="array" ref="AJ24">_xlfn.XLOOKUP(
1,
(Table354[Match ID]=Table354[[#This Row],[Match ID]])*
(Table354[Team]=Table354[[#This Row],[Opponent]]),
Table354[Wickets Lost (batting)]
)</f>
        <v>3</v>
      </c>
      <c r="AK24" s="12">
        <v>10</v>
      </c>
      <c r="AL24" s="12">
        <v>42.5</v>
      </c>
      <c r="AM24" s="12">
        <v>0</v>
      </c>
      <c r="AN24" s="12">
        <v>26</v>
      </c>
      <c r="AO24" s="12">
        <v>0</v>
      </c>
      <c r="AP24" s="12">
        <v>26</v>
      </c>
      <c r="AQ24" s="12">
        <v>4.45</v>
      </c>
      <c r="AR24" s="12" t="str">
        <f>_xlfn.XLOOKUP(Table354[[#This Row],[Match ID]],Calculations_1[Match ID],Calculations_1[Winning Team])</f>
        <v>India</v>
      </c>
      <c r="AS24" s="12">
        <v>0</v>
      </c>
      <c r="AT24" s="12">
        <v>1</v>
      </c>
      <c r="AU24" s="12">
        <v>0</v>
      </c>
      <c r="AV24" s="12">
        <v>6</v>
      </c>
      <c r="AW24" s="12">
        <f>1</f>
        <v>1</v>
      </c>
      <c r="AX24" s="12">
        <f>IF(Table354[[#This Row],[Team]]=_xlfn.XLOOKUP(Table354[[#This Row],[Match ID]],Calculations_1[Match ID],Calculations_1[Winning Team]),1,0)</f>
        <v>0</v>
      </c>
      <c r="AY24" s="12">
        <f>IF(NOT(Table354[[#This Row],[Win(1/0)]]),1,0)</f>
        <v>1</v>
      </c>
      <c r="AZ24" s="12" t="str">
        <f>IF(Table354[[#This Row],[Win(1/0)]]=1,"Win","Loss")</f>
        <v>Loss</v>
      </c>
      <c r="BA24" s="12">
        <f>IF(Table354[[#This Row],[Team]]=_xlfn.XLOOKUP(Table354[[#This Row],[Match ID]],Calculations_1[Match ID],Calculations_1[Toss Winner]),1,0)</f>
        <v>0</v>
      </c>
      <c r="BB24" s="12">
        <f>Table354[[#This Row],[Win(1/0)]]*Table354[[#This Row],[Toss Won (1/0)]]</f>
        <v>0</v>
      </c>
      <c r="BC24" s="12" t="str" cm="1">
        <f t="array" ref="BC24">_xlfn.XLOOKUP(Table354[[#This Row],[Match ID]],Calculations_1[Match ID],Calculations_1[Toss Decision],NA,0)</f>
        <v>Field</v>
      </c>
    </row>
    <row r="25" spans="1:55" x14ac:dyDescent="0.3">
      <c r="A25" s="12">
        <v>24</v>
      </c>
      <c r="B25" s="23">
        <f>IF(ISNUMBER(Table1[[#This Row],[Match Date]]),DATE(YEAR(Table1[[#This Row],[Match Date]]),DAY(Table1[[#This Row],[Match Date]]),MONTH(Table1[[#This Row],[Match Date]])),DATE(VALUE(RIGHT(TRIM(Table1[[#This Row],[Match Date]]),4)),VALUE(MID(TRIM(Table1[[#This Row],[Match Date]]),4,2)),VALUE(LEFT(TRIM(Table1[[#This Row],[Match Date]]),2))))</f>
        <v>45224</v>
      </c>
      <c r="C25" s="12" t="str">
        <f>TRIM(Table1[[#This Row],[City]])</f>
        <v>Delhi</v>
      </c>
      <c r="D25" s="12" t="str">
        <f>IF(AND(TRIM(Table1[[#This Row],[Stadium]])="Eden Gardens",TRIM(Table1[[#This Row],[City]])&lt;&gt;"Kolkata"),"Rajiv Gandhi International Stadium",TRIM(Table1[[#This Row],[Stadium]]))</f>
        <v>Arun Jaitley Stadium</v>
      </c>
      <c r="E25" s="12" t="str">
        <f>SUBSTITUTE(Table1[[#This Row],[Team A]],"NewZealand","New Zealand")</f>
        <v>Australia</v>
      </c>
      <c r="F25" s="12" t="str">
        <f>SUBSTITUTE(Table1[[#This Row],[Team B]],"NewZealand","New Zealand")</f>
        <v>Netherlands</v>
      </c>
      <c r="G25" s="12" t="str">
        <f>SUBSTITUTE(Table1[[#This Row],[Toss Winner]],"NewZealand","New Zealand")</f>
        <v>Australia</v>
      </c>
      <c r="H25" s="12" t="str">
        <f>SUBSTITUTE(Table1[[#This Row],[Wining Team]],"NewZealand","New Zealand")</f>
        <v>Australia</v>
      </c>
      <c r="I25" s="12" t="str">
        <f>TRIM(Table1[[#This Row],[Toss Decision]])</f>
        <v>Bat</v>
      </c>
      <c r="J25" s="12">
        <f>Table1[[#This Row],[Score A]]</f>
        <v>399</v>
      </c>
      <c r="K25" s="12">
        <f>Table1[[#This Row],[Score B]]</f>
        <v>90</v>
      </c>
      <c r="L25" s="12">
        <f>SUM(Calculations_1[[#This Row],[Score A]],Calculations_1[[#This Row],[Score B]])</f>
        <v>489</v>
      </c>
      <c r="M25" s="12">
        <f>SUM(Table1[[#This Row],[Wickets A]],Table1[[#This Row],[Wickets B]])</f>
        <v>18</v>
      </c>
      <c r="N25" s="12">
        <f>SUM(Table1[[#This Row],[4s A]],Table1[[#This Row],[4s B]])</f>
        <v>55</v>
      </c>
      <c r="O25" s="12">
        <f>SUM(Table1[[#This Row],[6s A]],Table1[[#This Row],[6s B]])</f>
        <v>15</v>
      </c>
      <c r="P25" s="12">
        <f>SUM(Calculations_1[[#This Row],[Total 4s (match)]],Calculations_1[[#This Row],[Total 6s (match)]])</f>
        <v>70</v>
      </c>
      <c r="Q25" s="12" t="str">
        <f>TRIM(Table1[[#This Row],[Margin]])</f>
        <v>309 Runs</v>
      </c>
      <c r="R25" s="12">
        <f>VALUE(LEFT(Calculations_1[[#This Row],[Margin (text)]],FIND(" ",Calculations_1[[#This Row],[Margin (text)]])-1))</f>
        <v>309</v>
      </c>
      <c r="S25" s="12" t="str">
        <f>IF(ISNUMBER(SEARCH("DLS",Calculations_1[[#This Row],[Margin (text)]])),"Runs (DLS) Method",IF(ISNUMBER(SEARCH("run",Calculations_1[[#This Row],[Margin (text)]])),"Runs","Wickets"))</f>
        <v>Runs</v>
      </c>
      <c r="T25" s="12" t="str">
        <f>IF(Calculations_1[[#This Row],[Winning Margin Type]]="Wickets","Chasing Won",IF(Calculations_1[[#This Row],[Winning Margin Type]]="Runs","Batting First Won","DLS Result"))</f>
        <v>Batting First Won</v>
      </c>
      <c r="U25" s="12">
        <f>IF(Calculations_1[[#This Row],[Toss Winner]]=Calculations_1[[#This Row],[Winning Team]],1,0)</f>
        <v>1</v>
      </c>
      <c r="V25" s="12" t="str">
        <f>IF(Calculations_1[[#This Row],[Toss Winner Won Match (1/0)]]=1,"Toss Winner Won","Toss Winner Lost")</f>
        <v>Toss Winner Won</v>
      </c>
      <c r="W25" s="12" t="str">
        <f>TRIM(Table1[[#This Row],[Man of the Match]])</f>
        <v>Glenn Maxwell</v>
      </c>
      <c r="X25" s="12" t="str" cm="1">
        <f t="array" ref="X25">IF(Calculations_1[[#This Row],[Winning Margin Type]]="Runs",_xlfn.IFS(Calculations_1[[#This Row],[Margin Value]]&lt;=50,"1-50",Calculations_1[[#This Row],[Margin Value]]&lt;=100,"51-100",Calculations_1[[#This Row],[Margin Value]]&lt;=150,"101-150",Calculations_1[[#This Row],[Margin Value]]&lt;=200,"151-200",TRUE,"201+"),"")</f>
        <v>201+</v>
      </c>
      <c r="Y25" s="12" t="str" cm="1">
        <f t="array" ref="Y25">IF(Calculations_1[[#This Row],[Winning Margin Type]]="Wickets",_xlfn.IFS(Calculations_1[[#This Row],[Margin Value]]&lt;=3,"1-3",Calculations_1[[#This Row],[Margin Value]]&lt;=6,"4-6",Calculations_1[[#This Row],[Margin Value]]&lt;=10,"7-10"),"")</f>
        <v/>
      </c>
      <c r="AA25" s="12">
        <v>12</v>
      </c>
      <c r="AB25" s="22">
        <v>45213</v>
      </c>
      <c r="AC25" s="12" t="s">
        <v>85</v>
      </c>
      <c r="AD25" s="12" t="s">
        <v>56</v>
      </c>
      <c r="AE25" s="12" t="s">
        <v>43</v>
      </c>
      <c r="AF25" s="12" t="s">
        <v>44</v>
      </c>
      <c r="AG25" s="12" t="s">
        <v>201</v>
      </c>
      <c r="AH25" s="12" t="s">
        <v>195</v>
      </c>
      <c r="AI25" s="12">
        <v>192</v>
      </c>
      <c r="AJ25" s="32" cm="1">
        <f t="array" ref="AJ25">_xlfn.XLOOKUP(
1,
(Table354[Match ID]=Table354[[#This Row],[Match ID]])*
(Table354[Team]=Table354[[#This Row],[Opponent]]),
Table354[Wickets Lost (batting)]
)</f>
        <v>10</v>
      </c>
      <c r="AK25" s="12">
        <v>3</v>
      </c>
      <c r="AL25" s="12">
        <v>30.3</v>
      </c>
      <c r="AM25" s="12">
        <v>1</v>
      </c>
      <c r="AN25" s="12">
        <v>17</v>
      </c>
      <c r="AO25" s="12">
        <v>8</v>
      </c>
      <c r="AP25" s="12">
        <v>25</v>
      </c>
      <c r="AQ25" s="12">
        <v>6.29</v>
      </c>
      <c r="AR25" s="12" t="str">
        <f>_xlfn.XLOOKUP(Table354[[#This Row],[Match ID]],Calculations_1[Match ID],Calculations_1[Winning Team])</f>
        <v>India</v>
      </c>
      <c r="AS25" s="12">
        <v>1</v>
      </c>
      <c r="AT25" s="12">
        <v>1</v>
      </c>
      <c r="AU25" s="12">
        <v>0</v>
      </c>
      <c r="AV25" s="12">
        <v>4</v>
      </c>
      <c r="AW25" s="12">
        <f>1</f>
        <v>1</v>
      </c>
      <c r="AX25" s="12">
        <f>IF(Table354[[#This Row],[Team]]=_xlfn.XLOOKUP(Table354[[#This Row],[Match ID]],Calculations_1[Match ID],Calculations_1[Winning Team]),1,0)</f>
        <v>1</v>
      </c>
      <c r="AY25" s="12">
        <f>IF(NOT(Table354[[#This Row],[Win(1/0)]]),1,0)</f>
        <v>0</v>
      </c>
      <c r="AZ25" s="12" t="str">
        <f>IF(Table354[[#This Row],[Win(1/0)]]=1,"Win","Loss")</f>
        <v>Win</v>
      </c>
      <c r="BA25" s="12">
        <f>IF(Table354[[#This Row],[Team]]=_xlfn.XLOOKUP(Table354[[#This Row],[Match ID]],Calculations_1[Match ID],Calculations_1[Toss Winner]),1,0)</f>
        <v>1</v>
      </c>
      <c r="BB25" s="12">
        <f>Table354[[#This Row],[Win(1/0)]]*Table354[[#This Row],[Toss Won (1/0)]]</f>
        <v>1</v>
      </c>
      <c r="BC25" s="12" t="str" cm="1">
        <f t="array" ref="BC25">_xlfn.XLOOKUP(Table354[[#This Row],[Match ID]],Calculations_1[Match ID],Calculations_1[Toss Decision],NA,0)</f>
        <v>Field</v>
      </c>
    </row>
    <row r="26" spans="1:55" x14ac:dyDescent="0.3">
      <c r="A26" s="12">
        <v>25</v>
      </c>
      <c r="B26" s="23">
        <f>IF(ISNUMBER(Table1[[#This Row],[Match Date]]),DATE(YEAR(Table1[[#This Row],[Match Date]]),DAY(Table1[[#This Row],[Match Date]]),MONTH(Table1[[#This Row],[Match Date]])),DATE(VALUE(RIGHT(TRIM(Table1[[#This Row],[Match Date]]),4)),VALUE(MID(TRIM(Table1[[#This Row],[Match Date]]),4,2)),VALUE(LEFT(TRIM(Table1[[#This Row],[Match Date]]),2))))</f>
        <v>45225</v>
      </c>
      <c r="C26" s="12" t="str">
        <f>TRIM(Table1[[#This Row],[City]])</f>
        <v>Bangalore</v>
      </c>
      <c r="D26" s="12" t="str">
        <f>IF(AND(TRIM(Table1[[#This Row],[Stadium]])="Eden Gardens",TRIM(Table1[[#This Row],[City]])&lt;&gt;"Kolkata"),"Rajiv Gandhi International Stadium",TRIM(Table1[[#This Row],[Stadium]]))</f>
        <v>M. Chinnaswamy Stadium</v>
      </c>
      <c r="E26" s="12" t="str">
        <f>SUBSTITUTE(Table1[[#This Row],[Team A]],"NewZealand","New Zealand")</f>
        <v>England</v>
      </c>
      <c r="F26" s="12" t="str">
        <f>SUBSTITUTE(Table1[[#This Row],[Team B]],"NewZealand","New Zealand")</f>
        <v>Sri Lanka</v>
      </c>
      <c r="G26" s="12" t="str">
        <f>SUBSTITUTE(Table1[[#This Row],[Toss Winner]],"NewZealand","New Zealand")</f>
        <v>England</v>
      </c>
      <c r="H26" s="12" t="str">
        <f>SUBSTITUTE(Table1[[#This Row],[Wining Team]],"NewZealand","New Zealand")</f>
        <v>Sri Lanka</v>
      </c>
      <c r="I26" s="12" t="str">
        <f>TRIM(Table1[[#This Row],[Toss Decision]])</f>
        <v>Bat</v>
      </c>
      <c r="J26" s="12">
        <f>Table1[[#This Row],[Score A]]</f>
        <v>156</v>
      </c>
      <c r="K26" s="12">
        <f>Table1[[#This Row],[Score B]]</f>
        <v>160</v>
      </c>
      <c r="L26" s="12">
        <f>SUM(Calculations_1[[#This Row],[Score A]],Calculations_1[[#This Row],[Score B]])</f>
        <v>316</v>
      </c>
      <c r="M26" s="12">
        <f>SUM(Table1[[#This Row],[Wickets A]],Table1[[#This Row],[Wickets B]])</f>
        <v>12</v>
      </c>
      <c r="N26" s="12">
        <f>SUM(Table1[[#This Row],[4s A]],Table1[[#This Row],[4s B]])</f>
        <v>36</v>
      </c>
      <c r="O26" s="12">
        <f>SUM(Table1[[#This Row],[6s A]],Table1[[#This Row],[6s B]])</f>
        <v>4</v>
      </c>
      <c r="P26" s="12">
        <f>SUM(Calculations_1[[#This Row],[Total 4s (match)]],Calculations_1[[#This Row],[Total 6s (match)]])</f>
        <v>40</v>
      </c>
      <c r="Q26" s="12" t="str">
        <f>TRIM(Table1[[#This Row],[Margin]])</f>
        <v>8 Wickets</v>
      </c>
      <c r="R26" s="12">
        <f>VALUE(LEFT(Calculations_1[[#This Row],[Margin (text)]],FIND(" ",Calculations_1[[#This Row],[Margin (text)]])-1))</f>
        <v>8</v>
      </c>
      <c r="S26" s="12" t="str">
        <f>IF(ISNUMBER(SEARCH("DLS",Calculations_1[[#This Row],[Margin (text)]])),"Runs (DLS) Method",IF(ISNUMBER(SEARCH("run",Calculations_1[[#This Row],[Margin (text)]])),"Runs","Wickets"))</f>
        <v>Wickets</v>
      </c>
      <c r="T26" s="12" t="str">
        <f>IF(Calculations_1[[#This Row],[Winning Margin Type]]="Wickets","Chasing Won",IF(Calculations_1[[#This Row],[Winning Margin Type]]="Runs","Batting First Won","DLS Result"))</f>
        <v>Chasing Won</v>
      </c>
      <c r="U26" s="12">
        <f>IF(Calculations_1[[#This Row],[Toss Winner]]=Calculations_1[[#This Row],[Winning Team]],1,0)</f>
        <v>0</v>
      </c>
      <c r="V26" s="12" t="str">
        <f>IF(Calculations_1[[#This Row],[Toss Winner Won Match (1/0)]]=1,"Toss Winner Won","Toss Winner Lost")</f>
        <v>Toss Winner Lost</v>
      </c>
      <c r="W26" s="12" t="str">
        <f>TRIM(Table1[[#This Row],[Man of the Match]])</f>
        <v>Lahiru Kumara</v>
      </c>
      <c r="X26" s="12" t="str" cm="1">
        <f t="array" ref="X26">IF(Calculations_1[[#This Row],[Winning Margin Type]]="Runs",_xlfn.IFS(Calculations_1[[#This Row],[Margin Value]]&lt;=50,"1-50",Calculations_1[[#This Row],[Margin Value]]&lt;=100,"51-100",Calculations_1[[#This Row],[Margin Value]]&lt;=150,"101-150",Calculations_1[[#This Row],[Margin Value]]&lt;=200,"151-200",TRUE,"201+"),"")</f>
        <v/>
      </c>
      <c r="Y26" s="12" t="str" cm="1">
        <f t="array" ref="Y26">IF(Calculations_1[[#This Row],[Winning Margin Type]]="Wickets",_xlfn.IFS(Calculations_1[[#This Row],[Margin Value]]&lt;=3,"1-3",Calculations_1[[#This Row],[Margin Value]]&lt;=6,"4-6",Calculations_1[[#This Row],[Margin Value]]&lt;=10,"7-10"),"")</f>
        <v>7-10</v>
      </c>
      <c r="AA26" s="12">
        <v>13</v>
      </c>
      <c r="AB26" s="22">
        <v>45214</v>
      </c>
      <c r="AC26" s="12" t="s">
        <v>66</v>
      </c>
      <c r="AD26" s="12" t="s">
        <v>45</v>
      </c>
      <c r="AE26" s="12" t="s">
        <v>73</v>
      </c>
      <c r="AF26" s="12" t="s">
        <v>74</v>
      </c>
      <c r="AG26" s="12" t="s">
        <v>202</v>
      </c>
      <c r="AH26" s="12" t="s">
        <v>203</v>
      </c>
      <c r="AI26" s="12">
        <v>284</v>
      </c>
      <c r="AJ26" s="32" cm="1">
        <f t="array" ref="AJ26">_xlfn.XLOOKUP(
1,
(Table354[Match ID]=Table354[[#This Row],[Match ID]])*
(Table354[Team]=Table354[[#This Row],[Opponent]]),
Table354[Wickets Lost (batting)]
)</f>
        <v>10</v>
      </c>
      <c r="AK26" s="12">
        <v>10</v>
      </c>
      <c r="AL26" s="12">
        <v>49.5</v>
      </c>
      <c r="AM26" s="12">
        <v>3</v>
      </c>
      <c r="AN26" s="12">
        <v>23</v>
      </c>
      <c r="AO26" s="12">
        <v>8</v>
      </c>
      <c r="AP26" s="12">
        <v>31</v>
      </c>
      <c r="AQ26" s="12">
        <v>5.69</v>
      </c>
      <c r="AR26" s="12" t="str">
        <f>_xlfn.XLOOKUP(Table354[[#This Row],[Match ID]],Calculations_1[Match ID],Calculations_1[Winning Team])</f>
        <v>Afghanistan</v>
      </c>
      <c r="AS26" s="12">
        <v>0</v>
      </c>
      <c r="AT26" s="12">
        <v>8</v>
      </c>
      <c r="AU26" s="12">
        <v>1</v>
      </c>
      <c r="AV26" s="12">
        <v>13</v>
      </c>
      <c r="AW26" s="12">
        <f>1</f>
        <v>1</v>
      </c>
      <c r="AX26" s="12">
        <f>IF(Table354[[#This Row],[Team]]=_xlfn.XLOOKUP(Table354[[#This Row],[Match ID]],Calculations_1[Match ID],Calculations_1[Winning Team]),1,0)</f>
        <v>1</v>
      </c>
      <c r="AY26" s="12">
        <f>IF(NOT(Table354[[#This Row],[Win(1/0)]]),1,0)</f>
        <v>0</v>
      </c>
      <c r="AZ26" s="12" t="str">
        <f>IF(Table354[[#This Row],[Win(1/0)]]=1,"Win","Loss")</f>
        <v>Win</v>
      </c>
      <c r="BA26" s="12">
        <f>IF(Table354[[#This Row],[Team]]=_xlfn.XLOOKUP(Table354[[#This Row],[Match ID]],Calculations_1[Match ID],Calculations_1[Toss Winner]),1,0)</f>
        <v>0</v>
      </c>
      <c r="BB26" s="12">
        <f>Table354[[#This Row],[Win(1/0)]]*Table354[[#This Row],[Toss Won (1/0)]]</f>
        <v>0</v>
      </c>
      <c r="BC26" s="12" t="str" cm="1">
        <f t="array" ref="BC26">_xlfn.XLOOKUP(Table354[[#This Row],[Match ID]],Calculations_1[Match ID],Calculations_1[Toss Decision],NA,0)</f>
        <v>Field</v>
      </c>
    </row>
    <row r="27" spans="1:55" x14ac:dyDescent="0.3">
      <c r="A27" s="12">
        <v>26</v>
      </c>
      <c r="B27" s="23">
        <f>IF(ISNUMBER(Table1[[#This Row],[Match Date]]),DATE(YEAR(Table1[[#This Row],[Match Date]]),DAY(Table1[[#This Row],[Match Date]]),MONTH(Table1[[#This Row],[Match Date]])),DATE(VALUE(RIGHT(TRIM(Table1[[#This Row],[Match Date]]),4)),VALUE(MID(TRIM(Table1[[#This Row],[Match Date]]),4,2)),VALUE(LEFT(TRIM(Table1[[#This Row],[Match Date]]),2))))</f>
        <v>45226</v>
      </c>
      <c r="C27" s="12" t="str">
        <f>TRIM(Table1[[#This Row],[City]])</f>
        <v>Chennai</v>
      </c>
      <c r="D27" s="12" t="str">
        <f>IF(AND(TRIM(Table1[[#This Row],[Stadium]])="Eden Gardens",TRIM(Table1[[#This Row],[City]])&lt;&gt;"Kolkata"),"Rajiv Gandhi International Stadium",TRIM(Table1[[#This Row],[Stadium]]))</f>
        <v>M. A. Chidambaram Stadium</v>
      </c>
      <c r="E27" s="12" t="str">
        <f>SUBSTITUTE(Table1[[#This Row],[Team A]],"NewZealand","New Zealand")</f>
        <v>Pakistan</v>
      </c>
      <c r="F27" s="12" t="str">
        <f>SUBSTITUTE(Table1[[#This Row],[Team B]],"NewZealand","New Zealand")</f>
        <v>South Africa</v>
      </c>
      <c r="G27" s="12" t="str">
        <f>SUBSTITUTE(Table1[[#This Row],[Toss Winner]],"NewZealand","New Zealand")</f>
        <v>Pakistan</v>
      </c>
      <c r="H27" s="12" t="str">
        <f>SUBSTITUTE(Table1[[#This Row],[Wining Team]],"NewZealand","New Zealand")</f>
        <v>South Africa</v>
      </c>
      <c r="I27" s="12" t="str">
        <f>TRIM(Table1[[#This Row],[Toss Decision]])</f>
        <v>Bat</v>
      </c>
      <c r="J27" s="12">
        <f>Table1[[#This Row],[Score A]]</f>
        <v>270</v>
      </c>
      <c r="K27" s="12">
        <f>Table1[[#This Row],[Score B]]</f>
        <v>271</v>
      </c>
      <c r="L27" s="12">
        <f>SUM(Calculations_1[[#This Row],[Score A]],Calculations_1[[#This Row],[Score B]])</f>
        <v>541</v>
      </c>
      <c r="M27" s="12">
        <f>SUM(Table1[[#This Row],[Wickets A]],Table1[[#This Row],[Wickets B]])</f>
        <v>19</v>
      </c>
      <c r="N27" s="12">
        <f>SUM(Table1[[#This Row],[4s A]],Table1[[#This Row],[4s B]])</f>
        <v>44</v>
      </c>
      <c r="O27" s="12">
        <f>SUM(Table1[[#This Row],[6s A]],Table1[[#This Row],[6s B]])</f>
        <v>16</v>
      </c>
      <c r="P27" s="12">
        <f>SUM(Calculations_1[[#This Row],[Total 4s (match)]],Calculations_1[[#This Row],[Total 6s (match)]])</f>
        <v>60</v>
      </c>
      <c r="Q27" s="12" t="str">
        <f>TRIM(Table1[[#This Row],[Margin]])</f>
        <v>1 Wicket</v>
      </c>
      <c r="R27" s="12">
        <f>VALUE(LEFT(Calculations_1[[#This Row],[Margin (text)]],FIND(" ",Calculations_1[[#This Row],[Margin (text)]])-1))</f>
        <v>1</v>
      </c>
      <c r="S27" s="12" t="str">
        <f>IF(ISNUMBER(SEARCH("DLS",Calculations_1[[#This Row],[Margin (text)]])),"Runs (DLS) Method",IF(ISNUMBER(SEARCH("run",Calculations_1[[#This Row],[Margin (text)]])),"Runs","Wickets"))</f>
        <v>Wickets</v>
      </c>
      <c r="T27" s="12" t="str">
        <f>IF(Calculations_1[[#This Row],[Winning Margin Type]]="Wickets","Chasing Won",IF(Calculations_1[[#This Row],[Winning Margin Type]]="Runs","Batting First Won","DLS Result"))</f>
        <v>Chasing Won</v>
      </c>
      <c r="U27" s="12">
        <f>IF(Calculations_1[[#This Row],[Toss Winner]]=Calculations_1[[#This Row],[Winning Team]],1,0)</f>
        <v>0</v>
      </c>
      <c r="V27" s="12" t="str">
        <f>IF(Calculations_1[[#This Row],[Toss Winner Won Match (1/0)]]=1,"Toss Winner Won","Toss Winner Lost")</f>
        <v>Toss Winner Lost</v>
      </c>
      <c r="W27" s="12" t="str">
        <f>TRIM(Table1[[#This Row],[Man of the Match]])</f>
        <v>Tabraiz Shamsi</v>
      </c>
      <c r="X27" s="12" t="str" cm="1">
        <f t="array" ref="X27">IF(Calculations_1[[#This Row],[Winning Margin Type]]="Runs",_xlfn.IFS(Calculations_1[[#This Row],[Margin Value]]&lt;=50,"1-50",Calculations_1[[#This Row],[Margin Value]]&lt;=100,"51-100",Calculations_1[[#This Row],[Margin Value]]&lt;=150,"101-150",Calculations_1[[#This Row],[Margin Value]]&lt;=200,"151-200",TRUE,"201+"),"")</f>
        <v/>
      </c>
      <c r="Y27" s="12" t="str" cm="1">
        <f t="array" ref="Y27">IF(Calculations_1[[#This Row],[Winning Margin Type]]="Wickets",_xlfn.IFS(Calculations_1[[#This Row],[Margin Value]]&lt;=3,"1-3",Calculations_1[[#This Row],[Margin Value]]&lt;=6,"4-6",Calculations_1[[#This Row],[Margin Value]]&lt;=10,"7-10"),"")</f>
        <v>1-3</v>
      </c>
      <c r="AA27" s="12">
        <v>13</v>
      </c>
      <c r="AB27" s="22">
        <v>45214</v>
      </c>
      <c r="AC27" s="12" t="s">
        <v>45</v>
      </c>
      <c r="AD27" s="12" t="s">
        <v>66</v>
      </c>
      <c r="AE27" s="12" t="s">
        <v>73</v>
      </c>
      <c r="AF27" s="12" t="s">
        <v>74</v>
      </c>
      <c r="AG27" s="12" t="s">
        <v>202</v>
      </c>
      <c r="AH27" s="12" t="s">
        <v>203</v>
      </c>
      <c r="AI27" s="12">
        <v>215</v>
      </c>
      <c r="AJ27" s="32" cm="1">
        <f t="array" ref="AJ27">_xlfn.XLOOKUP(
1,
(Table354[Match ID]=Table354[[#This Row],[Match ID]])*
(Table354[Team]=Table354[[#This Row],[Opponent]]),
Table354[Wickets Lost (batting)]
)</f>
        <v>10</v>
      </c>
      <c r="AK27" s="12">
        <v>10</v>
      </c>
      <c r="AL27" s="12">
        <v>40.299999999999997</v>
      </c>
      <c r="AM27" s="12">
        <v>2</v>
      </c>
      <c r="AN27" s="12">
        <v>24</v>
      </c>
      <c r="AO27" s="12">
        <v>1</v>
      </c>
      <c r="AP27" s="12">
        <v>25</v>
      </c>
      <c r="AQ27" s="12">
        <v>5.3</v>
      </c>
      <c r="AR27" s="12" t="str">
        <f>_xlfn.XLOOKUP(Table354[[#This Row],[Match ID]],Calculations_1[Match ID],Calculations_1[Winning Team])</f>
        <v>Afghanistan</v>
      </c>
      <c r="AS27" s="12">
        <v>0</v>
      </c>
      <c r="AT27" s="12">
        <v>11</v>
      </c>
      <c r="AU27" s="12">
        <v>3</v>
      </c>
      <c r="AV27" s="12">
        <v>15</v>
      </c>
      <c r="AW27" s="12">
        <f>1</f>
        <v>1</v>
      </c>
      <c r="AX27" s="12">
        <f>IF(Table354[[#This Row],[Team]]=_xlfn.XLOOKUP(Table354[[#This Row],[Match ID]],Calculations_1[Match ID],Calculations_1[Winning Team]),1,0)</f>
        <v>0</v>
      </c>
      <c r="AY27" s="12">
        <f>IF(NOT(Table354[[#This Row],[Win(1/0)]]),1,0)</f>
        <v>1</v>
      </c>
      <c r="AZ27" s="12" t="str">
        <f>IF(Table354[[#This Row],[Win(1/0)]]=1,"Win","Loss")</f>
        <v>Loss</v>
      </c>
      <c r="BA27" s="12">
        <f>IF(Table354[[#This Row],[Team]]=_xlfn.XLOOKUP(Table354[[#This Row],[Match ID]],Calculations_1[Match ID],Calculations_1[Toss Winner]),1,0)</f>
        <v>1</v>
      </c>
      <c r="BB27" s="12">
        <f>Table354[[#This Row],[Win(1/0)]]*Table354[[#This Row],[Toss Won (1/0)]]</f>
        <v>0</v>
      </c>
      <c r="BC27" s="12" t="str" cm="1">
        <f t="array" ref="BC27">_xlfn.XLOOKUP(Table354[[#This Row],[Match ID]],Calculations_1[Match ID],Calculations_1[Toss Decision],NA,0)</f>
        <v>Field</v>
      </c>
    </row>
    <row r="28" spans="1:55" x14ac:dyDescent="0.3">
      <c r="A28" s="12">
        <v>27</v>
      </c>
      <c r="B28" s="23">
        <f>IF(ISNUMBER(Table1[[#This Row],[Match Date]]),DATE(YEAR(Table1[[#This Row],[Match Date]]),DAY(Table1[[#This Row],[Match Date]]),MONTH(Table1[[#This Row],[Match Date]])),DATE(VALUE(RIGHT(TRIM(Table1[[#This Row],[Match Date]]),4)),VALUE(MID(TRIM(Table1[[#This Row],[Match Date]]),4,2)),VALUE(LEFT(TRIM(Table1[[#This Row],[Match Date]]),2))))</f>
        <v>45227</v>
      </c>
      <c r="C28" s="12" t="str">
        <f>TRIM(Table1[[#This Row],[City]])</f>
        <v>Dharamshala</v>
      </c>
      <c r="D28" s="12" t="str">
        <f>IF(AND(TRIM(Table1[[#This Row],[Stadium]])="Eden Gardens",TRIM(Table1[[#This Row],[City]])&lt;&gt;"Kolkata"),"Rajiv Gandhi International Stadium",TRIM(Table1[[#This Row],[Stadium]]))</f>
        <v>HPCA Stadium</v>
      </c>
      <c r="E28" s="12" t="str">
        <f>SUBSTITUTE(Table1[[#This Row],[Team A]],"NewZealand","New Zealand")</f>
        <v>Australia</v>
      </c>
      <c r="F28" s="12" t="str">
        <f>SUBSTITUTE(Table1[[#This Row],[Team B]],"NewZealand","New Zealand")</f>
        <v>New Zealand</v>
      </c>
      <c r="G28" s="12" t="str">
        <f>SUBSTITUTE(Table1[[#This Row],[Toss Winner]],"NewZealand","New Zealand")</f>
        <v>New Zealand</v>
      </c>
      <c r="H28" s="12" t="str">
        <f>SUBSTITUTE(Table1[[#This Row],[Wining Team]],"NewZealand","New Zealand")</f>
        <v>Australia</v>
      </c>
      <c r="I28" s="12" t="str">
        <f>TRIM(Table1[[#This Row],[Toss Decision]])</f>
        <v>Field</v>
      </c>
      <c r="J28" s="12">
        <f>Table1[[#This Row],[Score A]]</f>
        <v>388</v>
      </c>
      <c r="K28" s="12">
        <f>Table1[[#This Row],[Score B]]</f>
        <v>383</v>
      </c>
      <c r="L28" s="12">
        <f>SUM(Calculations_1[[#This Row],[Score A]],Calculations_1[[#This Row],[Score B]])</f>
        <v>771</v>
      </c>
      <c r="M28" s="12">
        <f>SUM(Table1[[#This Row],[Wickets A]],Table1[[#This Row],[Wickets B]])</f>
        <v>19</v>
      </c>
      <c r="N28" s="12">
        <f>SUM(Table1[[#This Row],[4s A]],Table1[[#This Row],[4s B]])</f>
        <v>65</v>
      </c>
      <c r="O28" s="12">
        <f>SUM(Table1[[#This Row],[6s A]],Table1[[#This Row],[6s B]])</f>
        <v>32</v>
      </c>
      <c r="P28" s="12">
        <f>SUM(Calculations_1[[#This Row],[Total 4s (match)]],Calculations_1[[#This Row],[Total 6s (match)]])</f>
        <v>97</v>
      </c>
      <c r="Q28" s="12" t="str">
        <f>TRIM(Table1[[#This Row],[Margin]])</f>
        <v>5 Runs</v>
      </c>
      <c r="R28" s="12">
        <f>VALUE(LEFT(Calculations_1[[#This Row],[Margin (text)]],FIND(" ",Calculations_1[[#This Row],[Margin (text)]])-1))</f>
        <v>5</v>
      </c>
      <c r="S28" s="12" t="str">
        <f>IF(ISNUMBER(SEARCH("DLS",Calculations_1[[#This Row],[Margin (text)]])),"Runs (DLS) Method",IF(ISNUMBER(SEARCH("run",Calculations_1[[#This Row],[Margin (text)]])),"Runs","Wickets"))</f>
        <v>Runs</v>
      </c>
      <c r="T28" s="12" t="str">
        <f>IF(Calculations_1[[#This Row],[Winning Margin Type]]="Wickets","Chasing Won",IF(Calculations_1[[#This Row],[Winning Margin Type]]="Runs","Batting First Won","DLS Result"))</f>
        <v>Batting First Won</v>
      </c>
      <c r="U28" s="12">
        <f>IF(Calculations_1[[#This Row],[Toss Winner]]=Calculations_1[[#This Row],[Winning Team]],1,0)</f>
        <v>0</v>
      </c>
      <c r="V28" s="12" t="str">
        <f>IF(Calculations_1[[#This Row],[Toss Winner Won Match (1/0)]]=1,"Toss Winner Won","Toss Winner Lost")</f>
        <v>Toss Winner Lost</v>
      </c>
      <c r="W28" s="12" t="str">
        <f>TRIM(Table1[[#This Row],[Man of the Match]])</f>
        <v>Travis Head</v>
      </c>
      <c r="X28" s="12" t="str" cm="1">
        <f t="array" ref="X28">IF(Calculations_1[[#This Row],[Winning Margin Type]]="Runs",_xlfn.IFS(Calculations_1[[#This Row],[Margin Value]]&lt;=50,"1-50",Calculations_1[[#This Row],[Margin Value]]&lt;=100,"51-100",Calculations_1[[#This Row],[Margin Value]]&lt;=150,"101-150",Calculations_1[[#This Row],[Margin Value]]&lt;=200,"151-200",TRUE,"201+"),"")</f>
        <v>1-50</v>
      </c>
      <c r="Y28" s="12" t="str" cm="1">
        <f t="array" ref="Y28">IF(Calculations_1[[#This Row],[Winning Margin Type]]="Wickets",_xlfn.IFS(Calculations_1[[#This Row],[Margin Value]]&lt;=3,"1-3",Calculations_1[[#This Row],[Margin Value]]&lt;=6,"4-6",Calculations_1[[#This Row],[Margin Value]]&lt;=10,"7-10"),"")</f>
        <v/>
      </c>
      <c r="AA28" s="12">
        <v>14</v>
      </c>
      <c r="AB28" s="22">
        <v>45215</v>
      </c>
      <c r="AC28" s="12" t="s">
        <v>76</v>
      </c>
      <c r="AD28" s="12" t="s">
        <v>84</v>
      </c>
      <c r="AE28" s="12" t="s">
        <v>103</v>
      </c>
      <c r="AF28" s="12" t="s">
        <v>104</v>
      </c>
      <c r="AG28" s="12" t="s">
        <v>201</v>
      </c>
      <c r="AH28" s="12" t="s">
        <v>195</v>
      </c>
      <c r="AI28" s="12">
        <v>209</v>
      </c>
      <c r="AJ28" s="32" cm="1">
        <f t="array" ref="AJ28">_xlfn.XLOOKUP(
1,
(Table354[Match ID]=Table354[[#This Row],[Match ID]])*
(Table354[Team]=Table354[[#This Row],[Opponent]]),
Table354[Wickets Lost (batting)]
)</f>
        <v>5</v>
      </c>
      <c r="AK28" s="12">
        <v>10</v>
      </c>
      <c r="AL28" s="12">
        <v>43.3</v>
      </c>
      <c r="AM28" s="12">
        <v>2</v>
      </c>
      <c r="AN28" s="12">
        <v>23</v>
      </c>
      <c r="AO28" s="12">
        <v>1</v>
      </c>
      <c r="AP28" s="12">
        <v>24</v>
      </c>
      <c r="AQ28" s="12">
        <v>4.8</v>
      </c>
      <c r="AR28" s="12" t="str">
        <f>_xlfn.XLOOKUP(Table354[[#This Row],[Match ID]],Calculations_1[Match ID],Calculations_1[Winning Team])</f>
        <v>Australia</v>
      </c>
      <c r="AS28" s="12">
        <v>0</v>
      </c>
      <c r="AT28" s="12">
        <v>3</v>
      </c>
      <c r="AU28" s="12">
        <v>0</v>
      </c>
      <c r="AV28" s="12">
        <v>3</v>
      </c>
      <c r="AW28" s="12">
        <f>1</f>
        <v>1</v>
      </c>
      <c r="AX28" s="12">
        <f>IF(Table354[[#This Row],[Team]]=_xlfn.XLOOKUP(Table354[[#This Row],[Match ID]],Calculations_1[Match ID],Calculations_1[Winning Team]),1,0)</f>
        <v>0</v>
      </c>
      <c r="AY28" s="12">
        <f>IF(NOT(Table354[[#This Row],[Win(1/0)]]),1,0)</f>
        <v>1</v>
      </c>
      <c r="AZ28" s="12" t="str">
        <f>IF(Table354[[#This Row],[Win(1/0)]]=1,"Win","Loss")</f>
        <v>Loss</v>
      </c>
      <c r="BA28" s="12">
        <f>IF(Table354[[#This Row],[Team]]=_xlfn.XLOOKUP(Table354[[#This Row],[Match ID]],Calculations_1[Match ID],Calculations_1[Toss Winner]),1,0)</f>
        <v>1</v>
      </c>
      <c r="BB28" s="12">
        <f>Table354[[#This Row],[Win(1/0)]]*Table354[[#This Row],[Toss Won (1/0)]]</f>
        <v>0</v>
      </c>
      <c r="BC28" s="12" t="str" cm="1">
        <f t="array" ref="BC28">_xlfn.XLOOKUP(Table354[[#This Row],[Match ID]],Calculations_1[Match ID],Calculations_1[Toss Decision],NA,0)</f>
        <v>Bat</v>
      </c>
    </row>
    <row r="29" spans="1:55" x14ac:dyDescent="0.3">
      <c r="A29" s="12">
        <v>28</v>
      </c>
      <c r="B29" s="23">
        <f>IF(ISNUMBER(Table1[[#This Row],[Match Date]]),DATE(YEAR(Table1[[#This Row],[Match Date]]),DAY(Table1[[#This Row],[Match Date]]),MONTH(Table1[[#This Row],[Match Date]])),DATE(VALUE(RIGHT(TRIM(Table1[[#This Row],[Match Date]]),4)),VALUE(MID(TRIM(Table1[[#This Row],[Match Date]]),4,2)),VALUE(LEFT(TRIM(Table1[[#This Row],[Match Date]]),2))))</f>
        <v>45227</v>
      </c>
      <c r="C29" s="12" t="str">
        <f>TRIM(Table1[[#This Row],[City]])</f>
        <v>Kolkata</v>
      </c>
      <c r="D29" s="12" t="str">
        <f>IF(AND(TRIM(Table1[[#This Row],[Stadium]])="Eden Gardens",TRIM(Table1[[#This Row],[City]])&lt;&gt;"Kolkata"),"Rajiv Gandhi International Stadium",TRIM(Table1[[#This Row],[Stadium]]))</f>
        <v>Eden Gardens</v>
      </c>
      <c r="E29" s="12" t="str">
        <f>SUBSTITUTE(Table1[[#This Row],[Team A]],"NewZealand","New Zealand")</f>
        <v>Netherlands</v>
      </c>
      <c r="F29" s="12" t="str">
        <f>SUBSTITUTE(Table1[[#This Row],[Team B]],"NewZealand","New Zealand")</f>
        <v>Bangladesh</v>
      </c>
      <c r="G29" s="12" t="str">
        <f>SUBSTITUTE(Table1[[#This Row],[Toss Winner]],"NewZealand","New Zealand")</f>
        <v>Netherlands</v>
      </c>
      <c r="H29" s="12" t="str">
        <f>SUBSTITUTE(Table1[[#This Row],[Wining Team]],"NewZealand","New Zealand")</f>
        <v>Netherlands</v>
      </c>
      <c r="I29" s="12" t="str">
        <f>TRIM(Table1[[#This Row],[Toss Decision]])</f>
        <v>Bat</v>
      </c>
      <c r="J29" s="12">
        <f>Table1[[#This Row],[Score A]]</f>
        <v>142</v>
      </c>
      <c r="K29" s="12">
        <f>Table1[[#This Row],[Score B]]</f>
        <v>229</v>
      </c>
      <c r="L29" s="12">
        <f>SUM(Calculations_1[[#This Row],[Score A]],Calculations_1[[#This Row],[Score B]])</f>
        <v>371</v>
      </c>
      <c r="M29" s="12">
        <f>SUM(Table1[[#This Row],[Wickets A]],Table1[[#This Row],[Wickets B]])</f>
        <v>20</v>
      </c>
      <c r="N29" s="12">
        <f>SUM(Table1[[#This Row],[4s A]],Table1[[#This Row],[4s B]])</f>
        <v>38</v>
      </c>
      <c r="O29" s="12">
        <f>SUM(Table1[[#This Row],[6s A]],Table1[[#This Row],[6s B]])</f>
        <v>4</v>
      </c>
      <c r="P29" s="12">
        <f>SUM(Calculations_1[[#This Row],[Total 4s (match)]],Calculations_1[[#This Row],[Total 6s (match)]])</f>
        <v>42</v>
      </c>
      <c r="Q29" s="12" t="str">
        <f>TRIM(Table1[[#This Row],[Margin]])</f>
        <v>87 Runs</v>
      </c>
      <c r="R29" s="12">
        <f>VALUE(LEFT(Calculations_1[[#This Row],[Margin (text)]],FIND(" ",Calculations_1[[#This Row],[Margin (text)]])-1))</f>
        <v>87</v>
      </c>
      <c r="S29" s="12" t="str">
        <f>IF(ISNUMBER(SEARCH("DLS",Calculations_1[[#This Row],[Margin (text)]])),"Runs (DLS) Method",IF(ISNUMBER(SEARCH("run",Calculations_1[[#This Row],[Margin (text)]])),"Runs","Wickets"))</f>
        <v>Runs</v>
      </c>
      <c r="T29" s="12" t="str">
        <f>IF(Calculations_1[[#This Row],[Winning Margin Type]]="Wickets","Chasing Won",IF(Calculations_1[[#This Row],[Winning Margin Type]]="Runs","Batting First Won","DLS Result"))</f>
        <v>Batting First Won</v>
      </c>
      <c r="U29" s="12">
        <f>IF(Calculations_1[[#This Row],[Toss Winner]]=Calculations_1[[#This Row],[Winning Team]],1,0)</f>
        <v>1</v>
      </c>
      <c r="V29" s="12" t="str">
        <f>IF(Calculations_1[[#This Row],[Toss Winner Won Match (1/0)]]=1,"Toss Winner Won","Toss Winner Lost")</f>
        <v>Toss Winner Won</v>
      </c>
      <c r="W29" s="12" t="str">
        <f>TRIM(Table1[[#This Row],[Man of the Match]])</f>
        <v>Paul van Meekeren</v>
      </c>
      <c r="X29" s="12" t="str" cm="1">
        <f t="array" ref="X29">IF(Calculations_1[[#This Row],[Winning Margin Type]]="Runs",_xlfn.IFS(Calculations_1[[#This Row],[Margin Value]]&lt;=50,"1-50",Calculations_1[[#This Row],[Margin Value]]&lt;=100,"51-100",Calculations_1[[#This Row],[Margin Value]]&lt;=150,"101-150",Calculations_1[[#This Row],[Margin Value]]&lt;=200,"151-200",TRUE,"201+"),"")</f>
        <v>51-100</v>
      </c>
      <c r="Y29" s="12" t="str" cm="1">
        <f t="array" ref="Y29">IF(Calculations_1[[#This Row],[Winning Margin Type]]="Wickets",_xlfn.IFS(Calculations_1[[#This Row],[Margin Value]]&lt;=3,"1-3",Calculations_1[[#This Row],[Margin Value]]&lt;=6,"4-6",Calculations_1[[#This Row],[Margin Value]]&lt;=10,"7-10"),"")</f>
        <v/>
      </c>
      <c r="AA29" s="12">
        <v>14</v>
      </c>
      <c r="AB29" s="22">
        <v>45215</v>
      </c>
      <c r="AC29" s="12" t="s">
        <v>84</v>
      </c>
      <c r="AD29" s="12" t="s">
        <v>76</v>
      </c>
      <c r="AE29" s="12" t="s">
        <v>103</v>
      </c>
      <c r="AF29" s="12" t="s">
        <v>104</v>
      </c>
      <c r="AG29" s="12" t="s">
        <v>201</v>
      </c>
      <c r="AH29" s="12" t="s">
        <v>195</v>
      </c>
      <c r="AI29" s="12">
        <v>215</v>
      </c>
      <c r="AJ29" s="32" cm="1">
        <f t="array" ref="AJ29">_xlfn.XLOOKUP(
1,
(Table354[Match ID]=Table354[[#This Row],[Match ID]])*
(Table354[Team]=Table354[[#This Row],[Opponent]]),
Table354[Wickets Lost (batting)]
)</f>
        <v>10</v>
      </c>
      <c r="AK29" s="12">
        <v>5</v>
      </c>
      <c r="AL29" s="12">
        <v>35.200000000000003</v>
      </c>
      <c r="AM29" s="12">
        <v>2</v>
      </c>
      <c r="AN29" s="12">
        <v>22</v>
      </c>
      <c r="AO29" s="12">
        <v>5</v>
      </c>
      <c r="AP29" s="12">
        <v>27</v>
      </c>
      <c r="AQ29" s="12">
        <v>6.08</v>
      </c>
      <c r="AR29" s="12" t="str">
        <f>_xlfn.XLOOKUP(Table354[[#This Row],[Match ID]],Calculations_1[Match ID],Calculations_1[Winning Team])</f>
        <v>Australia</v>
      </c>
      <c r="AS29" s="12">
        <v>2</v>
      </c>
      <c r="AT29" s="12">
        <v>9</v>
      </c>
      <c r="AU29" s="12">
        <v>0</v>
      </c>
      <c r="AV29" s="12">
        <v>13</v>
      </c>
      <c r="AW29" s="12">
        <f>1</f>
        <v>1</v>
      </c>
      <c r="AX29" s="12">
        <f>IF(Table354[[#This Row],[Team]]=_xlfn.XLOOKUP(Table354[[#This Row],[Match ID]],Calculations_1[Match ID],Calculations_1[Winning Team]),1,0)</f>
        <v>1</v>
      </c>
      <c r="AY29" s="12">
        <f>IF(NOT(Table354[[#This Row],[Win(1/0)]]),1,0)</f>
        <v>0</v>
      </c>
      <c r="AZ29" s="12" t="str">
        <f>IF(Table354[[#This Row],[Win(1/0)]]=1,"Win","Loss")</f>
        <v>Win</v>
      </c>
      <c r="BA29" s="12">
        <f>IF(Table354[[#This Row],[Team]]=_xlfn.XLOOKUP(Table354[[#This Row],[Match ID]],Calculations_1[Match ID],Calculations_1[Toss Winner]),1,0)</f>
        <v>0</v>
      </c>
      <c r="BB29" s="12">
        <f>Table354[[#This Row],[Win(1/0)]]*Table354[[#This Row],[Toss Won (1/0)]]</f>
        <v>0</v>
      </c>
      <c r="BC29" s="12" t="str" cm="1">
        <f t="array" ref="BC29">_xlfn.XLOOKUP(Table354[[#This Row],[Match ID]],Calculations_1[Match ID],Calculations_1[Toss Decision],NA,0)</f>
        <v>Bat</v>
      </c>
    </row>
    <row r="30" spans="1:55" x14ac:dyDescent="0.3">
      <c r="A30" s="12">
        <v>29</v>
      </c>
      <c r="B30" s="23">
        <f>IF(ISNUMBER(Table1[[#This Row],[Match Date]]),DATE(YEAR(Table1[[#This Row],[Match Date]]),DAY(Table1[[#This Row],[Match Date]]),MONTH(Table1[[#This Row],[Match Date]])),DATE(VALUE(RIGHT(TRIM(Table1[[#This Row],[Match Date]]),4)),VALUE(MID(TRIM(Table1[[#This Row],[Match Date]]),4,2)),VALUE(LEFT(TRIM(Table1[[#This Row],[Match Date]]),2))))</f>
        <v>45228</v>
      </c>
      <c r="C30" s="12" t="str">
        <f>TRIM(Table1[[#This Row],[City]])</f>
        <v>Lucknow</v>
      </c>
      <c r="D30" s="12" t="str">
        <f>IF(AND(TRIM(Table1[[#This Row],[Stadium]])="Eden Gardens",TRIM(Table1[[#This Row],[City]])&lt;&gt;"Kolkata"),"Rajiv Gandhi International Stadium",TRIM(Table1[[#This Row],[Stadium]]))</f>
        <v>BRSABV Ekana Cricket Stadium</v>
      </c>
      <c r="E30" s="12" t="str">
        <f>SUBSTITUTE(Table1[[#This Row],[Team A]],"NewZealand","New Zealand")</f>
        <v>India</v>
      </c>
      <c r="F30" s="12" t="str">
        <f>SUBSTITUTE(Table1[[#This Row],[Team B]],"NewZealand","New Zealand")</f>
        <v>England</v>
      </c>
      <c r="G30" s="12" t="str">
        <f>SUBSTITUTE(Table1[[#This Row],[Toss Winner]],"NewZealand","New Zealand")</f>
        <v>England</v>
      </c>
      <c r="H30" s="12" t="str">
        <f>SUBSTITUTE(Table1[[#This Row],[Wining Team]],"NewZealand","New Zealand")</f>
        <v>India</v>
      </c>
      <c r="I30" s="12" t="str">
        <f>TRIM(Table1[[#This Row],[Toss Decision]])</f>
        <v>Field</v>
      </c>
      <c r="J30" s="12">
        <f>Table1[[#This Row],[Score A]]</f>
        <v>229</v>
      </c>
      <c r="K30" s="12">
        <f>Table1[[#This Row],[Score B]]</f>
        <v>129</v>
      </c>
      <c r="L30" s="12">
        <f>SUM(Calculations_1[[#This Row],[Score A]],Calculations_1[[#This Row],[Score B]])</f>
        <v>358</v>
      </c>
      <c r="M30" s="12">
        <f>SUM(Table1[[#This Row],[Wickets A]],Table1[[#This Row],[Wickets B]])</f>
        <v>19</v>
      </c>
      <c r="N30" s="12">
        <f>SUM(Table1[[#This Row],[4s A]],Table1[[#This Row],[4s B]])</f>
        <v>30</v>
      </c>
      <c r="O30" s="12">
        <f>SUM(Table1[[#This Row],[6s A]],Table1[[#This Row],[6s B]])</f>
        <v>7</v>
      </c>
      <c r="P30" s="12">
        <f>SUM(Calculations_1[[#This Row],[Total 4s (match)]],Calculations_1[[#This Row],[Total 6s (match)]])</f>
        <v>37</v>
      </c>
      <c r="Q30" s="12" t="str">
        <f>TRIM(Table1[[#This Row],[Margin]])</f>
        <v>100 Runs</v>
      </c>
      <c r="R30" s="12">
        <f>VALUE(LEFT(Calculations_1[[#This Row],[Margin (text)]],FIND(" ",Calculations_1[[#This Row],[Margin (text)]])-1))</f>
        <v>100</v>
      </c>
      <c r="S30" s="12" t="str">
        <f>IF(ISNUMBER(SEARCH("DLS",Calculations_1[[#This Row],[Margin (text)]])),"Runs (DLS) Method",IF(ISNUMBER(SEARCH("run",Calculations_1[[#This Row],[Margin (text)]])),"Runs","Wickets"))</f>
        <v>Runs</v>
      </c>
      <c r="T30" s="12" t="str">
        <f>IF(Calculations_1[[#This Row],[Winning Margin Type]]="Wickets","Chasing Won",IF(Calculations_1[[#This Row],[Winning Margin Type]]="Runs","Batting First Won","DLS Result"))</f>
        <v>Batting First Won</v>
      </c>
      <c r="U30" s="12">
        <f>IF(Calculations_1[[#This Row],[Toss Winner]]=Calculations_1[[#This Row],[Winning Team]],1,0)</f>
        <v>0</v>
      </c>
      <c r="V30" s="12" t="str">
        <f>IF(Calculations_1[[#This Row],[Toss Winner Won Match (1/0)]]=1,"Toss Winner Won","Toss Winner Lost")</f>
        <v>Toss Winner Lost</v>
      </c>
      <c r="W30" s="12" t="str">
        <f>TRIM(Table1[[#This Row],[Man of the Match]])</f>
        <v>Rohit Sharma</v>
      </c>
      <c r="X30" s="12" t="str" cm="1">
        <f t="array" ref="X30">IF(Calculations_1[[#This Row],[Winning Margin Type]]="Runs",_xlfn.IFS(Calculations_1[[#This Row],[Margin Value]]&lt;=50,"1-50",Calculations_1[[#This Row],[Margin Value]]&lt;=100,"51-100",Calculations_1[[#This Row],[Margin Value]]&lt;=150,"101-150",Calculations_1[[#This Row],[Margin Value]]&lt;=200,"151-200",TRUE,"201+"),"")</f>
        <v>51-100</v>
      </c>
      <c r="Y30" s="12" t="str" cm="1">
        <f t="array" ref="Y30">IF(Calculations_1[[#This Row],[Winning Margin Type]]="Wickets",_xlfn.IFS(Calculations_1[[#This Row],[Margin Value]]&lt;=3,"1-3",Calculations_1[[#This Row],[Margin Value]]&lt;=6,"4-6",Calculations_1[[#This Row],[Margin Value]]&lt;=10,"7-10"),"")</f>
        <v/>
      </c>
      <c r="AA30" s="12">
        <v>15</v>
      </c>
      <c r="AB30" s="22">
        <v>45216</v>
      </c>
      <c r="AC30" s="12" t="s">
        <v>57</v>
      </c>
      <c r="AD30" s="12" t="s">
        <v>75</v>
      </c>
      <c r="AE30" s="12" t="s">
        <v>64</v>
      </c>
      <c r="AF30" s="12" t="s">
        <v>65</v>
      </c>
      <c r="AG30" s="12" t="s">
        <v>202</v>
      </c>
      <c r="AH30" s="12" t="s">
        <v>203</v>
      </c>
      <c r="AI30" s="12">
        <v>245</v>
      </c>
      <c r="AJ30" s="32" cm="1">
        <f t="array" ref="AJ30">_xlfn.XLOOKUP(
1,
(Table354[Match ID]=Table354[[#This Row],[Match ID]])*
(Table354[Team]=Table354[[#This Row],[Opponent]]),
Table354[Wickets Lost (batting)]
)</f>
        <v>10</v>
      </c>
      <c r="AK30" s="12">
        <v>8</v>
      </c>
      <c r="AL30" s="12">
        <v>43</v>
      </c>
      <c r="AM30" s="12">
        <v>1</v>
      </c>
      <c r="AN30" s="12">
        <v>23</v>
      </c>
      <c r="AO30" s="12">
        <v>6</v>
      </c>
      <c r="AP30" s="12">
        <v>29</v>
      </c>
      <c r="AQ30" s="12">
        <v>5.69</v>
      </c>
      <c r="AR30" s="12" t="str">
        <f>_xlfn.XLOOKUP(Table354[[#This Row],[Match ID]],Calculations_1[Match ID],Calculations_1[Winning Team])</f>
        <v>Netherlands</v>
      </c>
      <c r="AS30" s="12">
        <v>0</v>
      </c>
      <c r="AT30" s="12">
        <v>5</v>
      </c>
      <c r="AU30" s="12">
        <v>1</v>
      </c>
      <c r="AV30" s="12">
        <v>8</v>
      </c>
      <c r="AW30" s="12">
        <f>1</f>
        <v>1</v>
      </c>
      <c r="AX30" s="12">
        <f>IF(Table354[[#This Row],[Team]]=_xlfn.XLOOKUP(Table354[[#This Row],[Match ID]],Calculations_1[Match ID],Calculations_1[Winning Team]),1,0)</f>
        <v>1</v>
      </c>
      <c r="AY30" s="12">
        <f>IF(NOT(Table354[[#This Row],[Win(1/0)]]),1,0)</f>
        <v>0</v>
      </c>
      <c r="AZ30" s="12" t="str">
        <f>IF(Table354[[#This Row],[Win(1/0)]]=1,"Win","Loss")</f>
        <v>Win</v>
      </c>
      <c r="BA30" s="12">
        <f>IF(Table354[[#This Row],[Team]]=_xlfn.XLOOKUP(Table354[[#This Row],[Match ID]],Calculations_1[Match ID],Calculations_1[Toss Winner]),1,0)</f>
        <v>0</v>
      </c>
      <c r="BB30" s="12">
        <f>Table354[[#This Row],[Win(1/0)]]*Table354[[#This Row],[Toss Won (1/0)]]</f>
        <v>0</v>
      </c>
      <c r="BC30" s="12" t="str" cm="1">
        <f t="array" ref="BC30">_xlfn.XLOOKUP(Table354[[#This Row],[Match ID]],Calculations_1[Match ID],Calculations_1[Toss Decision],NA,0)</f>
        <v>Field</v>
      </c>
    </row>
    <row r="31" spans="1:55" x14ac:dyDescent="0.3">
      <c r="A31" s="12">
        <v>30</v>
      </c>
      <c r="B31" s="23">
        <f>IF(ISNUMBER(Table1[[#This Row],[Match Date]]),DATE(YEAR(Table1[[#This Row],[Match Date]]),DAY(Table1[[#This Row],[Match Date]]),MONTH(Table1[[#This Row],[Match Date]])),DATE(VALUE(RIGHT(TRIM(Table1[[#This Row],[Match Date]]),4)),VALUE(MID(TRIM(Table1[[#This Row],[Match Date]]),4,2)),VALUE(LEFT(TRIM(Table1[[#This Row],[Match Date]]),2))))</f>
        <v>45229</v>
      </c>
      <c r="C31" s="12" t="str">
        <f>TRIM(Table1[[#This Row],[City]])</f>
        <v>Pune</v>
      </c>
      <c r="D31" s="12" t="str">
        <f>IF(AND(TRIM(Table1[[#This Row],[Stadium]])="Eden Gardens",TRIM(Table1[[#This Row],[City]])&lt;&gt;"Kolkata"),"Rajiv Gandhi International Stadium",TRIM(Table1[[#This Row],[Stadium]]))</f>
        <v>Maharashtra Cricket Association Stadium</v>
      </c>
      <c r="E31" s="12" t="str">
        <f>SUBSTITUTE(Table1[[#This Row],[Team A]],"NewZealand","New Zealand")</f>
        <v>Sri Lanka</v>
      </c>
      <c r="F31" s="12" t="str">
        <f>SUBSTITUTE(Table1[[#This Row],[Team B]],"NewZealand","New Zealand")</f>
        <v>Afghanistan</v>
      </c>
      <c r="G31" s="12" t="str">
        <f>SUBSTITUTE(Table1[[#This Row],[Toss Winner]],"NewZealand","New Zealand")</f>
        <v>Afghanistan</v>
      </c>
      <c r="H31" s="12" t="str">
        <f>SUBSTITUTE(Table1[[#This Row],[Wining Team]],"NewZealand","New Zealand")</f>
        <v>Afghanistan</v>
      </c>
      <c r="I31" s="12" t="str">
        <f>TRIM(Table1[[#This Row],[Toss Decision]])</f>
        <v>Field</v>
      </c>
      <c r="J31" s="12">
        <f>Table1[[#This Row],[Score A]]</f>
        <v>241</v>
      </c>
      <c r="K31" s="12">
        <f>Table1[[#This Row],[Score B]]</f>
        <v>242</v>
      </c>
      <c r="L31" s="12">
        <f>SUM(Calculations_1[[#This Row],[Score A]],Calculations_1[[#This Row],[Score B]])</f>
        <v>483</v>
      </c>
      <c r="M31" s="12">
        <f>SUM(Table1[[#This Row],[Wickets A]],Table1[[#This Row],[Wickets B]])</f>
        <v>13</v>
      </c>
      <c r="N31" s="12">
        <f>SUM(Table1[[#This Row],[4s A]],Table1[[#This Row],[4s B]])</f>
        <v>38</v>
      </c>
      <c r="O31" s="12">
        <f>SUM(Table1[[#This Row],[6s A]],Table1[[#This Row],[6s B]])</f>
        <v>7</v>
      </c>
      <c r="P31" s="12">
        <f>SUM(Calculations_1[[#This Row],[Total 4s (match)]],Calculations_1[[#This Row],[Total 6s (match)]])</f>
        <v>45</v>
      </c>
      <c r="Q31" s="12" t="str">
        <f>TRIM(Table1[[#This Row],[Margin]])</f>
        <v>7 Wickets</v>
      </c>
      <c r="R31" s="12">
        <f>VALUE(LEFT(Calculations_1[[#This Row],[Margin (text)]],FIND(" ",Calculations_1[[#This Row],[Margin (text)]])-1))</f>
        <v>7</v>
      </c>
      <c r="S31" s="12" t="str">
        <f>IF(ISNUMBER(SEARCH("DLS",Calculations_1[[#This Row],[Margin (text)]])),"Runs (DLS) Method",IF(ISNUMBER(SEARCH("run",Calculations_1[[#This Row],[Margin (text)]])),"Runs","Wickets"))</f>
        <v>Wickets</v>
      </c>
      <c r="T31" s="12" t="str">
        <f>IF(Calculations_1[[#This Row],[Winning Margin Type]]="Wickets","Chasing Won",IF(Calculations_1[[#This Row],[Winning Margin Type]]="Runs","Batting First Won","DLS Result"))</f>
        <v>Chasing Won</v>
      </c>
      <c r="U31" s="12">
        <f>IF(Calculations_1[[#This Row],[Toss Winner]]=Calculations_1[[#This Row],[Winning Team]],1,0)</f>
        <v>1</v>
      </c>
      <c r="V31" s="12" t="str">
        <f>IF(Calculations_1[[#This Row],[Toss Winner Won Match (1/0)]]=1,"Toss Winner Won","Toss Winner Lost")</f>
        <v>Toss Winner Won</v>
      </c>
      <c r="W31" s="12" t="str">
        <f>TRIM(Table1[[#This Row],[Man of the Match]])</f>
        <v>Fazalhaq Farooqi</v>
      </c>
      <c r="X31" s="12" t="str" cm="1">
        <f t="array" ref="X31">IF(Calculations_1[[#This Row],[Winning Margin Type]]="Runs",_xlfn.IFS(Calculations_1[[#This Row],[Margin Value]]&lt;=50,"1-50",Calculations_1[[#This Row],[Margin Value]]&lt;=100,"51-100",Calculations_1[[#This Row],[Margin Value]]&lt;=150,"101-150",Calculations_1[[#This Row],[Margin Value]]&lt;=200,"151-200",TRUE,"201+"),"")</f>
        <v/>
      </c>
      <c r="Y31" s="12" t="str" cm="1">
        <f t="array" ref="Y31">IF(Calculations_1[[#This Row],[Winning Margin Type]]="Wickets",_xlfn.IFS(Calculations_1[[#This Row],[Margin Value]]&lt;=3,"1-3",Calculations_1[[#This Row],[Margin Value]]&lt;=6,"4-6",Calculations_1[[#This Row],[Margin Value]]&lt;=10,"7-10"),"")</f>
        <v>7-10</v>
      </c>
      <c r="AA31" s="12">
        <v>15</v>
      </c>
      <c r="AB31" s="22">
        <v>45216</v>
      </c>
      <c r="AC31" s="12" t="s">
        <v>75</v>
      </c>
      <c r="AD31" s="12" t="s">
        <v>57</v>
      </c>
      <c r="AE31" s="12" t="s">
        <v>64</v>
      </c>
      <c r="AF31" s="12" t="s">
        <v>65</v>
      </c>
      <c r="AG31" s="12" t="s">
        <v>202</v>
      </c>
      <c r="AH31" s="12" t="s">
        <v>203</v>
      </c>
      <c r="AI31" s="12">
        <v>207</v>
      </c>
      <c r="AJ31" s="32" cm="1">
        <f t="array" ref="AJ31">_xlfn.XLOOKUP(
1,
(Table354[Match ID]=Table354[[#This Row],[Match ID]])*
(Table354[Team]=Table354[[#This Row],[Opponent]]),
Table354[Wickets Lost (batting)]
)</f>
        <v>8</v>
      </c>
      <c r="AK31" s="12">
        <v>10</v>
      </c>
      <c r="AL31" s="12">
        <v>42.5</v>
      </c>
      <c r="AM31" s="12">
        <v>3</v>
      </c>
      <c r="AN31" s="12">
        <v>19</v>
      </c>
      <c r="AO31" s="12">
        <v>5</v>
      </c>
      <c r="AP31" s="12">
        <v>24</v>
      </c>
      <c r="AQ31" s="12">
        <v>4.83</v>
      </c>
      <c r="AR31" s="12" t="str">
        <f>_xlfn.XLOOKUP(Table354[[#This Row],[Match ID]],Calculations_1[Match ID],Calculations_1[Winning Team])</f>
        <v>Netherlands</v>
      </c>
      <c r="AS31" s="12">
        <v>0</v>
      </c>
      <c r="AT31" s="12">
        <v>21</v>
      </c>
      <c r="AU31" s="12">
        <v>1</v>
      </c>
      <c r="AV31" s="12">
        <v>32</v>
      </c>
      <c r="AW31" s="12">
        <f>1</f>
        <v>1</v>
      </c>
      <c r="AX31" s="12">
        <f>IF(Table354[[#This Row],[Team]]=_xlfn.XLOOKUP(Table354[[#This Row],[Match ID]],Calculations_1[Match ID],Calculations_1[Winning Team]),1,0)</f>
        <v>0</v>
      </c>
      <c r="AY31" s="12">
        <f>IF(NOT(Table354[[#This Row],[Win(1/0)]]),1,0)</f>
        <v>1</v>
      </c>
      <c r="AZ31" s="12" t="str">
        <f>IF(Table354[[#This Row],[Win(1/0)]]=1,"Win","Loss")</f>
        <v>Loss</v>
      </c>
      <c r="BA31" s="12">
        <f>IF(Table354[[#This Row],[Team]]=_xlfn.XLOOKUP(Table354[[#This Row],[Match ID]],Calculations_1[Match ID],Calculations_1[Toss Winner]),1,0)</f>
        <v>1</v>
      </c>
      <c r="BB31" s="12">
        <f>Table354[[#This Row],[Win(1/0)]]*Table354[[#This Row],[Toss Won (1/0)]]</f>
        <v>0</v>
      </c>
      <c r="BC31" s="12" t="str" cm="1">
        <f t="array" ref="BC31">_xlfn.XLOOKUP(Table354[[#This Row],[Match ID]],Calculations_1[Match ID],Calculations_1[Toss Decision],NA,0)</f>
        <v>Field</v>
      </c>
    </row>
    <row r="32" spans="1:55" x14ac:dyDescent="0.3">
      <c r="A32" s="12">
        <v>31</v>
      </c>
      <c r="B32" s="23">
        <f>IF(ISNUMBER(Table1[[#This Row],[Match Date]]),DATE(YEAR(Table1[[#This Row],[Match Date]]),DAY(Table1[[#This Row],[Match Date]]),MONTH(Table1[[#This Row],[Match Date]])),DATE(VALUE(RIGHT(TRIM(Table1[[#This Row],[Match Date]]),4)),VALUE(MID(TRIM(Table1[[#This Row],[Match Date]]),4,2)),VALUE(LEFT(TRIM(Table1[[#This Row],[Match Date]]),2))))</f>
        <v>45230</v>
      </c>
      <c r="C32" s="12" t="str">
        <f>TRIM(Table1[[#This Row],[City]])</f>
        <v>Kolkata</v>
      </c>
      <c r="D32" s="12" t="str">
        <f>IF(AND(TRIM(Table1[[#This Row],[Stadium]])="Eden Gardens",TRIM(Table1[[#This Row],[City]])&lt;&gt;"Kolkata"),"Rajiv Gandhi International Stadium",TRIM(Table1[[#This Row],[Stadium]]))</f>
        <v>Eden Gardens</v>
      </c>
      <c r="E32" s="12" t="str">
        <f>SUBSTITUTE(Table1[[#This Row],[Team A]],"NewZealand","New Zealand")</f>
        <v>Bangladesh</v>
      </c>
      <c r="F32" s="12" t="str">
        <f>SUBSTITUTE(Table1[[#This Row],[Team B]],"NewZealand","New Zealand")</f>
        <v>Pakistan</v>
      </c>
      <c r="G32" s="12" t="str">
        <f>SUBSTITUTE(Table1[[#This Row],[Toss Winner]],"NewZealand","New Zealand")</f>
        <v>Bangladesh</v>
      </c>
      <c r="H32" s="12" t="str">
        <f>SUBSTITUTE(Table1[[#This Row],[Wining Team]],"NewZealand","New Zealand")</f>
        <v>Pakistan</v>
      </c>
      <c r="I32" s="12" t="str">
        <f>TRIM(Table1[[#This Row],[Toss Decision]])</f>
        <v>Bat</v>
      </c>
      <c r="J32" s="12">
        <f>Table1[[#This Row],[Score A]]</f>
        <v>205</v>
      </c>
      <c r="K32" s="12">
        <f>Table1[[#This Row],[Score B]]</f>
        <v>204</v>
      </c>
      <c r="L32" s="12">
        <f>SUM(Calculations_1[[#This Row],[Score A]],Calculations_1[[#This Row],[Score B]])</f>
        <v>409</v>
      </c>
      <c r="M32" s="12">
        <f>SUM(Table1[[#This Row],[Wickets A]],Table1[[#This Row],[Wickets B]])</f>
        <v>13</v>
      </c>
      <c r="N32" s="12">
        <f>SUM(Table1[[#This Row],[4s A]],Table1[[#This Row],[4s B]])</f>
        <v>38</v>
      </c>
      <c r="O32" s="12">
        <f>SUM(Table1[[#This Row],[6s A]],Table1[[#This Row],[6s B]])</f>
        <v>12</v>
      </c>
      <c r="P32" s="12">
        <f>SUM(Calculations_1[[#This Row],[Total 4s (match)]],Calculations_1[[#This Row],[Total 6s (match)]])</f>
        <v>50</v>
      </c>
      <c r="Q32" s="12" t="str">
        <f>TRIM(Table1[[#This Row],[Margin]])</f>
        <v>7 Wickets</v>
      </c>
      <c r="R32" s="12">
        <f>VALUE(LEFT(Calculations_1[[#This Row],[Margin (text)]],FIND(" ",Calculations_1[[#This Row],[Margin (text)]])-1))</f>
        <v>7</v>
      </c>
      <c r="S32" s="12" t="str">
        <f>IF(ISNUMBER(SEARCH("DLS",Calculations_1[[#This Row],[Margin (text)]])),"Runs (DLS) Method",IF(ISNUMBER(SEARCH("run",Calculations_1[[#This Row],[Margin (text)]])),"Runs","Wickets"))</f>
        <v>Wickets</v>
      </c>
      <c r="T32" s="12" t="str">
        <f>IF(Calculations_1[[#This Row],[Winning Margin Type]]="Wickets","Chasing Won",IF(Calculations_1[[#This Row],[Winning Margin Type]]="Runs","Batting First Won","DLS Result"))</f>
        <v>Chasing Won</v>
      </c>
      <c r="U32" s="12">
        <f>IF(Calculations_1[[#This Row],[Toss Winner]]=Calculations_1[[#This Row],[Winning Team]],1,0)</f>
        <v>0</v>
      </c>
      <c r="V32" s="12" t="str">
        <f>IF(Calculations_1[[#This Row],[Toss Winner Won Match (1/0)]]=1,"Toss Winner Won","Toss Winner Lost")</f>
        <v>Toss Winner Lost</v>
      </c>
      <c r="W32" s="12" t="str">
        <f>TRIM(Table1[[#This Row],[Man of the Match]])</f>
        <v>Fakhar Zaman</v>
      </c>
      <c r="X32" s="12" t="str" cm="1">
        <f t="array" ref="X32">IF(Calculations_1[[#This Row],[Winning Margin Type]]="Runs",_xlfn.IFS(Calculations_1[[#This Row],[Margin Value]]&lt;=50,"1-50",Calculations_1[[#This Row],[Margin Value]]&lt;=100,"51-100",Calculations_1[[#This Row],[Margin Value]]&lt;=150,"101-150",Calculations_1[[#This Row],[Margin Value]]&lt;=200,"151-200",TRUE,"201+"),"")</f>
        <v/>
      </c>
      <c r="Y32" s="12" t="str" cm="1">
        <f t="array" ref="Y32">IF(Calculations_1[[#This Row],[Winning Margin Type]]="Wickets",_xlfn.IFS(Calculations_1[[#This Row],[Margin Value]]&lt;=3,"1-3",Calculations_1[[#This Row],[Margin Value]]&lt;=6,"4-6",Calculations_1[[#This Row],[Margin Value]]&lt;=10,"7-10"),"")</f>
        <v>7-10</v>
      </c>
      <c r="AA32" s="12">
        <v>16</v>
      </c>
      <c r="AB32" s="22">
        <v>45217</v>
      </c>
      <c r="AC32" s="12" t="s">
        <v>200</v>
      </c>
      <c r="AD32" s="12" t="s">
        <v>66</v>
      </c>
      <c r="AE32" s="12" t="s">
        <v>82</v>
      </c>
      <c r="AF32" s="12" t="s">
        <v>83</v>
      </c>
      <c r="AG32" s="12" t="s">
        <v>202</v>
      </c>
      <c r="AH32" s="12" t="s">
        <v>203</v>
      </c>
      <c r="AI32" s="12">
        <v>288</v>
      </c>
      <c r="AJ32" s="32" cm="1">
        <f t="array" ref="AJ32">_xlfn.XLOOKUP(
1,
(Table354[Match ID]=Table354[[#This Row],[Match ID]])*
(Table354[Team]=Table354[[#This Row],[Opponent]]),
Table354[Wickets Lost (batting)]
)</f>
        <v>10</v>
      </c>
      <c r="AK32" s="12">
        <v>6</v>
      </c>
      <c r="AL32" s="12">
        <v>50</v>
      </c>
      <c r="AM32" s="12">
        <v>4</v>
      </c>
      <c r="AN32" s="12">
        <v>19</v>
      </c>
      <c r="AO32" s="12">
        <v>11</v>
      </c>
      <c r="AP32" s="12">
        <v>30</v>
      </c>
      <c r="AQ32" s="12">
        <v>5.76</v>
      </c>
      <c r="AR32" s="12" t="str">
        <f>_xlfn.XLOOKUP(Table354[[#This Row],[Match ID]],Calculations_1[Match ID],Calculations_1[Winning Team])</f>
        <v>New Zealand</v>
      </c>
      <c r="AS32" s="12">
        <v>0</v>
      </c>
      <c r="AT32" s="12">
        <v>5</v>
      </c>
      <c r="AU32" s="12">
        <v>0</v>
      </c>
      <c r="AV32" s="12">
        <v>5</v>
      </c>
      <c r="AW32" s="12">
        <f>1</f>
        <v>1</v>
      </c>
      <c r="AX32" s="12">
        <f>IF(Table354[[#This Row],[Team]]=_xlfn.XLOOKUP(Table354[[#This Row],[Match ID]],Calculations_1[Match ID],Calculations_1[Winning Team]),1,0)</f>
        <v>1</v>
      </c>
      <c r="AY32" s="12">
        <f>IF(NOT(Table354[[#This Row],[Win(1/0)]]),1,0)</f>
        <v>0</v>
      </c>
      <c r="AZ32" s="12" t="str">
        <f>IF(Table354[[#This Row],[Win(1/0)]]=1,"Win","Loss")</f>
        <v>Win</v>
      </c>
      <c r="BA32" s="12">
        <f>IF(Table354[[#This Row],[Team]]=_xlfn.XLOOKUP(Table354[[#This Row],[Match ID]],Calculations_1[Match ID],Calculations_1[Toss Winner]),1,0)</f>
        <v>0</v>
      </c>
      <c r="BB32" s="12">
        <f>Table354[[#This Row],[Win(1/0)]]*Table354[[#This Row],[Toss Won (1/0)]]</f>
        <v>0</v>
      </c>
      <c r="BC32" s="12" t="str" cm="1">
        <f t="array" ref="BC32">_xlfn.XLOOKUP(Table354[[#This Row],[Match ID]],Calculations_1[Match ID],Calculations_1[Toss Decision],NA,0)</f>
        <v>Field</v>
      </c>
    </row>
    <row r="33" spans="1:55" x14ac:dyDescent="0.3">
      <c r="A33" s="12">
        <v>32</v>
      </c>
      <c r="B33" s="23">
        <f>IF(ISNUMBER(Table1[[#This Row],[Match Date]]),DATE(YEAR(Table1[[#This Row],[Match Date]]),DAY(Table1[[#This Row],[Match Date]]),MONTH(Table1[[#This Row],[Match Date]])),DATE(VALUE(RIGHT(TRIM(Table1[[#This Row],[Match Date]]),4)),VALUE(MID(TRIM(Table1[[#This Row],[Match Date]]),4,2)),VALUE(LEFT(TRIM(Table1[[#This Row],[Match Date]]),2))))</f>
        <v>45231</v>
      </c>
      <c r="C33" s="12" t="str">
        <f>TRIM(Table1[[#This Row],[City]])</f>
        <v>Pune</v>
      </c>
      <c r="D33" s="12" t="str">
        <f>IF(AND(TRIM(Table1[[#This Row],[Stadium]])="Eden Gardens",TRIM(Table1[[#This Row],[City]])&lt;&gt;"Kolkata"),"Rajiv Gandhi International Stadium",TRIM(Table1[[#This Row],[Stadium]]))</f>
        <v>Maharashtra Cricket Association Stadium</v>
      </c>
      <c r="E33" s="12" t="str">
        <f>SUBSTITUTE(Table1[[#This Row],[Team A]],"NewZealand","New Zealand")</f>
        <v>South Africa</v>
      </c>
      <c r="F33" s="12" t="str">
        <f>SUBSTITUTE(Table1[[#This Row],[Team B]],"NewZealand","New Zealand")</f>
        <v>New Zealand</v>
      </c>
      <c r="G33" s="12" t="str">
        <f>SUBSTITUTE(Table1[[#This Row],[Toss Winner]],"NewZealand","New Zealand")</f>
        <v>New Zealand</v>
      </c>
      <c r="H33" s="12" t="str">
        <f>SUBSTITUTE(Table1[[#This Row],[Wining Team]],"NewZealand","New Zealand")</f>
        <v>South Africa</v>
      </c>
      <c r="I33" s="12" t="str">
        <f>TRIM(Table1[[#This Row],[Toss Decision]])</f>
        <v>Field</v>
      </c>
      <c r="J33" s="12">
        <f>Table1[[#This Row],[Score A]]</f>
        <v>357</v>
      </c>
      <c r="K33" s="12">
        <f>Table1[[#This Row],[Score B]]</f>
        <v>167</v>
      </c>
      <c r="L33" s="12">
        <f>SUM(Calculations_1[[#This Row],[Score A]],Calculations_1[[#This Row],[Score B]])</f>
        <v>524</v>
      </c>
      <c r="M33" s="12">
        <f>SUM(Table1[[#This Row],[Wickets A]],Table1[[#This Row],[Wickets B]])</f>
        <v>14</v>
      </c>
      <c r="N33" s="12">
        <f>SUM(Table1[[#This Row],[4s A]],Table1[[#This Row],[4s B]])</f>
        <v>43</v>
      </c>
      <c r="O33" s="12">
        <f>SUM(Table1[[#This Row],[6s A]],Table1[[#This Row],[6s B]])</f>
        <v>19</v>
      </c>
      <c r="P33" s="12">
        <f>SUM(Calculations_1[[#This Row],[Total 4s (match)]],Calculations_1[[#This Row],[Total 6s (match)]])</f>
        <v>62</v>
      </c>
      <c r="Q33" s="12" t="str">
        <f>TRIM(Table1[[#This Row],[Margin]])</f>
        <v>190 Runs</v>
      </c>
      <c r="R33" s="12">
        <f>VALUE(LEFT(Calculations_1[[#This Row],[Margin (text)]],FIND(" ",Calculations_1[[#This Row],[Margin (text)]])-1))</f>
        <v>190</v>
      </c>
      <c r="S33" s="12" t="str">
        <f>IF(ISNUMBER(SEARCH("DLS",Calculations_1[[#This Row],[Margin (text)]])),"Runs (DLS) Method",IF(ISNUMBER(SEARCH("run",Calculations_1[[#This Row],[Margin (text)]])),"Runs","Wickets"))</f>
        <v>Runs</v>
      </c>
      <c r="T33" s="12" t="str">
        <f>IF(Calculations_1[[#This Row],[Winning Margin Type]]="Wickets","Chasing Won",IF(Calculations_1[[#This Row],[Winning Margin Type]]="Runs","Batting First Won","DLS Result"))</f>
        <v>Batting First Won</v>
      </c>
      <c r="U33" s="12">
        <f>IF(Calculations_1[[#This Row],[Toss Winner]]=Calculations_1[[#This Row],[Winning Team]],1,0)</f>
        <v>0</v>
      </c>
      <c r="V33" s="12" t="str">
        <f>IF(Calculations_1[[#This Row],[Toss Winner Won Match (1/0)]]=1,"Toss Winner Won","Toss Winner Lost")</f>
        <v>Toss Winner Lost</v>
      </c>
      <c r="W33" s="12" t="str">
        <f>TRIM(Table1[[#This Row],[Man of the Match]])</f>
        <v>Rassie van der Dussen</v>
      </c>
      <c r="X33" s="12" t="str" cm="1">
        <f t="array" ref="X33">IF(Calculations_1[[#This Row],[Winning Margin Type]]="Runs",_xlfn.IFS(Calculations_1[[#This Row],[Margin Value]]&lt;=50,"1-50",Calculations_1[[#This Row],[Margin Value]]&lt;=100,"51-100",Calculations_1[[#This Row],[Margin Value]]&lt;=150,"101-150",Calculations_1[[#This Row],[Margin Value]]&lt;=200,"151-200",TRUE,"201+"),"")</f>
        <v>151-200</v>
      </c>
      <c r="Y33" s="12" t="str" cm="1">
        <f t="array" ref="Y33">IF(Calculations_1[[#This Row],[Winning Margin Type]]="Wickets",_xlfn.IFS(Calculations_1[[#This Row],[Margin Value]]&lt;=3,"1-3",Calculations_1[[#This Row],[Margin Value]]&lt;=6,"4-6",Calculations_1[[#This Row],[Margin Value]]&lt;=10,"7-10"),"")</f>
        <v/>
      </c>
      <c r="AA33" s="12">
        <v>16</v>
      </c>
      <c r="AB33" s="22">
        <v>45217</v>
      </c>
      <c r="AC33" s="12" t="s">
        <v>66</v>
      </c>
      <c r="AD33" s="12" t="s">
        <v>200</v>
      </c>
      <c r="AE33" s="12" t="s">
        <v>82</v>
      </c>
      <c r="AF33" s="12" t="s">
        <v>83</v>
      </c>
      <c r="AG33" s="12" t="s">
        <v>202</v>
      </c>
      <c r="AH33" s="12" t="s">
        <v>203</v>
      </c>
      <c r="AI33" s="12">
        <v>139</v>
      </c>
      <c r="AJ33" s="32" cm="1">
        <f t="array" ref="AJ33">_xlfn.XLOOKUP(
1,
(Table354[Match ID]=Table354[[#This Row],[Match ID]])*
(Table354[Team]=Table354[[#This Row],[Opponent]]),
Table354[Wickets Lost (batting)]
)</f>
        <v>6</v>
      </c>
      <c r="AK33" s="12">
        <v>10</v>
      </c>
      <c r="AL33" s="12">
        <v>34.4</v>
      </c>
      <c r="AM33" s="12">
        <v>2</v>
      </c>
      <c r="AN33" s="12">
        <v>11</v>
      </c>
      <c r="AO33" s="12">
        <v>2</v>
      </c>
      <c r="AP33" s="12">
        <v>13</v>
      </c>
      <c r="AQ33" s="12">
        <v>4</v>
      </c>
      <c r="AR33" s="12" t="str">
        <f>_xlfn.XLOOKUP(Table354[[#This Row],[Match ID]],Calculations_1[Match ID],Calculations_1[Winning Team])</f>
        <v>New Zealand</v>
      </c>
      <c r="AS33" s="12">
        <v>0</v>
      </c>
      <c r="AT33" s="12">
        <v>5</v>
      </c>
      <c r="AU33" s="12">
        <v>1</v>
      </c>
      <c r="AV33" s="12">
        <v>10</v>
      </c>
      <c r="AW33" s="12">
        <f>1</f>
        <v>1</v>
      </c>
      <c r="AX33" s="12">
        <f>IF(Table354[[#This Row],[Team]]=_xlfn.XLOOKUP(Table354[[#This Row],[Match ID]],Calculations_1[Match ID],Calculations_1[Winning Team]),1,0)</f>
        <v>0</v>
      </c>
      <c r="AY33" s="12">
        <f>IF(NOT(Table354[[#This Row],[Win(1/0)]]),1,0)</f>
        <v>1</v>
      </c>
      <c r="AZ33" s="12" t="str">
        <f>IF(Table354[[#This Row],[Win(1/0)]]=1,"Win","Loss")</f>
        <v>Loss</v>
      </c>
      <c r="BA33" s="12">
        <f>IF(Table354[[#This Row],[Team]]=_xlfn.XLOOKUP(Table354[[#This Row],[Match ID]],Calculations_1[Match ID],Calculations_1[Toss Winner]),1,0)</f>
        <v>1</v>
      </c>
      <c r="BB33" s="12">
        <f>Table354[[#This Row],[Win(1/0)]]*Table354[[#This Row],[Toss Won (1/0)]]</f>
        <v>0</v>
      </c>
      <c r="BC33" s="12" t="str" cm="1">
        <f t="array" ref="BC33">_xlfn.XLOOKUP(Table354[[#This Row],[Match ID]],Calculations_1[Match ID],Calculations_1[Toss Decision],NA,0)</f>
        <v>Field</v>
      </c>
    </row>
    <row r="34" spans="1:55" x14ac:dyDescent="0.3">
      <c r="A34" s="12">
        <v>33</v>
      </c>
      <c r="B34" s="23">
        <f>IF(ISNUMBER(Table1[[#This Row],[Match Date]]),DATE(YEAR(Table1[[#This Row],[Match Date]]),DAY(Table1[[#This Row],[Match Date]]),MONTH(Table1[[#This Row],[Match Date]])),DATE(VALUE(RIGHT(TRIM(Table1[[#This Row],[Match Date]]),4)),VALUE(MID(TRIM(Table1[[#This Row],[Match Date]]),4,2)),VALUE(LEFT(TRIM(Table1[[#This Row],[Match Date]]),2))))</f>
        <v>45232</v>
      </c>
      <c r="C34" s="12" t="str">
        <f>TRIM(Table1[[#This Row],[City]])</f>
        <v>Mumbai</v>
      </c>
      <c r="D34" s="12" t="str">
        <f>IF(AND(TRIM(Table1[[#This Row],[Stadium]])="Eden Gardens",TRIM(Table1[[#This Row],[City]])&lt;&gt;"Kolkata"),"Rajiv Gandhi International Stadium",TRIM(Table1[[#This Row],[Stadium]]))</f>
        <v>Wankhede Stadium</v>
      </c>
      <c r="E34" s="12" t="str">
        <f>SUBSTITUTE(Table1[[#This Row],[Team A]],"NewZealand","New Zealand")</f>
        <v>India</v>
      </c>
      <c r="F34" s="12" t="str">
        <f>SUBSTITUTE(Table1[[#This Row],[Team B]],"NewZealand","New Zealand")</f>
        <v>Sri Lanka</v>
      </c>
      <c r="G34" s="12" t="str">
        <f>SUBSTITUTE(Table1[[#This Row],[Toss Winner]],"NewZealand","New Zealand")</f>
        <v>Sri Lanka</v>
      </c>
      <c r="H34" s="12" t="str">
        <f>SUBSTITUTE(Table1[[#This Row],[Wining Team]],"NewZealand","New Zealand")</f>
        <v>India</v>
      </c>
      <c r="I34" s="12" t="str">
        <f>TRIM(Table1[[#This Row],[Toss Decision]])</f>
        <v>Field</v>
      </c>
      <c r="J34" s="12">
        <f>Table1[[#This Row],[Score A]]</f>
        <v>357</v>
      </c>
      <c r="K34" s="12">
        <f>Table1[[#This Row],[Score B]]</f>
        <v>55</v>
      </c>
      <c r="L34" s="12">
        <f>SUM(Calculations_1[[#This Row],[Score A]],Calculations_1[[#This Row],[Score B]])</f>
        <v>412</v>
      </c>
      <c r="M34" s="12">
        <f>SUM(Table1[[#This Row],[Wickets A]],Table1[[#This Row],[Wickets B]])</f>
        <v>18</v>
      </c>
      <c r="N34" s="12">
        <f>SUM(Table1[[#This Row],[4s A]],Table1[[#This Row],[4s B]])</f>
        <v>37</v>
      </c>
      <c r="O34" s="12">
        <f>SUM(Table1[[#This Row],[6s A]],Table1[[#This Row],[6s B]])</f>
        <v>9</v>
      </c>
      <c r="P34" s="12">
        <f>SUM(Calculations_1[[#This Row],[Total 4s (match)]],Calculations_1[[#This Row],[Total 6s (match)]])</f>
        <v>46</v>
      </c>
      <c r="Q34" s="12" t="str">
        <f>TRIM(Table1[[#This Row],[Margin]])</f>
        <v>302 Runs</v>
      </c>
      <c r="R34" s="12">
        <f>VALUE(LEFT(Calculations_1[[#This Row],[Margin (text)]],FIND(" ",Calculations_1[[#This Row],[Margin (text)]])-1))</f>
        <v>302</v>
      </c>
      <c r="S34" s="12" t="str">
        <f>IF(ISNUMBER(SEARCH("DLS",Calculations_1[[#This Row],[Margin (text)]])),"Runs (DLS) Method",IF(ISNUMBER(SEARCH("run",Calculations_1[[#This Row],[Margin (text)]])),"Runs","Wickets"))</f>
        <v>Runs</v>
      </c>
      <c r="T34" s="12" t="str">
        <f>IF(Calculations_1[[#This Row],[Winning Margin Type]]="Wickets","Chasing Won",IF(Calculations_1[[#This Row],[Winning Margin Type]]="Runs","Batting First Won","DLS Result"))</f>
        <v>Batting First Won</v>
      </c>
      <c r="U34" s="12">
        <f>IF(Calculations_1[[#This Row],[Toss Winner]]=Calculations_1[[#This Row],[Winning Team]],1,0)</f>
        <v>0</v>
      </c>
      <c r="V34" s="12" t="str">
        <f>IF(Calculations_1[[#This Row],[Toss Winner Won Match (1/0)]]=1,"Toss Winner Won","Toss Winner Lost")</f>
        <v>Toss Winner Lost</v>
      </c>
      <c r="W34" s="12" t="str">
        <f>TRIM(Table1[[#This Row],[Man of the Match]])</f>
        <v>Mohammed Shami</v>
      </c>
      <c r="X34" s="12" t="str" cm="1">
        <f t="array" ref="X34">IF(Calculations_1[[#This Row],[Winning Margin Type]]="Runs",_xlfn.IFS(Calculations_1[[#This Row],[Margin Value]]&lt;=50,"1-50",Calculations_1[[#This Row],[Margin Value]]&lt;=100,"51-100",Calculations_1[[#This Row],[Margin Value]]&lt;=150,"101-150",Calculations_1[[#This Row],[Margin Value]]&lt;=200,"151-200",TRUE,"201+"),"")</f>
        <v>201+</v>
      </c>
      <c r="Y34" s="12" t="str" cm="1">
        <f t="array" ref="Y34">IF(Calculations_1[[#This Row],[Winning Margin Type]]="Wickets",_xlfn.IFS(Calculations_1[[#This Row],[Margin Value]]&lt;=3,"1-3",Calculations_1[[#This Row],[Margin Value]]&lt;=6,"4-6",Calculations_1[[#This Row],[Margin Value]]&lt;=10,"7-10"),"")</f>
        <v/>
      </c>
      <c r="AA34" s="12">
        <v>17</v>
      </c>
      <c r="AB34" s="22">
        <v>45218</v>
      </c>
      <c r="AC34" s="12" t="s">
        <v>67</v>
      </c>
      <c r="AD34" s="12" t="s">
        <v>85</v>
      </c>
      <c r="AE34" s="12" t="s">
        <v>118</v>
      </c>
      <c r="AF34" s="12" t="s">
        <v>119</v>
      </c>
      <c r="AG34" s="12" t="s">
        <v>201</v>
      </c>
      <c r="AH34" s="12" t="s">
        <v>195</v>
      </c>
      <c r="AI34" s="12">
        <v>256</v>
      </c>
      <c r="AJ34" s="32" cm="1">
        <f t="array" ref="AJ34">_xlfn.XLOOKUP(
1,
(Table354[Match ID]=Table354[[#This Row],[Match ID]])*
(Table354[Team]=Table354[[#This Row],[Opponent]]),
Table354[Wickets Lost (batting)]
)</f>
        <v>3</v>
      </c>
      <c r="AK34" s="12">
        <v>8</v>
      </c>
      <c r="AL34" s="12">
        <v>50</v>
      </c>
      <c r="AM34" s="12">
        <v>0</v>
      </c>
      <c r="AN34" s="12">
        <v>18</v>
      </c>
      <c r="AO34" s="12">
        <v>8</v>
      </c>
      <c r="AP34" s="12">
        <v>26</v>
      </c>
      <c r="AQ34" s="12">
        <v>5.12</v>
      </c>
      <c r="AR34" s="12" t="str">
        <f>_xlfn.XLOOKUP(Table354[[#This Row],[Match ID]],Calculations_1[Match ID],Calculations_1[Winning Team])</f>
        <v>India</v>
      </c>
      <c r="AS34" s="12">
        <v>0</v>
      </c>
      <c r="AT34" s="12">
        <v>2</v>
      </c>
      <c r="AU34" s="12">
        <v>2</v>
      </c>
      <c r="AV34" s="12">
        <v>4</v>
      </c>
      <c r="AW34" s="12">
        <f>1</f>
        <v>1</v>
      </c>
      <c r="AX34" s="12">
        <f>IF(Table354[[#This Row],[Team]]=_xlfn.XLOOKUP(Table354[[#This Row],[Match ID]],Calculations_1[Match ID],Calculations_1[Winning Team]),1,0)</f>
        <v>0</v>
      </c>
      <c r="AY34" s="12">
        <f>IF(NOT(Table354[[#This Row],[Win(1/0)]]),1,0)</f>
        <v>1</v>
      </c>
      <c r="AZ34" s="12" t="str">
        <f>IF(Table354[[#This Row],[Win(1/0)]]=1,"Win","Loss")</f>
        <v>Loss</v>
      </c>
      <c r="BA34" s="12">
        <f>IF(Table354[[#This Row],[Team]]=_xlfn.XLOOKUP(Table354[[#This Row],[Match ID]],Calculations_1[Match ID],Calculations_1[Toss Winner]),1,0)</f>
        <v>1</v>
      </c>
      <c r="BB34" s="12">
        <f>Table354[[#This Row],[Win(1/0)]]*Table354[[#This Row],[Toss Won (1/0)]]</f>
        <v>0</v>
      </c>
      <c r="BC34" s="12" t="str" cm="1">
        <f t="array" ref="BC34">_xlfn.XLOOKUP(Table354[[#This Row],[Match ID]],Calculations_1[Match ID],Calculations_1[Toss Decision],NA,0)</f>
        <v>Bat</v>
      </c>
    </row>
    <row r="35" spans="1:55" x14ac:dyDescent="0.3">
      <c r="A35" s="12">
        <v>34</v>
      </c>
      <c r="B35" s="23">
        <f>IF(ISNUMBER(Table1[[#This Row],[Match Date]]),DATE(YEAR(Table1[[#This Row],[Match Date]]),DAY(Table1[[#This Row],[Match Date]]),MONTH(Table1[[#This Row],[Match Date]])),DATE(VALUE(RIGHT(TRIM(Table1[[#This Row],[Match Date]]),4)),VALUE(MID(TRIM(Table1[[#This Row],[Match Date]]),4,2)),VALUE(LEFT(TRIM(Table1[[#This Row],[Match Date]]),2))))</f>
        <v>45233</v>
      </c>
      <c r="C35" s="12" t="str">
        <f>TRIM(Table1[[#This Row],[City]])</f>
        <v>Lucknow</v>
      </c>
      <c r="D35" s="12" t="str">
        <f>IF(AND(TRIM(Table1[[#This Row],[Stadium]])="Eden Gardens",TRIM(Table1[[#This Row],[City]])&lt;&gt;"Kolkata"),"Rajiv Gandhi International Stadium",TRIM(Table1[[#This Row],[Stadium]]))</f>
        <v>BRSABV Ekana Cricket Stadium</v>
      </c>
      <c r="E35" s="12" t="str">
        <f>SUBSTITUTE(Table1[[#This Row],[Team A]],"NewZealand","New Zealand")</f>
        <v>Netherlands</v>
      </c>
      <c r="F35" s="12" t="str">
        <f>SUBSTITUTE(Table1[[#This Row],[Team B]],"NewZealand","New Zealand")</f>
        <v>Afghanistan</v>
      </c>
      <c r="G35" s="12" t="str">
        <f>SUBSTITUTE(Table1[[#This Row],[Toss Winner]],"NewZealand","New Zealand")</f>
        <v>Netherlands</v>
      </c>
      <c r="H35" s="12" t="str">
        <f>SUBSTITUTE(Table1[[#This Row],[Wining Team]],"NewZealand","New Zealand")</f>
        <v>Afghanistan</v>
      </c>
      <c r="I35" s="12" t="str">
        <f>TRIM(Table1[[#This Row],[Toss Decision]])</f>
        <v>Bat</v>
      </c>
      <c r="J35" s="12">
        <f>Table1[[#This Row],[Score A]]</f>
        <v>181</v>
      </c>
      <c r="K35" s="12">
        <f>Table1[[#This Row],[Score B]]</f>
        <v>179</v>
      </c>
      <c r="L35" s="12">
        <f>SUM(Calculations_1[[#This Row],[Score A]],Calculations_1[[#This Row],[Score B]])</f>
        <v>360</v>
      </c>
      <c r="M35" s="12">
        <f>SUM(Table1[[#This Row],[Wickets A]],Table1[[#This Row],[Wickets B]])</f>
        <v>13</v>
      </c>
      <c r="N35" s="12">
        <f>SUM(Table1[[#This Row],[4s A]],Table1[[#This Row],[4s B]])</f>
        <v>40</v>
      </c>
      <c r="O35" s="12">
        <f>SUM(Table1[[#This Row],[6s A]],Table1[[#This Row],[6s B]])</f>
        <v>0</v>
      </c>
      <c r="P35" s="12">
        <f>SUM(Calculations_1[[#This Row],[Total 4s (match)]],Calculations_1[[#This Row],[Total 6s (match)]])</f>
        <v>40</v>
      </c>
      <c r="Q35" s="12" t="str">
        <f>TRIM(Table1[[#This Row],[Margin]])</f>
        <v>7 Wickets</v>
      </c>
      <c r="R35" s="12">
        <f>VALUE(LEFT(Calculations_1[[#This Row],[Margin (text)]],FIND(" ",Calculations_1[[#This Row],[Margin (text)]])-1))</f>
        <v>7</v>
      </c>
      <c r="S35" s="12" t="str">
        <f>IF(ISNUMBER(SEARCH("DLS",Calculations_1[[#This Row],[Margin (text)]])),"Runs (DLS) Method",IF(ISNUMBER(SEARCH("run",Calculations_1[[#This Row],[Margin (text)]])),"Runs","Wickets"))</f>
        <v>Wickets</v>
      </c>
      <c r="T35" s="12" t="str">
        <f>IF(Calculations_1[[#This Row],[Winning Margin Type]]="Wickets","Chasing Won",IF(Calculations_1[[#This Row],[Winning Margin Type]]="Runs","Batting First Won","DLS Result"))</f>
        <v>Chasing Won</v>
      </c>
      <c r="U35" s="12">
        <f>IF(Calculations_1[[#This Row],[Toss Winner]]=Calculations_1[[#This Row],[Winning Team]],1,0)</f>
        <v>0</v>
      </c>
      <c r="V35" s="12" t="str">
        <f>IF(Calculations_1[[#This Row],[Toss Winner Won Match (1/0)]]=1,"Toss Winner Won","Toss Winner Lost")</f>
        <v>Toss Winner Lost</v>
      </c>
      <c r="W35" s="12" t="str">
        <f>TRIM(Table1[[#This Row],[Man of the Match]])</f>
        <v>Mohammad Nabi</v>
      </c>
      <c r="X35" s="12" t="str" cm="1">
        <f t="array" ref="X35">IF(Calculations_1[[#This Row],[Winning Margin Type]]="Runs",_xlfn.IFS(Calculations_1[[#This Row],[Margin Value]]&lt;=50,"1-50",Calculations_1[[#This Row],[Margin Value]]&lt;=100,"51-100",Calculations_1[[#This Row],[Margin Value]]&lt;=150,"101-150",Calculations_1[[#This Row],[Margin Value]]&lt;=200,"151-200",TRUE,"201+"),"")</f>
        <v/>
      </c>
      <c r="Y35" s="12" t="str" cm="1">
        <f t="array" ref="Y35">IF(Calculations_1[[#This Row],[Winning Margin Type]]="Wickets",_xlfn.IFS(Calculations_1[[#This Row],[Margin Value]]&lt;=3,"1-3",Calculations_1[[#This Row],[Margin Value]]&lt;=6,"4-6",Calculations_1[[#This Row],[Margin Value]]&lt;=10,"7-10"),"")</f>
        <v>7-10</v>
      </c>
      <c r="AA35" s="12">
        <v>17</v>
      </c>
      <c r="AB35" s="22">
        <v>45218</v>
      </c>
      <c r="AC35" s="12" t="s">
        <v>85</v>
      </c>
      <c r="AD35" s="12" t="s">
        <v>67</v>
      </c>
      <c r="AE35" s="12" t="s">
        <v>118</v>
      </c>
      <c r="AF35" s="12" t="s">
        <v>119</v>
      </c>
      <c r="AG35" s="12" t="s">
        <v>201</v>
      </c>
      <c r="AH35" s="12" t="s">
        <v>195</v>
      </c>
      <c r="AI35" s="12">
        <v>261</v>
      </c>
      <c r="AJ35" s="32" cm="1">
        <f t="array" ref="AJ35">_xlfn.XLOOKUP(
1,
(Table354[Match ID]=Table354[[#This Row],[Match ID]])*
(Table354[Team]=Table354[[#This Row],[Opponent]]),
Table354[Wickets Lost (batting)]
)</f>
        <v>8</v>
      </c>
      <c r="AK35" s="12">
        <v>3</v>
      </c>
      <c r="AL35" s="12">
        <v>41.3</v>
      </c>
      <c r="AM35" s="12">
        <v>1</v>
      </c>
      <c r="AN35" s="12">
        <v>23</v>
      </c>
      <c r="AO35" s="12">
        <v>9</v>
      </c>
      <c r="AP35" s="12">
        <v>32</v>
      </c>
      <c r="AQ35" s="12">
        <v>6.28</v>
      </c>
      <c r="AR35" s="12" t="str">
        <f>_xlfn.XLOOKUP(Table354[[#This Row],[Match ID]],Calculations_1[Match ID],Calculations_1[Winning Team])</f>
        <v>India</v>
      </c>
      <c r="AS35" s="12">
        <v>0</v>
      </c>
      <c r="AT35" s="12">
        <v>5</v>
      </c>
      <c r="AU35" s="12">
        <v>0</v>
      </c>
      <c r="AV35" s="12">
        <v>6</v>
      </c>
      <c r="AW35" s="12">
        <f>1</f>
        <v>1</v>
      </c>
      <c r="AX35" s="12">
        <f>IF(Table354[[#This Row],[Team]]=_xlfn.XLOOKUP(Table354[[#This Row],[Match ID]],Calculations_1[Match ID],Calculations_1[Winning Team]),1,0)</f>
        <v>1</v>
      </c>
      <c r="AY35" s="12">
        <f>IF(NOT(Table354[[#This Row],[Win(1/0)]]),1,0)</f>
        <v>0</v>
      </c>
      <c r="AZ35" s="12" t="str">
        <f>IF(Table354[[#This Row],[Win(1/0)]]=1,"Win","Loss")</f>
        <v>Win</v>
      </c>
      <c r="BA35" s="12">
        <f>IF(Table354[[#This Row],[Team]]=_xlfn.XLOOKUP(Table354[[#This Row],[Match ID]],Calculations_1[Match ID],Calculations_1[Toss Winner]),1,0)</f>
        <v>0</v>
      </c>
      <c r="BB35" s="12">
        <f>Table354[[#This Row],[Win(1/0)]]*Table354[[#This Row],[Toss Won (1/0)]]</f>
        <v>0</v>
      </c>
      <c r="BC35" s="12" t="str" cm="1">
        <f t="array" ref="BC35">_xlfn.XLOOKUP(Table354[[#This Row],[Match ID]],Calculations_1[Match ID],Calculations_1[Toss Decision],NA,0)</f>
        <v>Bat</v>
      </c>
    </row>
    <row r="36" spans="1:55" x14ac:dyDescent="0.3">
      <c r="A36" s="12">
        <v>35</v>
      </c>
      <c r="B36" s="23">
        <f>IF(ISNUMBER(Table1[[#This Row],[Match Date]]),DATE(YEAR(Table1[[#This Row],[Match Date]]),DAY(Table1[[#This Row],[Match Date]]),MONTH(Table1[[#This Row],[Match Date]])),DATE(VALUE(RIGHT(TRIM(Table1[[#This Row],[Match Date]]),4)),VALUE(MID(TRIM(Table1[[#This Row],[Match Date]]),4,2)),VALUE(LEFT(TRIM(Table1[[#This Row],[Match Date]]),2))))</f>
        <v>45234</v>
      </c>
      <c r="C36" s="12" t="str">
        <f>TRIM(Table1[[#This Row],[City]])</f>
        <v>Bangalore</v>
      </c>
      <c r="D36" s="12" t="str">
        <f>IF(AND(TRIM(Table1[[#This Row],[Stadium]])="Eden Gardens",TRIM(Table1[[#This Row],[City]])&lt;&gt;"Kolkata"),"Rajiv Gandhi International Stadium",TRIM(Table1[[#This Row],[Stadium]]))</f>
        <v>M. Chinnaswamy Stadium</v>
      </c>
      <c r="E36" s="12" t="str">
        <f>SUBSTITUTE(Table1[[#This Row],[Team A]],"NewZealand","New Zealand")</f>
        <v>New Zealand</v>
      </c>
      <c r="F36" s="12" t="str">
        <f>SUBSTITUTE(Table1[[#This Row],[Team B]],"NewZealand","New Zealand")</f>
        <v>Pakistan</v>
      </c>
      <c r="G36" s="12" t="str">
        <f>SUBSTITUTE(Table1[[#This Row],[Toss Winner]],"NewZealand","New Zealand")</f>
        <v>Pakistan</v>
      </c>
      <c r="H36" s="12" t="str">
        <f>SUBSTITUTE(Table1[[#This Row],[Wining Team]],"NewZealand","New Zealand")</f>
        <v>Pakistan</v>
      </c>
      <c r="I36" s="12" t="str">
        <f>TRIM(Table1[[#This Row],[Toss Decision]])</f>
        <v>Field</v>
      </c>
      <c r="J36" s="12">
        <f>Table1[[#This Row],[Score A]]</f>
        <v>401</v>
      </c>
      <c r="K36" s="12">
        <f>Table1[[#This Row],[Score B]]</f>
        <v>200</v>
      </c>
      <c r="L36" s="12">
        <f>SUM(Calculations_1[[#This Row],[Score A]],Calculations_1[[#This Row],[Score B]])</f>
        <v>601</v>
      </c>
      <c r="M36" s="12">
        <f>SUM(Table1[[#This Row],[Wickets A]],Table1[[#This Row],[Wickets B]])</f>
        <v>7</v>
      </c>
      <c r="N36" s="12">
        <f>SUM(Table1[[#This Row],[4s A]],Table1[[#This Row],[4s B]])</f>
        <v>61</v>
      </c>
      <c r="O36" s="12">
        <f>SUM(Table1[[#This Row],[6s A]],Table1[[#This Row],[6s B]])</f>
        <v>21</v>
      </c>
      <c r="P36" s="12">
        <f>SUM(Calculations_1[[#This Row],[Total 4s (match)]],Calculations_1[[#This Row],[Total 6s (match)]])</f>
        <v>82</v>
      </c>
      <c r="Q36" s="12" t="str">
        <f>TRIM(Table1[[#This Row],[Margin]])</f>
        <v>21 Runs DLS Method</v>
      </c>
      <c r="R36" s="12">
        <f>VALUE(LEFT(Calculations_1[[#This Row],[Margin (text)]],FIND(" ",Calculations_1[[#This Row],[Margin (text)]])-1))</f>
        <v>21</v>
      </c>
      <c r="S36" s="12" t="str">
        <f>IF(ISNUMBER(SEARCH("DLS",Calculations_1[[#This Row],[Margin (text)]])),"Runs (DLS) Method",IF(ISNUMBER(SEARCH("run",Calculations_1[[#This Row],[Margin (text)]])),"Runs","Wickets"))</f>
        <v>Runs (DLS) Method</v>
      </c>
      <c r="T36" s="12" t="str">
        <f>IF(Calculations_1[[#This Row],[Winning Margin Type]]="Wickets","Chasing Won",IF(Calculations_1[[#This Row],[Winning Margin Type]]="Runs","Batting First Won","DLS Result"))</f>
        <v>DLS Result</v>
      </c>
      <c r="U36" s="12">
        <f>IF(Calculations_1[[#This Row],[Toss Winner]]=Calculations_1[[#This Row],[Winning Team]],1,0)</f>
        <v>1</v>
      </c>
      <c r="V36" s="12" t="str">
        <f>IF(Calculations_1[[#This Row],[Toss Winner Won Match (1/0)]]=1,"Toss Winner Won","Toss Winner Lost")</f>
        <v>Toss Winner Won</v>
      </c>
      <c r="W36" s="12" t="str">
        <f>TRIM(Table1[[#This Row],[Man of the Match]])</f>
        <v>Fakhar Zaman</v>
      </c>
      <c r="X36" s="12" t="str" cm="1">
        <f t="array" ref="X36">IF(Calculations_1[[#This Row],[Winning Margin Type]]="Runs",_xlfn.IFS(Calculations_1[[#This Row],[Margin Value]]&lt;=50,"1-50",Calculations_1[[#This Row],[Margin Value]]&lt;=100,"51-100",Calculations_1[[#This Row],[Margin Value]]&lt;=150,"101-150",Calculations_1[[#This Row],[Margin Value]]&lt;=200,"151-200",TRUE,"201+"),"")</f>
        <v/>
      </c>
      <c r="Y36" s="12" t="str" cm="1">
        <f t="array" ref="Y36">IF(Calculations_1[[#This Row],[Winning Margin Type]]="Wickets",_xlfn.IFS(Calculations_1[[#This Row],[Margin Value]]&lt;=3,"1-3",Calculations_1[[#This Row],[Margin Value]]&lt;=6,"4-6",Calculations_1[[#This Row],[Margin Value]]&lt;=10,"7-10"),"")</f>
        <v/>
      </c>
      <c r="AA36" s="12">
        <v>18</v>
      </c>
      <c r="AB36" s="22">
        <v>45219</v>
      </c>
      <c r="AC36" s="12" t="s">
        <v>84</v>
      </c>
      <c r="AD36" s="12" t="s">
        <v>56</v>
      </c>
      <c r="AE36" s="12" t="s">
        <v>121</v>
      </c>
      <c r="AF36" s="12" t="s">
        <v>122</v>
      </c>
      <c r="AG36" s="12" t="s">
        <v>202</v>
      </c>
      <c r="AH36" s="12" t="s">
        <v>203</v>
      </c>
      <c r="AI36" s="12">
        <v>367</v>
      </c>
      <c r="AJ36" s="32" cm="1">
        <f t="array" ref="AJ36">_xlfn.XLOOKUP(
1,
(Table354[Match ID]=Table354[[#This Row],[Match ID]])*
(Table354[Team]=Table354[[#This Row],[Opponent]]),
Table354[Wickets Lost (batting)]
)</f>
        <v>10</v>
      </c>
      <c r="AK36" s="12">
        <v>9</v>
      </c>
      <c r="AL36" s="12">
        <v>50</v>
      </c>
      <c r="AM36" s="12">
        <v>1</v>
      </c>
      <c r="AN36" s="12">
        <v>29</v>
      </c>
      <c r="AO36" s="12">
        <v>19</v>
      </c>
      <c r="AP36" s="12">
        <v>48</v>
      </c>
      <c r="AQ36" s="12">
        <v>7.34</v>
      </c>
      <c r="AR36" s="12" t="str">
        <f>_xlfn.XLOOKUP(Table354[[#This Row],[Match ID]],Calculations_1[Match ID],Calculations_1[Winning Team])</f>
        <v>Australia</v>
      </c>
      <c r="AS36" s="12">
        <v>1</v>
      </c>
      <c r="AT36" s="12">
        <v>11</v>
      </c>
      <c r="AU36" s="12">
        <v>0</v>
      </c>
      <c r="AV36" s="12">
        <v>19</v>
      </c>
      <c r="AW36" s="12">
        <f>1</f>
        <v>1</v>
      </c>
      <c r="AX36" s="12">
        <f>IF(Table354[[#This Row],[Team]]=_xlfn.XLOOKUP(Table354[[#This Row],[Match ID]],Calculations_1[Match ID],Calculations_1[Winning Team]),1,0)</f>
        <v>1</v>
      </c>
      <c r="AY36" s="12">
        <f>IF(NOT(Table354[[#This Row],[Win(1/0)]]),1,0)</f>
        <v>0</v>
      </c>
      <c r="AZ36" s="12" t="str">
        <f>IF(Table354[[#This Row],[Win(1/0)]]=1,"Win","Loss")</f>
        <v>Win</v>
      </c>
      <c r="BA36" s="12">
        <f>IF(Table354[[#This Row],[Team]]=_xlfn.XLOOKUP(Table354[[#This Row],[Match ID]],Calculations_1[Match ID],Calculations_1[Toss Winner]),1,0)</f>
        <v>0</v>
      </c>
      <c r="BB36" s="12">
        <f>Table354[[#This Row],[Win(1/0)]]*Table354[[#This Row],[Toss Won (1/0)]]</f>
        <v>0</v>
      </c>
      <c r="BC36" s="12" t="str" cm="1">
        <f t="array" ref="BC36">_xlfn.XLOOKUP(Table354[[#This Row],[Match ID]],Calculations_1[Match ID],Calculations_1[Toss Decision],NA,0)</f>
        <v>Field</v>
      </c>
    </row>
    <row r="37" spans="1:55" x14ac:dyDescent="0.3">
      <c r="A37" s="12">
        <v>36</v>
      </c>
      <c r="B37" s="23">
        <f>IF(ISNUMBER(Table1[[#This Row],[Match Date]]),DATE(YEAR(Table1[[#This Row],[Match Date]]),DAY(Table1[[#This Row],[Match Date]]),MONTH(Table1[[#This Row],[Match Date]])),DATE(VALUE(RIGHT(TRIM(Table1[[#This Row],[Match Date]]),4)),VALUE(MID(TRIM(Table1[[#This Row],[Match Date]]),4,2)),VALUE(LEFT(TRIM(Table1[[#This Row],[Match Date]]),2))))</f>
        <v>45234</v>
      </c>
      <c r="C37" s="12" t="str">
        <f>TRIM(Table1[[#This Row],[City]])</f>
        <v>Ahmedabad</v>
      </c>
      <c r="D37" s="12" t="str">
        <f>IF(AND(TRIM(Table1[[#This Row],[Stadium]])="Eden Gardens",TRIM(Table1[[#This Row],[City]])&lt;&gt;"Kolkata"),"Rajiv Gandhi International Stadium",TRIM(Table1[[#This Row],[Stadium]]))</f>
        <v>Narendra Modi Stadium</v>
      </c>
      <c r="E37" s="12" t="str">
        <f>SUBSTITUTE(Table1[[#This Row],[Team A]],"NewZealand","New Zealand")</f>
        <v>Australia</v>
      </c>
      <c r="F37" s="12" t="str">
        <f>SUBSTITUTE(Table1[[#This Row],[Team B]],"NewZealand","New Zealand")</f>
        <v>England</v>
      </c>
      <c r="G37" s="12" t="str">
        <f>SUBSTITUTE(Table1[[#This Row],[Toss Winner]],"NewZealand","New Zealand")</f>
        <v>England</v>
      </c>
      <c r="H37" s="12" t="str">
        <f>SUBSTITUTE(Table1[[#This Row],[Wining Team]],"NewZealand","New Zealand")</f>
        <v>Australia</v>
      </c>
      <c r="I37" s="12" t="str">
        <f>TRIM(Table1[[#This Row],[Toss Decision]])</f>
        <v>Field</v>
      </c>
      <c r="J37" s="12">
        <f>Table1[[#This Row],[Score A]]</f>
        <v>286</v>
      </c>
      <c r="K37" s="12">
        <f>Table1[[#This Row],[Score B]]</f>
        <v>253</v>
      </c>
      <c r="L37" s="12">
        <f>SUM(Calculations_1[[#This Row],[Score A]],Calculations_1[[#This Row],[Score B]])</f>
        <v>539</v>
      </c>
      <c r="M37" s="12">
        <f>SUM(Table1[[#This Row],[Wickets A]],Table1[[#This Row],[Wickets B]])</f>
        <v>20</v>
      </c>
      <c r="N37" s="12">
        <f>SUM(Table1[[#This Row],[4s A]],Table1[[#This Row],[4s B]])</f>
        <v>47</v>
      </c>
      <c r="O37" s="12">
        <f>SUM(Table1[[#This Row],[6s A]],Table1[[#This Row],[6s B]])</f>
        <v>9</v>
      </c>
      <c r="P37" s="12">
        <f>SUM(Calculations_1[[#This Row],[Total 4s (match)]],Calculations_1[[#This Row],[Total 6s (match)]])</f>
        <v>56</v>
      </c>
      <c r="Q37" s="12" t="str">
        <f>TRIM(Table1[[#This Row],[Margin]])</f>
        <v>33 Runs</v>
      </c>
      <c r="R37" s="12">
        <f>VALUE(LEFT(Calculations_1[[#This Row],[Margin (text)]],FIND(" ",Calculations_1[[#This Row],[Margin (text)]])-1))</f>
        <v>33</v>
      </c>
      <c r="S37" s="12" t="str">
        <f>IF(ISNUMBER(SEARCH("DLS",Calculations_1[[#This Row],[Margin (text)]])),"Runs (DLS) Method",IF(ISNUMBER(SEARCH("run",Calculations_1[[#This Row],[Margin (text)]])),"Runs","Wickets"))</f>
        <v>Runs</v>
      </c>
      <c r="T37" s="12" t="str">
        <f>IF(Calculations_1[[#This Row],[Winning Margin Type]]="Wickets","Chasing Won",IF(Calculations_1[[#This Row],[Winning Margin Type]]="Runs","Batting First Won","DLS Result"))</f>
        <v>Batting First Won</v>
      </c>
      <c r="U37" s="12">
        <f>IF(Calculations_1[[#This Row],[Toss Winner]]=Calculations_1[[#This Row],[Winning Team]],1,0)</f>
        <v>0</v>
      </c>
      <c r="V37" s="12" t="str">
        <f>IF(Calculations_1[[#This Row],[Toss Winner Won Match (1/0)]]=1,"Toss Winner Won","Toss Winner Lost")</f>
        <v>Toss Winner Lost</v>
      </c>
      <c r="W37" s="12" t="str">
        <f>TRIM(Table1[[#This Row],[Man of the Match]])</f>
        <v>Adam Zampa</v>
      </c>
      <c r="X37" s="12" t="str" cm="1">
        <f t="array" ref="X37">IF(Calculations_1[[#This Row],[Winning Margin Type]]="Runs",_xlfn.IFS(Calculations_1[[#This Row],[Margin Value]]&lt;=50,"1-50",Calculations_1[[#This Row],[Margin Value]]&lt;=100,"51-100",Calculations_1[[#This Row],[Margin Value]]&lt;=150,"101-150",Calculations_1[[#This Row],[Margin Value]]&lt;=200,"151-200",TRUE,"201+"),"")</f>
        <v>1-50</v>
      </c>
      <c r="Y37" s="12" t="str" cm="1">
        <f t="array" ref="Y37">IF(Calculations_1[[#This Row],[Winning Margin Type]]="Wickets",_xlfn.IFS(Calculations_1[[#This Row],[Margin Value]]&lt;=3,"1-3",Calculations_1[[#This Row],[Margin Value]]&lt;=6,"4-6",Calculations_1[[#This Row],[Margin Value]]&lt;=10,"7-10"),"")</f>
        <v/>
      </c>
      <c r="AA37" s="12">
        <v>18</v>
      </c>
      <c r="AB37" s="22">
        <v>45219</v>
      </c>
      <c r="AC37" s="12" t="s">
        <v>56</v>
      </c>
      <c r="AD37" s="12" t="s">
        <v>84</v>
      </c>
      <c r="AE37" s="12" t="s">
        <v>121</v>
      </c>
      <c r="AF37" s="12" t="s">
        <v>122</v>
      </c>
      <c r="AG37" s="12" t="s">
        <v>202</v>
      </c>
      <c r="AH37" s="12" t="s">
        <v>203</v>
      </c>
      <c r="AI37" s="12">
        <v>305</v>
      </c>
      <c r="AJ37" s="32" cm="1">
        <f t="array" ref="AJ37">_xlfn.XLOOKUP(
1,
(Table354[Match ID]=Table354[[#This Row],[Match ID]])*
(Table354[Team]=Table354[[#This Row],[Opponent]]),
Table354[Wickets Lost (batting)]
)</f>
        <v>9</v>
      </c>
      <c r="AK37" s="12">
        <v>10</v>
      </c>
      <c r="AL37" s="12">
        <v>45.3</v>
      </c>
      <c r="AM37" s="12">
        <v>1</v>
      </c>
      <c r="AN37" s="12">
        <v>34</v>
      </c>
      <c r="AO37" s="12">
        <v>6</v>
      </c>
      <c r="AP37" s="12">
        <v>40</v>
      </c>
      <c r="AQ37" s="12">
        <v>6.7</v>
      </c>
      <c r="AR37" s="12" t="str">
        <f>_xlfn.XLOOKUP(Table354[[#This Row],[Match ID]],Calculations_1[Match ID],Calculations_1[Winning Team])</f>
        <v>Australia</v>
      </c>
      <c r="AS37" s="12">
        <v>1</v>
      </c>
      <c r="AT37" s="12">
        <v>14</v>
      </c>
      <c r="AU37" s="12">
        <v>0</v>
      </c>
      <c r="AV37" s="12">
        <v>25</v>
      </c>
      <c r="AW37" s="12">
        <f>1</f>
        <v>1</v>
      </c>
      <c r="AX37" s="12">
        <f>IF(Table354[[#This Row],[Team]]=_xlfn.XLOOKUP(Table354[[#This Row],[Match ID]],Calculations_1[Match ID],Calculations_1[Winning Team]),1,0)</f>
        <v>0</v>
      </c>
      <c r="AY37" s="12">
        <f>IF(NOT(Table354[[#This Row],[Win(1/0)]]),1,0)</f>
        <v>1</v>
      </c>
      <c r="AZ37" s="12" t="str">
        <f>IF(Table354[[#This Row],[Win(1/0)]]=1,"Win","Loss")</f>
        <v>Loss</v>
      </c>
      <c r="BA37" s="12">
        <f>IF(Table354[[#This Row],[Team]]=_xlfn.XLOOKUP(Table354[[#This Row],[Match ID]],Calculations_1[Match ID],Calculations_1[Toss Winner]),1,0)</f>
        <v>1</v>
      </c>
      <c r="BB37" s="12">
        <f>Table354[[#This Row],[Win(1/0)]]*Table354[[#This Row],[Toss Won (1/0)]]</f>
        <v>0</v>
      </c>
      <c r="BC37" s="12" t="str" cm="1">
        <f t="array" ref="BC37">_xlfn.XLOOKUP(Table354[[#This Row],[Match ID]],Calculations_1[Match ID],Calculations_1[Toss Decision],NA,0)</f>
        <v>Field</v>
      </c>
    </row>
    <row r="38" spans="1:55" x14ac:dyDescent="0.3">
      <c r="A38" s="12">
        <v>37</v>
      </c>
      <c r="B38" s="23">
        <f>IF(ISNUMBER(Table1[[#This Row],[Match Date]]),DATE(YEAR(Table1[[#This Row],[Match Date]]),DAY(Table1[[#This Row],[Match Date]]),MONTH(Table1[[#This Row],[Match Date]])),DATE(VALUE(RIGHT(TRIM(Table1[[#This Row],[Match Date]]),4)),VALUE(MID(TRIM(Table1[[#This Row],[Match Date]]),4,2)),VALUE(LEFT(TRIM(Table1[[#This Row],[Match Date]]),2))))</f>
        <v>45235</v>
      </c>
      <c r="C38" s="12" t="str">
        <f>TRIM(Table1[[#This Row],[City]])</f>
        <v>Kolkata</v>
      </c>
      <c r="D38" s="12" t="str">
        <f>IF(AND(TRIM(Table1[[#This Row],[Stadium]])="Eden Gardens",TRIM(Table1[[#This Row],[City]])&lt;&gt;"Kolkata"),"Rajiv Gandhi International Stadium",TRIM(Table1[[#This Row],[Stadium]]))</f>
        <v>Eden Gardens</v>
      </c>
      <c r="E38" s="12" t="str">
        <f>SUBSTITUTE(Table1[[#This Row],[Team A]],"NewZealand","New Zealand")</f>
        <v>India</v>
      </c>
      <c r="F38" s="12" t="str">
        <f>SUBSTITUTE(Table1[[#This Row],[Team B]],"NewZealand","New Zealand")</f>
        <v>South Africa</v>
      </c>
      <c r="G38" s="12" t="str">
        <f>SUBSTITUTE(Table1[[#This Row],[Toss Winner]],"NewZealand","New Zealand")</f>
        <v>India</v>
      </c>
      <c r="H38" s="12" t="str">
        <f>SUBSTITUTE(Table1[[#This Row],[Wining Team]],"NewZealand","New Zealand")</f>
        <v>India</v>
      </c>
      <c r="I38" s="12" t="str">
        <f>TRIM(Table1[[#This Row],[Toss Decision]])</f>
        <v>Bat</v>
      </c>
      <c r="J38" s="12">
        <f>Table1[[#This Row],[Score A]]</f>
        <v>326</v>
      </c>
      <c r="K38" s="12">
        <f>Table1[[#This Row],[Score B]]</f>
        <v>83</v>
      </c>
      <c r="L38" s="12">
        <f>SUM(Calculations_1[[#This Row],[Score A]],Calculations_1[[#This Row],[Score B]])</f>
        <v>409</v>
      </c>
      <c r="M38" s="12">
        <f>SUM(Table1[[#This Row],[Wickets A]],Table1[[#This Row],[Wickets B]])</f>
        <v>15</v>
      </c>
      <c r="N38" s="12">
        <f>SUM(Table1[[#This Row],[4s A]],Table1[[#This Row],[4s B]])</f>
        <v>45</v>
      </c>
      <c r="O38" s="12">
        <f>SUM(Table1[[#This Row],[6s A]],Table1[[#This Row],[6s B]])</f>
        <v>6</v>
      </c>
      <c r="P38" s="12">
        <f>SUM(Calculations_1[[#This Row],[Total 4s (match)]],Calculations_1[[#This Row],[Total 6s (match)]])</f>
        <v>51</v>
      </c>
      <c r="Q38" s="12" t="str">
        <f>TRIM(Table1[[#This Row],[Margin]])</f>
        <v>243 Runs</v>
      </c>
      <c r="R38" s="12">
        <f>VALUE(LEFT(Calculations_1[[#This Row],[Margin (text)]],FIND(" ",Calculations_1[[#This Row],[Margin (text)]])-1))</f>
        <v>243</v>
      </c>
      <c r="S38" s="12" t="str">
        <f>IF(ISNUMBER(SEARCH("DLS",Calculations_1[[#This Row],[Margin (text)]])),"Runs (DLS) Method",IF(ISNUMBER(SEARCH("run",Calculations_1[[#This Row],[Margin (text)]])),"Runs","Wickets"))</f>
        <v>Runs</v>
      </c>
      <c r="T38" s="12" t="str">
        <f>IF(Calculations_1[[#This Row],[Winning Margin Type]]="Wickets","Chasing Won",IF(Calculations_1[[#This Row],[Winning Margin Type]]="Runs","Batting First Won","DLS Result"))</f>
        <v>Batting First Won</v>
      </c>
      <c r="U38" s="12">
        <f>IF(Calculations_1[[#This Row],[Toss Winner]]=Calculations_1[[#This Row],[Winning Team]],1,0)</f>
        <v>1</v>
      </c>
      <c r="V38" s="12" t="str">
        <f>IF(Calculations_1[[#This Row],[Toss Winner Won Match (1/0)]]=1,"Toss Winner Won","Toss Winner Lost")</f>
        <v>Toss Winner Won</v>
      </c>
      <c r="W38" s="12" t="str">
        <f>TRIM(Table1[[#This Row],[Man of the Match]])</f>
        <v>Virat Kohli</v>
      </c>
      <c r="X38" s="12" t="str" cm="1">
        <f t="array" ref="X38">IF(Calculations_1[[#This Row],[Winning Margin Type]]="Runs",_xlfn.IFS(Calculations_1[[#This Row],[Margin Value]]&lt;=50,"1-50",Calculations_1[[#This Row],[Margin Value]]&lt;=100,"51-100",Calculations_1[[#This Row],[Margin Value]]&lt;=150,"101-150",Calculations_1[[#This Row],[Margin Value]]&lt;=200,"151-200",TRUE,"201+"),"")</f>
        <v>201+</v>
      </c>
      <c r="Y38" s="12" t="str" cm="1">
        <f t="array" ref="Y38">IF(Calculations_1[[#This Row],[Winning Margin Type]]="Wickets",_xlfn.IFS(Calculations_1[[#This Row],[Margin Value]]&lt;=3,"1-3",Calculations_1[[#This Row],[Margin Value]]&lt;=6,"4-6",Calculations_1[[#This Row],[Margin Value]]&lt;=10,"7-10"),"")</f>
        <v/>
      </c>
      <c r="AA38" s="12">
        <v>19</v>
      </c>
      <c r="AB38" s="22">
        <v>45220</v>
      </c>
      <c r="AC38" s="12" t="s">
        <v>57</v>
      </c>
      <c r="AD38" s="12" t="s">
        <v>76</v>
      </c>
      <c r="AE38" s="12" t="s">
        <v>103</v>
      </c>
      <c r="AF38" s="12" t="s">
        <v>104</v>
      </c>
      <c r="AG38" s="12" t="s">
        <v>201</v>
      </c>
      <c r="AH38" s="12" t="s">
        <v>195</v>
      </c>
      <c r="AI38" s="12">
        <v>262</v>
      </c>
      <c r="AJ38" s="32" cm="1">
        <f t="array" ref="AJ38">_xlfn.XLOOKUP(
1,
(Table354[Match ID]=Table354[[#This Row],[Match ID]])*
(Table354[Team]=Table354[[#This Row],[Opponent]]),
Table354[Wickets Lost (batting)]
)</f>
        <v>5</v>
      </c>
      <c r="AK38" s="12">
        <v>10</v>
      </c>
      <c r="AL38" s="12">
        <v>49.4</v>
      </c>
      <c r="AM38" s="12">
        <v>1</v>
      </c>
      <c r="AN38" s="12">
        <v>14</v>
      </c>
      <c r="AO38" s="12">
        <v>3</v>
      </c>
      <c r="AP38" s="12">
        <v>17</v>
      </c>
      <c r="AQ38" s="12">
        <v>5.27</v>
      </c>
      <c r="AR38" s="12" t="str">
        <f>_xlfn.XLOOKUP(Table354[[#This Row],[Match ID]],Calculations_1[Match ID],Calculations_1[Winning Team])</f>
        <v>Sri Lanka</v>
      </c>
      <c r="AS38" s="12">
        <v>13</v>
      </c>
      <c r="AT38" s="12">
        <v>11</v>
      </c>
      <c r="AU38" s="12">
        <v>0</v>
      </c>
      <c r="AV38" s="12">
        <v>24</v>
      </c>
      <c r="AW38" s="12">
        <f>1</f>
        <v>1</v>
      </c>
      <c r="AX38" s="12">
        <f>IF(Table354[[#This Row],[Team]]=_xlfn.XLOOKUP(Table354[[#This Row],[Match ID]],Calculations_1[Match ID],Calculations_1[Winning Team]),1,0)</f>
        <v>0</v>
      </c>
      <c r="AY38" s="12">
        <f>IF(NOT(Table354[[#This Row],[Win(1/0)]]),1,0)</f>
        <v>1</v>
      </c>
      <c r="AZ38" s="12" t="str">
        <f>IF(Table354[[#This Row],[Win(1/0)]]=1,"Win","Loss")</f>
        <v>Loss</v>
      </c>
      <c r="BA38" s="12">
        <f>IF(Table354[[#This Row],[Team]]=_xlfn.XLOOKUP(Table354[[#This Row],[Match ID]],Calculations_1[Match ID],Calculations_1[Toss Winner]),1,0)</f>
        <v>1</v>
      </c>
      <c r="BB38" s="12">
        <f>Table354[[#This Row],[Win(1/0)]]*Table354[[#This Row],[Toss Won (1/0)]]</f>
        <v>0</v>
      </c>
      <c r="BC38" s="12" t="str" cm="1">
        <f t="array" ref="BC38">_xlfn.XLOOKUP(Table354[[#This Row],[Match ID]],Calculations_1[Match ID],Calculations_1[Toss Decision],NA,0)</f>
        <v>Bat</v>
      </c>
    </row>
    <row r="39" spans="1:55" x14ac:dyDescent="0.3">
      <c r="A39" s="12">
        <v>38</v>
      </c>
      <c r="B39" s="23">
        <f>IF(ISNUMBER(Table1[[#This Row],[Match Date]]),DATE(YEAR(Table1[[#This Row],[Match Date]]),DAY(Table1[[#This Row],[Match Date]]),MONTH(Table1[[#This Row],[Match Date]])),DATE(VALUE(RIGHT(TRIM(Table1[[#This Row],[Match Date]]),4)),VALUE(MID(TRIM(Table1[[#This Row],[Match Date]]),4,2)),VALUE(LEFT(TRIM(Table1[[#This Row],[Match Date]]),2))))</f>
        <v>45236</v>
      </c>
      <c r="C39" s="12" t="str">
        <f>TRIM(Table1[[#This Row],[City]])</f>
        <v>Delhi</v>
      </c>
      <c r="D39" s="12" t="str">
        <f>IF(AND(TRIM(Table1[[#This Row],[Stadium]])="Eden Gardens",TRIM(Table1[[#This Row],[City]])&lt;&gt;"Kolkata"),"Rajiv Gandhi International Stadium",TRIM(Table1[[#This Row],[Stadium]]))</f>
        <v>Arun Jaitley Stadium</v>
      </c>
      <c r="E39" s="12" t="str">
        <f>SUBSTITUTE(Table1[[#This Row],[Team A]],"NewZealand","New Zealand")</f>
        <v>Sri Lanka</v>
      </c>
      <c r="F39" s="12" t="str">
        <f>SUBSTITUTE(Table1[[#This Row],[Team B]],"NewZealand","New Zealand")</f>
        <v>Bangladesh</v>
      </c>
      <c r="G39" s="12" t="str">
        <f>SUBSTITUTE(Table1[[#This Row],[Toss Winner]],"NewZealand","New Zealand")</f>
        <v>Bangladesh</v>
      </c>
      <c r="H39" s="12" t="str">
        <f>SUBSTITUTE(Table1[[#This Row],[Wining Team]],"NewZealand","New Zealand")</f>
        <v>Bangladesh</v>
      </c>
      <c r="I39" s="12" t="str">
        <f>TRIM(Table1[[#This Row],[Toss Decision]])</f>
        <v>Field</v>
      </c>
      <c r="J39" s="12">
        <f>Table1[[#This Row],[Score A]]</f>
        <v>279</v>
      </c>
      <c r="K39" s="12">
        <f>Table1[[#This Row],[Score B]]</f>
        <v>282</v>
      </c>
      <c r="L39" s="12">
        <f>SUM(Calculations_1[[#This Row],[Score A]],Calculations_1[[#This Row],[Score B]])</f>
        <v>561</v>
      </c>
      <c r="M39" s="12">
        <f>SUM(Table1[[#This Row],[Wickets A]],Table1[[#This Row],[Wickets B]])</f>
        <v>17</v>
      </c>
      <c r="N39" s="12">
        <f>SUM(Table1[[#This Row],[4s A]],Table1[[#This Row],[4s B]])</f>
        <v>60</v>
      </c>
      <c r="O39" s="12">
        <f>SUM(Table1[[#This Row],[6s A]],Table1[[#This Row],[6s B]])</f>
        <v>14</v>
      </c>
      <c r="P39" s="12">
        <f>SUM(Calculations_1[[#This Row],[Total 4s (match)]],Calculations_1[[#This Row],[Total 6s (match)]])</f>
        <v>74</v>
      </c>
      <c r="Q39" s="12" t="str">
        <f>TRIM(Table1[[#This Row],[Margin]])</f>
        <v>3 Wickets</v>
      </c>
      <c r="R39" s="12">
        <f>VALUE(LEFT(Calculations_1[[#This Row],[Margin (text)]],FIND(" ",Calculations_1[[#This Row],[Margin (text)]])-1))</f>
        <v>3</v>
      </c>
      <c r="S39" s="12" t="str">
        <f>IF(ISNUMBER(SEARCH("DLS",Calculations_1[[#This Row],[Margin (text)]])),"Runs (DLS) Method",IF(ISNUMBER(SEARCH("run",Calculations_1[[#This Row],[Margin (text)]])),"Runs","Wickets"))</f>
        <v>Wickets</v>
      </c>
      <c r="T39" s="12" t="str">
        <f>IF(Calculations_1[[#This Row],[Winning Margin Type]]="Wickets","Chasing Won",IF(Calculations_1[[#This Row],[Winning Margin Type]]="Runs","Batting First Won","DLS Result"))</f>
        <v>Chasing Won</v>
      </c>
      <c r="U39" s="12">
        <f>IF(Calculations_1[[#This Row],[Toss Winner]]=Calculations_1[[#This Row],[Winning Team]],1,0)</f>
        <v>1</v>
      </c>
      <c r="V39" s="12" t="str">
        <f>IF(Calculations_1[[#This Row],[Toss Winner Won Match (1/0)]]=1,"Toss Winner Won","Toss Winner Lost")</f>
        <v>Toss Winner Won</v>
      </c>
      <c r="W39" s="12" t="str">
        <f>TRIM(Table1[[#This Row],[Man of the Match]])</f>
        <v>Shakib Al Hasan</v>
      </c>
      <c r="X39" s="12" t="str" cm="1">
        <f t="array" ref="X39">IF(Calculations_1[[#This Row],[Winning Margin Type]]="Runs",_xlfn.IFS(Calculations_1[[#This Row],[Margin Value]]&lt;=50,"1-50",Calculations_1[[#This Row],[Margin Value]]&lt;=100,"51-100",Calculations_1[[#This Row],[Margin Value]]&lt;=150,"101-150",Calculations_1[[#This Row],[Margin Value]]&lt;=200,"151-200",TRUE,"201+"),"")</f>
        <v/>
      </c>
      <c r="Y39" s="12" t="str" cm="1">
        <f t="array" ref="Y39">IF(Calculations_1[[#This Row],[Winning Margin Type]]="Wickets",_xlfn.IFS(Calculations_1[[#This Row],[Margin Value]]&lt;=3,"1-3",Calculations_1[[#This Row],[Margin Value]]&lt;=6,"4-6",Calculations_1[[#This Row],[Margin Value]]&lt;=10,"7-10"),"")</f>
        <v>1-3</v>
      </c>
      <c r="AA39" s="12">
        <v>19</v>
      </c>
      <c r="AB39" s="22">
        <v>45220</v>
      </c>
      <c r="AC39" s="12" t="s">
        <v>76</v>
      </c>
      <c r="AD39" s="12" t="s">
        <v>57</v>
      </c>
      <c r="AE39" s="12" t="s">
        <v>103</v>
      </c>
      <c r="AF39" s="12" t="s">
        <v>104</v>
      </c>
      <c r="AG39" s="12" t="s">
        <v>201</v>
      </c>
      <c r="AH39" s="12" t="s">
        <v>195</v>
      </c>
      <c r="AI39" s="12">
        <v>263</v>
      </c>
      <c r="AJ39" s="32" cm="1">
        <f t="array" ref="AJ39">_xlfn.XLOOKUP(
1,
(Table354[Match ID]=Table354[[#This Row],[Match ID]])*
(Table354[Team]=Table354[[#This Row],[Opponent]]),
Table354[Wickets Lost (batting)]
)</f>
        <v>10</v>
      </c>
      <c r="AK39" s="12">
        <v>5</v>
      </c>
      <c r="AL39" s="12">
        <v>9</v>
      </c>
      <c r="AM39" s="12">
        <v>2</v>
      </c>
      <c r="AN39" s="12">
        <v>23</v>
      </c>
      <c r="AO39" s="12">
        <v>3</v>
      </c>
      <c r="AP39" s="12">
        <v>26</v>
      </c>
      <c r="AQ39" s="12">
        <v>5.44</v>
      </c>
      <c r="AR39" s="12" t="str">
        <f>_xlfn.XLOOKUP(Table354[[#This Row],[Match ID]],Calculations_1[Match ID],Calculations_1[Winning Team])</f>
        <v>Sri Lanka</v>
      </c>
      <c r="AS39" s="12">
        <v>0</v>
      </c>
      <c r="AT39" s="12">
        <v>26</v>
      </c>
      <c r="AU39" s="12">
        <v>1</v>
      </c>
      <c r="AV39" s="12">
        <v>33</v>
      </c>
      <c r="AW39" s="12">
        <f>1</f>
        <v>1</v>
      </c>
      <c r="AX39" s="12">
        <f>IF(Table354[[#This Row],[Team]]=_xlfn.XLOOKUP(Table354[[#This Row],[Match ID]],Calculations_1[Match ID],Calculations_1[Winning Team]),1,0)</f>
        <v>1</v>
      </c>
      <c r="AY39" s="12">
        <f>IF(NOT(Table354[[#This Row],[Win(1/0)]]),1,0)</f>
        <v>0</v>
      </c>
      <c r="AZ39" s="12" t="str">
        <f>IF(Table354[[#This Row],[Win(1/0)]]=1,"Win","Loss")</f>
        <v>Win</v>
      </c>
      <c r="BA39" s="12">
        <f>IF(Table354[[#This Row],[Team]]=_xlfn.XLOOKUP(Table354[[#This Row],[Match ID]],Calculations_1[Match ID],Calculations_1[Toss Winner]),1,0)</f>
        <v>0</v>
      </c>
      <c r="BB39" s="12">
        <f>Table354[[#This Row],[Win(1/0)]]*Table354[[#This Row],[Toss Won (1/0)]]</f>
        <v>0</v>
      </c>
      <c r="BC39" s="12" t="str" cm="1">
        <f t="array" ref="BC39">_xlfn.XLOOKUP(Table354[[#This Row],[Match ID]],Calculations_1[Match ID],Calculations_1[Toss Decision],NA,0)</f>
        <v>Bat</v>
      </c>
    </row>
    <row r="40" spans="1:55" x14ac:dyDescent="0.3">
      <c r="A40" s="12">
        <v>39</v>
      </c>
      <c r="B40" s="23">
        <f>IF(ISNUMBER(Table1[[#This Row],[Match Date]]),DATE(YEAR(Table1[[#This Row],[Match Date]]),DAY(Table1[[#This Row],[Match Date]]),MONTH(Table1[[#This Row],[Match Date]])),DATE(VALUE(RIGHT(TRIM(Table1[[#This Row],[Match Date]]),4)),VALUE(MID(TRIM(Table1[[#This Row],[Match Date]]),4,2)),VALUE(LEFT(TRIM(Table1[[#This Row],[Match Date]]),2))))</f>
        <v>45237</v>
      </c>
      <c r="C40" s="12" t="str">
        <f>TRIM(Table1[[#This Row],[City]])</f>
        <v>Mumbai</v>
      </c>
      <c r="D40" s="12" t="str">
        <f>IF(AND(TRIM(Table1[[#This Row],[Stadium]])="Eden Gardens",TRIM(Table1[[#This Row],[City]])&lt;&gt;"Kolkata"),"Rajiv Gandhi International Stadium",TRIM(Table1[[#This Row],[Stadium]]))</f>
        <v>Wankhede Stadium</v>
      </c>
      <c r="E40" s="12" t="str">
        <f>SUBSTITUTE(Table1[[#This Row],[Team A]],"NewZealand","New Zealand")</f>
        <v>Australia</v>
      </c>
      <c r="F40" s="12" t="str">
        <f>SUBSTITUTE(Table1[[#This Row],[Team B]],"NewZealand","New Zealand")</f>
        <v>Afghanistan</v>
      </c>
      <c r="G40" s="12" t="str">
        <f>SUBSTITUTE(Table1[[#This Row],[Toss Winner]],"NewZealand","New Zealand")</f>
        <v>Afghanistan</v>
      </c>
      <c r="H40" s="12" t="str">
        <f>SUBSTITUTE(Table1[[#This Row],[Wining Team]],"NewZealand","New Zealand")</f>
        <v>Australia</v>
      </c>
      <c r="I40" s="12" t="str">
        <f>TRIM(Table1[[#This Row],[Toss Decision]])</f>
        <v>Bat</v>
      </c>
      <c r="J40" s="12">
        <f>Table1[[#This Row],[Score A]]</f>
        <v>293</v>
      </c>
      <c r="K40" s="12">
        <f>Table1[[#This Row],[Score B]]</f>
        <v>291</v>
      </c>
      <c r="L40" s="12">
        <f>SUM(Calculations_1[[#This Row],[Score A]],Calculations_1[[#This Row],[Score B]])</f>
        <v>584</v>
      </c>
      <c r="M40" s="12">
        <f>SUM(Table1[[#This Row],[Wickets A]],Table1[[#This Row],[Wickets B]])</f>
        <v>12</v>
      </c>
      <c r="N40" s="12">
        <f>SUM(Table1[[#This Row],[4s A]],Table1[[#This Row],[4s B]])</f>
        <v>46</v>
      </c>
      <c r="O40" s="12">
        <f>SUM(Table1[[#This Row],[6s A]],Table1[[#This Row],[6s B]])</f>
        <v>21</v>
      </c>
      <c r="P40" s="12">
        <f>SUM(Calculations_1[[#This Row],[Total 4s (match)]],Calculations_1[[#This Row],[Total 6s (match)]])</f>
        <v>67</v>
      </c>
      <c r="Q40" s="12" t="str">
        <f>TRIM(Table1[[#This Row],[Margin]])</f>
        <v>3 Wickets</v>
      </c>
      <c r="R40" s="12">
        <f>VALUE(LEFT(Calculations_1[[#This Row],[Margin (text)]],FIND(" ",Calculations_1[[#This Row],[Margin (text)]])-1))</f>
        <v>3</v>
      </c>
      <c r="S40" s="12" t="str">
        <f>IF(ISNUMBER(SEARCH("DLS",Calculations_1[[#This Row],[Margin (text)]])),"Runs (DLS) Method",IF(ISNUMBER(SEARCH("run",Calculations_1[[#This Row],[Margin (text)]])),"Runs","Wickets"))</f>
        <v>Wickets</v>
      </c>
      <c r="T40" s="12" t="str">
        <f>IF(Calculations_1[[#This Row],[Winning Margin Type]]="Wickets","Chasing Won",IF(Calculations_1[[#This Row],[Winning Margin Type]]="Runs","Batting First Won","DLS Result"))</f>
        <v>Chasing Won</v>
      </c>
      <c r="U40" s="12">
        <f>IF(Calculations_1[[#This Row],[Toss Winner]]=Calculations_1[[#This Row],[Winning Team]],1,0)</f>
        <v>0</v>
      </c>
      <c r="V40" s="12" t="str">
        <f>IF(Calculations_1[[#This Row],[Toss Winner Won Match (1/0)]]=1,"Toss Winner Won","Toss Winner Lost")</f>
        <v>Toss Winner Lost</v>
      </c>
      <c r="W40" s="12" t="str">
        <f>TRIM(Table1[[#This Row],[Man of the Match]])</f>
        <v>Glenn Maxwell</v>
      </c>
      <c r="X40" s="12" t="str" cm="1">
        <f t="array" ref="X40">IF(Calculations_1[[#This Row],[Winning Margin Type]]="Runs",_xlfn.IFS(Calculations_1[[#This Row],[Margin Value]]&lt;=50,"1-50",Calculations_1[[#This Row],[Margin Value]]&lt;=100,"51-100",Calculations_1[[#This Row],[Margin Value]]&lt;=150,"101-150",Calculations_1[[#This Row],[Margin Value]]&lt;=200,"151-200",TRUE,"201+"),"")</f>
        <v/>
      </c>
      <c r="Y40" s="12" t="str" cm="1">
        <f t="array" ref="Y40">IF(Calculations_1[[#This Row],[Winning Margin Type]]="Wickets",_xlfn.IFS(Calculations_1[[#This Row],[Margin Value]]&lt;=3,"1-3",Calculations_1[[#This Row],[Margin Value]]&lt;=6,"4-6",Calculations_1[[#This Row],[Margin Value]]&lt;=10,"7-10"),"")</f>
        <v>1-3</v>
      </c>
      <c r="AA40" s="12">
        <v>20</v>
      </c>
      <c r="AB40" s="22">
        <v>45220</v>
      </c>
      <c r="AC40" s="12" t="s">
        <v>75</v>
      </c>
      <c r="AD40" s="12" t="s">
        <v>45</v>
      </c>
      <c r="AE40" s="12" t="s">
        <v>126</v>
      </c>
      <c r="AF40" s="12" t="s">
        <v>127</v>
      </c>
      <c r="AG40" s="12" t="s">
        <v>202</v>
      </c>
      <c r="AH40" s="12" t="s">
        <v>203</v>
      </c>
      <c r="AI40" s="12">
        <v>399</v>
      </c>
      <c r="AJ40" s="32" cm="1">
        <f t="array" ref="AJ40">_xlfn.XLOOKUP(
1,
(Table354[Match ID]=Table354[[#This Row],[Match ID]])*
(Table354[Team]=Table354[[#This Row],[Opponent]]),
Table354[Wickets Lost (batting)]
)</f>
        <v>10</v>
      </c>
      <c r="AK40" s="12">
        <v>7</v>
      </c>
      <c r="AL40" s="12">
        <v>50</v>
      </c>
      <c r="AM40" s="12">
        <v>2</v>
      </c>
      <c r="AN40" s="12">
        <v>38</v>
      </c>
      <c r="AO40" s="12">
        <v>13</v>
      </c>
      <c r="AP40" s="12">
        <v>51</v>
      </c>
      <c r="AQ40" s="12">
        <v>7.98</v>
      </c>
      <c r="AR40" s="12" t="str">
        <f>_xlfn.XLOOKUP(Table354[[#This Row],[Match ID]],Calculations_1[Match ID],Calculations_1[Winning Team])</f>
        <v>South Africa</v>
      </c>
      <c r="AS40" s="12">
        <v>0</v>
      </c>
      <c r="AT40" s="12">
        <v>5</v>
      </c>
      <c r="AU40" s="12">
        <v>1</v>
      </c>
      <c r="AV40" s="12">
        <v>15</v>
      </c>
      <c r="AW40" s="12">
        <f>1</f>
        <v>1</v>
      </c>
      <c r="AX40" s="12">
        <f>IF(Table354[[#This Row],[Team]]=_xlfn.XLOOKUP(Table354[[#This Row],[Match ID]],Calculations_1[Match ID],Calculations_1[Winning Team]),1,0)</f>
        <v>1</v>
      </c>
      <c r="AY40" s="12">
        <f>IF(NOT(Table354[[#This Row],[Win(1/0)]]),1,0)</f>
        <v>0</v>
      </c>
      <c r="AZ40" s="12" t="str">
        <f>IF(Table354[[#This Row],[Win(1/0)]]=1,"Win","Loss")</f>
        <v>Win</v>
      </c>
      <c r="BA40" s="12">
        <f>IF(Table354[[#This Row],[Team]]=_xlfn.XLOOKUP(Table354[[#This Row],[Match ID]],Calculations_1[Match ID],Calculations_1[Toss Winner]),1,0)</f>
        <v>0</v>
      </c>
      <c r="BB40" s="12">
        <f>Table354[[#This Row],[Win(1/0)]]*Table354[[#This Row],[Toss Won (1/0)]]</f>
        <v>0</v>
      </c>
      <c r="BC40" s="12" t="str" cm="1">
        <f t="array" ref="BC40">_xlfn.XLOOKUP(Table354[[#This Row],[Match ID]],Calculations_1[Match ID],Calculations_1[Toss Decision],NA,0)</f>
        <v>Field</v>
      </c>
    </row>
    <row r="41" spans="1:55" x14ac:dyDescent="0.3">
      <c r="A41" s="12">
        <v>40</v>
      </c>
      <c r="B41" s="23">
        <f>IF(ISNUMBER(Table1[[#This Row],[Match Date]]),DATE(YEAR(Table1[[#This Row],[Match Date]]),DAY(Table1[[#This Row],[Match Date]]),MONTH(Table1[[#This Row],[Match Date]])),DATE(VALUE(RIGHT(TRIM(Table1[[#This Row],[Match Date]]),4)),VALUE(MID(TRIM(Table1[[#This Row],[Match Date]]),4,2)),VALUE(LEFT(TRIM(Table1[[#This Row],[Match Date]]),2))))</f>
        <v>45238</v>
      </c>
      <c r="C41" s="12" t="str">
        <f>TRIM(Table1[[#This Row],[City]])</f>
        <v>Pune</v>
      </c>
      <c r="D41" s="12" t="str">
        <f>IF(AND(TRIM(Table1[[#This Row],[Stadium]])="Eden Gardens",TRIM(Table1[[#This Row],[City]])&lt;&gt;"Kolkata"),"Rajiv Gandhi International Stadium",TRIM(Table1[[#This Row],[Stadium]]))</f>
        <v>Maharashtra Cricket Association Stadium</v>
      </c>
      <c r="E41" s="12" t="str">
        <f>SUBSTITUTE(Table1[[#This Row],[Team A]],"NewZealand","New Zealand")</f>
        <v>England</v>
      </c>
      <c r="F41" s="12" t="str">
        <f>SUBSTITUTE(Table1[[#This Row],[Team B]],"NewZealand","New Zealand")</f>
        <v>Netherlands</v>
      </c>
      <c r="G41" s="12" t="str">
        <f>SUBSTITUTE(Table1[[#This Row],[Toss Winner]],"NewZealand","New Zealand")</f>
        <v>England</v>
      </c>
      <c r="H41" s="12" t="str">
        <f>SUBSTITUTE(Table1[[#This Row],[Wining Team]],"NewZealand","New Zealand")</f>
        <v>England</v>
      </c>
      <c r="I41" s="12" t="str">
        <f>TRIM(Table1[[#This Row],[Toss Decision]])</f>
        <v>Bat</v>
      </c>
      <c r="J41" s="12">
        <f>Table1[[#This Row],[Score A]]</f>
        <v>179</v>
      </c>
      <c r="K41" s="12">
        <f>Table1[[#This Row],[Score B]]</f>
        <v>339</v>
      </c>
      <c r="L41" s="12">
        <f>SUM(Calculations_1[[#This Row],[Score A]],Calculations_1[[#This Row],[Score B]])</f>
        <v>518</v>
      </c>
      <c r="M41" s="12">
        <f>SUM(Table1[[#This Row],[Wickets A]],Table1[[#This Row],[Wickets B]])</f>
        <v>19</v>
      </c>
      <c r="N41" s="12">
        <f>SUM(Table1[[#This Row],[4s A]],Table1[[#This Row],[4s B]])</f>
        <v>41</v>
      </c>
      <c r="O41" s="12">
        <f>SUM(Table1[[#This Row],[6s A]],Table1[[#This Row],[6s B]])</f>
        <v>16</v>
      </c>
      <c r="P41" s="12">
        <f>SUM(Calculations_1[[#This Row],[Total 4s (match)]],Calculations_1[[#This Row],[Total 6s (match)]])</f>
        <v>57</v>
      </c>
      <c r="Q41" s="12" t="str">
        <f>TRIM(Table1[[#This Row],[Margin]])</f>
        <v>160 Runs</v>
      </c>
      <c r="R41" s="12">
        <f>VALUE(LEFT(Calculations_1[[#This Row],[Margin (text)]],FIND(" ",Calculations_1[[#This Row],[Margin (text)]])-1))</f>
        <v>160</v>
      </c>
      <c r="S41" s="12" t="str">
        <f>IF(ISNUMBER(SEARCH("DLS",Calculations_1[[#This Row],[Margin (text)]])),"Runs (DLS) Method",IF(ISNUMBER(SEARCH("run",Calculations_1[[#This Row],[Margin (text)]])),"Runs","Wickets"))</f>
        <v>Runs</v>
      </c>
      <c r="T41" s="12" t="str">
        <f>IF(Calculations_1[[#This Row],[Winning Margin Type]]="Wickets","Chasing Won",IF(Calculations_1[[#This Row],[Winning Margin Type]]="Runs","Batting First Won","DLS Result"))</f>
        <v>Batting First Won</v>
      </c>
      <c r="U41" s="12">
        <f>IF(Calculations_1[[#This Row],[Toss Winner]]=Calculations_1[[#This Row],[Winning Team]],1,0)</f>
        <v>1</v>
      </c>
      <c r="V41" s="12" t="str">
        <f>IF(Calculations_1[[#This Row],[Toss Winner Won Match (1/0)]]=1,"Toss Winner Won","Toss Winner Lost")</f>
        <v>Toss Winner Won</v>
      </c>
      <c r="W41" s="12" t="str">
        <f>TRIM(Table1[[#This Row],[Man of the Match]])</f>
        <v>Ben Stokes</v>
      </c>
      <c r="X41" s="12" t="str" cm="1">
        <f t="array" ref="X41">IF(Calculations_1[[#This Row],[Winning Margin Type]]="Runs",_xlfn.IFS(Calculations_1[[#This Row],[Margin Value]]&lt;=50,"1-50",Calculations_1[[#This Row],[Margin Value]]&lt;=100,"51-100",Calculations_1[[#This Row],[Margin Value]]&lt;=150,"101-150",Calculations_1[[#This Row],[Margin Value]]&lt;=200,"151-200",TRUE,"201+"),"")</f>
        <v>151-200</v>
      </c>
      <c r="Y41" s="12" t="str" cm="1">
        <f t="array" ref="Y41">IF(Calculations_1[[#This Row],[Winning Margin Type]]="Wickets",_xlfn.IFS(Calculations_1[[#This Row],[Margin Value]]&lt;=3,"1-3",Calculations_1[[#This Row],[Margin Value]]&lt;=6,"4-6",Calculations_1[[#This Row],[Margin Value]]&lt;=10,"7-10"),"")</f>
        <v/>
      </c>
      <c r="AA41" s="12">
        <v>20</v>
      </c>
      <c r="AB41" s="22">
        <v>45220</v>
      </c>
      <c r="AC41" s="12" t="s">
        <v>45</v>
      </c>
      <c r="AD41" s="12" t="s">
        <v>75</v>
      </c>
      <c r="AE41" s="12" t="s">
        <v>126</v>
      </c>
      <c r="AF41" s="12" t="s">
        <v>127</v>
      </c>
      <c r="AG41" s="12" t="s">
        <v>202</v>
      </c>
      <c r="AH41" s="12" t="s">
        <v>203</v>
      </c>
      <c r="AI41" s="12">
        <v>170</v>
      </c>
      <c r="AJ41" s="32" cm="1">
        <f t="array" ref="AJ41">_xlfn.XLOOKUP(
1,
(Table354[Match ID]=Table354[[#This Row],[Match ID]])*
(Table354[Team]=Table354[[#This Row],[Opponent]]),
Table354[Wickets Lost (batting)]
)</f>
        <v>7</v>
      </c>
      <c r="AK41" s="12">
        <v>10</v>
      </c>
      <c r="AL41" s="12">
        <v>22</v>
      </c>
      <c r="AM41" s="12">
        <v>1</v>
      </c>
      <c r="AN41" s="12">
        <v>18</v>
      </c>
      <c r="AO41" s="12">
        <v>9</v>
      </c>
      <c r="AP41" s="12">
        <v>27</v>
      </c>
      <c r="AQ41" s="12">
        <v>7.72</v>
      </c>
      <c r="AR41" s="12" t="str">
        <f>_xlfn.XLOOKUP(Table354[[#This Row],[Match ID]],Calculations_1[Match ID],Calculations_1[Winning Team])</f>
        <v>South Africa</v>
      </c>
      <c r="AS41" s="12">
        <v>2</v>
      </c>
      <c r="AT41" s="12">
        <v>9</v>
      </c>
      <c r="AU41" s="12">
        <v>1</v>
      </c>
      <c r="AV41" s="12">
        <v>15</v>
      </c>
      <c r="AW41" s="12">
        <f>1</f>
        <v>1</v>
      </c>
      <c r="AX41" s="12">
        <f>IF(Table354[[#This Row],[Team]]=_xlfn.XLOOKUP(Table354[[#This Row],[Match ID]],Calculations_1[Match ID],Calculations_1[Winning Team]),1,0)</f>
        <v>0</v>
      </c>
      <c r="AY41" s="12">
        <f>IF(NOT(Table354[[#This Row],[Win(1/0)]]),1,0)</f>
        <v>1</v>
      </c>
      <c r="AZ41" s="12" t="str">
        <f>IF(Table354[[#This Row],[Win(1/0)]]=1,"Win","Loss")</f>
        <v>Loss</v>
      </c>
      <c r="BA41" s="12">
        <f>IF(Table354[[#This Row],[Team]]=_xlfn.XLOOKUP(Table354[[#This Row],[Match ID]],Calculations_1[Match ID],Calculations_1[Toss Winner]),1,0)</f>
        <v>1</v>
      </c>
      <c r="BB41" s="12">
        <f>Table354[[#This Row],[Win(1/0)]]*Table354[[#This Row],[Toss Won (1/0)]]</f>
        <v>0</v>
      </c>
      <c r="BC41" s="12" t="str" cm="1">
        <f t="array" ref="BC41">_xlfn.XLOOKUP(Table354[[#This Row],[Match ID]],Calculations_1[Match ID],Calculations_1[Toss Decision],NA,0)</f>
        <v>Field</v>
      </c>
    </row>
    <row r="42" spans="1:55" x14ac:dyDescent="0.3">
      <c r="A42" s="12">
        <v>41</v>
      </c>
      <c r="B42" s="23">
        <f>IF(ISNUMBER(Table1[[#This Row],[Match Date]]),DATE(YEAR(Table1[[#This Row],[Match Date]]),DAY(Table1[[#This Row],[Match Date]]),MONTH(Table1[[#This Row],[Match Date]])),DATE(VALUE(RIGHT(TRIM(Table1[[#This Row],[Match Date]]),4)),VALUE(MID(TRIM(Table1[[#This Row],[Match Date]]),4,2)),VALUE(LEFT(TRIM(Table1[[#This Row],[Match Date]]),2))))</f>
        <v>45239</v>
      </c>
      <c r="C42" s="12" t="str">
        <f>TRIM(Table1[[#This Row],[City]])</f>
        <v>Bangalore</v>
      </c>
      <c r="D42" s="12" t="str">
        <f>IF(AND(TRIM(Table1[[#This Row],[Stadium]])="Eden Gardens",TRIM(Table1[[#This Row],[City]])&lt;&gt;"Kolkata"),"Rajiv Gandhi International Stadium",TRIM(Table1[[#This Row],[Stadium]]))</f>
        <v>M. Chinnaswamy Stadium</v>
      </c>
      <c r="E42" s="12" t="str">
        <f>SUBSTITUTE(Table1[[#This Row],[Team A]],"NewZealand","New Zealand")</f>
        <v>New Zealand</v>
      </c>
      <c r="F42" s="12" t="str">
        <f>SUBSTITUTE(Table1[[#This Row],[Team B]],"NewZealand","New Zealand")</f>
        <v>Sri Lanka</v>
      </c>
      <c r="G42" s="12" t="str">
        <f>SUBSTITUTE(Table1[[#This Row],[Toss Winner]],"NewZealand","New Zealand")</f>
        <v>New Zealand</v>
      </c>
      <c r="H42" s="12" t="str">
        <f>SUBSTITUTE(Table1[[#This Row],[Wining Team]],"NewZealand","New Zealand")</f>
        <v>New Zealand</v>
      </c>
      <c r="I42" s="12" t="str">
        <f>TRIM(Table1[[#This Row],[Toss Decision]])</f>
        <v>Field</v>
      </c>
      <c r="J42" s="12">
        <f>Table1[[#This Row],[Score A]]</f>
        <v>171</v>
      </c>
      <c r="K42" s="12">
        <f>Table1[[#This Row],[Score B]]</f>
        <v>172</v>
      </c>
      <c r="L42" s="12">
        <f>SUM(Calculations_1[[#This Row],[Score A]],Calculations_1[[#This Row],[Score B]])</f>
        <v>343</v>
      </c>
      <c r="M42" s="12">
        <f>SUM(Table1[[#This Row],[Wickets A]],Table1[[#This Row],[Wickets B]])</f>
        <v>15</v>
      </c>
      <c r="N42" s="12">
        <f>SUM(Table1[[#This Row],[4s A]],Table1[[#This Row],[4s B]])</f>
        <v>44</v>
      </c>
      <c r="O42" s="12">
        <f>SUM(Table1[[#This Row],[6s A]],Table1[[#This Row],[6s B]])</f>
        <v>8</v>
      </c>
      <c r="P42" s="12">
        <f>SUM(Calculations_1[[#This Row],[Total 4s (match)]],Calculations_1[[#This Row],[Total 6s (match)]])</f>
        <v>52</v>
      </c>
      <c r="Q42" s="12" t="str">
        <f>TRIM(Table1[[#This Row],[Margin]])</f>
        <v>5 Wickets</v>
      </c>
      <c r="R42" s="12">
        <f>VALUE(LEFT(Calculations_1[[#This Row],[Margin (text)]],FIND(" ",Calculations_1[[#This Row],[Margin (text)]])-1))</f>
        <v>5</v>
      </c>
      <c r="S42" s="12" t="str">
        <f>IF(ISNUMBER(SEARCH("DLS",Calculations_1[[#This Row],[Margin (text)]])),"Runs (DLS) Method",IF(ISNUMBER(SEARCH("run",Calculations_1[[#This Row],[Margin (text)]])),"Runs","Wickets"))</f>
        <v>Wickets</v>
      </c>
      <c r="T42" s="12" t="str">
        <f>IF(Calculations_1[[#This Row],[Winning Margin Type]]="Wickets","Chasing Won",IF(Calculations_1[[#This Row],[Winning Margin Type]]="Runs","Batting First Won","DLS Result"))</f>
        <v>Chasing Won</v>
      </c>
      <c r="U42" s="12">
        <f>IF(Calculations_1[[#This Row],[Toss Winner]]=Calculations_1[[#This Row],[Winning Team]],1,0)</f>
        <v>1</v>
      </c>
      <c r="V42" s="12" t="str">
        <f>IF(Calculations_1[[#This Row],[Toss Winner Won Match (1/0)]]=1,"Toss Winner Won","Toss Winner Lost")</f>
        <v>Toss Winner Won</v>
      </c>
      <c r="W42" s="12" t="str">
        <f>TRIM(Table1[[#This Row],[Man of the Match]])</f>
        <v>Trent Boult</v>
      </c>
      <c r="X42" s="12" t="str" cm="1">
        <f t="array" ref="X42">IF(Calculations_1[[#This Row],[Winning Margin Type]]="Runs",_xlfn.IFS(Calculations_1[[#This Row],[Margin Value]]&lt;=50,"1-50",Calculations_1[[#This Row],[Margin Value]]&lt;=100,"51-100",Calculations_1[[#This Row],[Margin Value]]&lt;=150,"101-150",Calculations_1[[#This Row],[Margin Value]]&lt;=200,"151-200",TRUE,"201+"),"")</f>
        <v/>
      </c>
      <c r="Y42" s="12" t="str" cm="1">
        <f t="array" ref="Y42">IF(Calculations_1[[#This Row],[Winning Margin Type]]="Wickets",_xlfn.IFS(Calculations_1[[#This Row],[Margin Value]]&lt;=3,"1-3",Calculations_1[[#This Row],[Margin Value]]&lt;=6,"4-6",Calculations_1[[#This Row],[Margin Value]]&lt;=10,"7-10"),"")</f>
        <v>4-6</v>
      </c>
      <c r="AA42" s="12">
        <v>21</v>
      </c>
      <c r="AB42" s="22">
        <v>45221</v>
      </c>
      <c r="AC42" s="12" t="s">
        <v>200</v>
      </c>
      <c r="AD42" s="12" t="s">
        <v>85</v>
      </c>
      <c r="AE42" s="12" t="s">
        <v>64</v>
      </c>
      <c r="AF42" s="12" t="s">
        <v>65</v>
      </c>
      <c r="AG42" s="12" t="s">
        <v>201</v>
      </c>
      <c r="AH42" s="12" t="s">
        <v>195</v>
      </c>
      <c r="AI42" s="12">
        <v>273</v>
      </c>
      <c r="AJ42" s="32" cm="1">
        <f t="array" ref="AJ42">_xlfn.XLOOKUP(
1,
(Table354[Match ID]=Table354[[#This Row],[Match ID]])*
(Table354[Team]=Table354[[#This Row],[Opponent]]),
Table354[Wickets Lost (batting)]
)</f>
        <v>6</v>
      </c>
      <c r="AK42" s="12">
        <v>10</v>
      </c>
      <c r="AL42" s="12">
        <v>50</v>
      </c>
      <c r="AM42" s="12">
        <v>0</v>
      </c>
      <c r="AN42" s="12">
        <v>19</v>
      </c>
      <c r="AO42" s="12">
        <v>7</v>
      </c>
      <c r="AP42" s="12">
        <v>26</v>
      </c>
      <c r="AQ42" s="12">
        <v>5.46</v>
      </c>
      <c r="AR42" s="12" t="str">
        <f>_xlfn.XLOOKUP(Table354[[#This Row],[Match ID]],Calculations_1[Match ID],Calculations_1[Winning Team])</f>
        <v>India</v>
      </c>
      <c r="AS42" s="12">
        <v>0</v>
      </c>
      <c r="AT42" s="12">
        <v>4</v>
      </c>
      <c r="AU42" s="12">
        <v>0</v>
      </c>
      <c r="AV42" s="12">
        <v>5</v>
      </c>
      <c r="AW42" s="12">
        <f>1</f>
        <v>1</v>
      </c>
      <c r="AX42" s="12">
        <f>IF(Table354[[#This Row],[Team]]=_xlfn.XLOOKUP(Table354[[#This Row],[Match ID]],Calculations_1[Match ID],Calculations_1[Winning Team]),1,0)</f>
        <v>0</v>
      </c>
      <c r="AY42" s="12">
        <f>IF(NOT(Table354[[#This Row],[Win(1/0)]]),1,0)</f>
        <v>1</v>
      </c>
      <c r="AZ42" s="12" t="str">
        <f>IF(Table354[[#This Row],[Win(1/0)]]=1,"Win","Loss")</f>
        <v>Loss</v>
      </c>
      <c r="BA42" s="12">
        <f>IF(Table354[[#This Row],[Team]]=_xlfn.XLOOKUP(Table354[[#This Row],[Match ID]],Calculations_1[Match ID],Calculations_1[Toss Winner]),1,0)</f>
        <v>0</v>
      </c>
      <c r="BB42" s="12">
        <f>Table354[[#This Row],[Win(1/0)]]*Table354[[#This Row],[Toss Won (1/0)]]</f>
        <v>0</v>
      </c>
      <c r="BC42" s="12" t="str" cm="1">
        <f t="array" ref="BC42">_xlfn.XLOOKUP(Table354[[#This Row],[Match ID]],Calculations_1[Match ID],Calculations_1[Toss Decision],NA,0)</f>
        <v>Field</v>
      </c>
    </row>
    <row r="43" spans="1:55" x14ac:dyDescent="0.3">
      <c r="A43" s="12">
        <v>42</v>
      </c>
      <c r="B43" s="23">
        <f>IF(ISNUMBER(Table1[[#This Row],[Match Date]]),DATE(YEAR(Table1[[#This Row],[Match Date]]),DAY(Table1[[#This Row],[Match Date]]),MONTH(Table1[[#This Row],[Match Date]])),DATE(VALUE(RIGHT(TRIM(Table1[[#This Row],[Match Date]]),4)),VALUE(MID(TRIM(Table1[[#This Row],[Match Date]]),4,2)),VALUE(LEFT(TRIM(Table1[[#This Row],[Match Date]]),2))))</f>
        <v>45240</v>
      </c>
      <c r="C43" s="12" t="str">
        <f>TRIM(Table1[[#This Row],[City]])</f>
        <v>Ahmedabad</v>
      </c>
      <c r="D43" s="12" t="str">
        <f>IF(AND(TRIM(Table1[[#This Row],[Stadium]])="Eden Gardens",TRIM(Table1[[#This Row],[City]])&lt;&gt;"Kolkata"),"Rajiv Gandhi International Stadium",TRIM(Table1[[#This Row],[Stadium]]))</f>
        <v>Narendra Modi Stadium</v>
      </c>
      <c r="E43" s="12" t="str">
        <f>SUBSTITUTE(Table1[[#This Row],[Team A]],"NewZealand","New Zealand")</f>
        <v>Afghanistan</v>
      </c>
      <c r="F43" s="12" t="str">
        <f>SUBSTITUTE(Table1[[#This Row],[Team B]],"NewZealand","New Zealand")</f>
        <v>South Africa</v>
      </c>
      <c r="G43" s="12" t="str">
        <f>SUBSTITUTE(Table1[[#This Row],[Toss Winner]],"NewZealand","New Zealand")</f>
        <v>Afghanistan</v>
      </c>
      <c r="H43" s="12" t="str">
        <f>SUBSTITUTE(Table1[[#This Row],[Wining Team]],"NewZealand","New Zealand")</f>
        <v>South Africa</v>
      </c>
      <c r="I43" s="12" t="str">
        <f>TRIM(Table1[[#This Row],[Toss Decision]])</f>
        <v>Bat</v>
      </c>
      <c r="J43" s="12">
        <f>Table1[[#This Row],[Score A]]</f>
        <v>244</v>
      </c>
      <c r="K43" s="12">
        <f>Table1[[#This Row],[Score B]]</f>
        <v>247</v>
      </c>
      <c r="L43" s="12">
        <f>SUM(Calculations_1[[#This Row],[Score A]],Calculations_1[[#This Row],[Score B]])</f>
        <v>491</v>
      </c>
      <c r="M43" s="12">
        <f>SUM(Table1[[#This Row],[Wickets A]],Table1[[#This Row],[Wickets B]])</f>
        <v>15</v>
      </c>
      <c r="N43" s="12">
        <f>SUM(Table1[[#This Row],[4s A]],Table1[[#This Row],[4s B]])</f>
        <v>35</v>
      </c>
      <c r="O43" s="12">
        <f>SUM(Table1[[#This Row],[6s A]],Table1[[#This Row],[6s B]])</f>
        <v>15</v>
      </c>
      <c r="P43" s="12">
        <f>SUM(Calculations_1[[#This Row],[Total 4s (match)]],Calculations_1[[#This Row],[Total 6s (match)]])</f>
        <v>50</v>
      </c>
      <c r="Q43" s="12" t="str">
        <f>TRIM(Table1[[#This Row],[Margin]])</f>
        <v>5 Wickets</v>
      </c>
      <c r="R43" s="12">
        <f>VALUE(LEFT(Calculations_1[[#This Row],[Margin (text)]],FIND(" ",Calculations_1[[#This Row],[Margin (text)]])-1))</f>
        <v>5</v>
      </c>
      <c r="S43" s="12" t="str">
        <f>IF(ISNUMBER(SEARCH("DLS",Calculations_1[[#This Row],[Margin (text)]])),"Runs (DLS) Method",IF(ISNUMBER(SEARCH("run",Calculations_1[[#This Row],[Margin (text)]])),"Runs","Wickets"))</f>
        <v>Wickets</v>
      </c>
      <c r="T43" s="12" t="str">
        <f>IF(Calculations_1[[#This Row],[Winning Margin Type]]="Wickets","Chasing Won",IF(Calculations_1[[#This Row],[Winning Margin Type]]="Runs","Batting First Won","DLS Result"))</f>
        <v>Chasing Won</v>
      </c>
      <c r="U43" s="12">
        <f>IF(Calculations_1[[#This Row],[Toss Winner]]=Calculations_1[[#This Row],[Winning Team]],1,0)</f>
        <v>0</v>
      </c>
      <c r="V43" s="12" t="str">
        <f>IF(Calculations_1[[#This Row],[Toss Winner Won Match (1/0)]]=1,"Toss Winner Won","Toss Winner Lost")</f>
        <v>Toss Winner Lost</v>
      </c>
      <c r="W43" s="12" t="str">
        <f>TRIM(Table1[[#This Row],[Man of the Match]])</f>
        <v>Rassie van der Dussen</v>
      </c>
      <c r="X43" s="12" t="str" cm="1">
        <f t="array" ref="X43">IF(Calculations_1[[#This Row],[Winning Margin Type]]="Runs",_xlfn.IFS(Calculations_1[[#This Row],[Margin Value]]&lt;=50,"1-50",Calculations_1[[#This Row],[Margin Value]]&lt;=100,"51-100",Calculations_1[[#This Row],[Margin Value]]&lt;=150,"101-150",Calculations_1[[#This Row],[Margin Value]]&lt;=200,"151-200",TRUE,"201+"),"")</f>
        <v/>
      </c>
      <c r="Y43" s="12" t="str" cm="1">
        <f t="array" ref="Y43">IF(Calculations_1[[#This Row],[Winning Margin Type]]="Wickets",_xlfn.IFS(Calculations_1[[#This Row],[Margin Value]]&lt;=3,"1-3",Calculations_1[[#This Row],[Margin Value]]&lt;=6,"4-6",Calculations_1[[#This Row],[Margin Value]]&lt;=10,"7-10"),"")</f>
        <v>4-6</v>
      </c>
      <c r="AA43" s="12">
        <v>21</v>
      </c>
      <c r="AB43" s="22">
        <v>45221</v>
      </c>
      <c r="AC43" s="12" t="s">
        <v>85</v>
      </c>
      <c r="AD43" s="12" t="s">
        <v>200</v>
      </c>
      <c r="AE43" s="12" t="s">
        <v>64</v>
      </c>
      <c r="AF43" s="12" t="s">
        <v>65</v>
      </c>
      <c r="AG43" s="12" t="s">
        <v>201</v>
      </c>
      <c r="AH43" s="12" t="s">
        <v>195</v>
      </c>
      <c r="AI43" s="12">
        <v>274</v>
      </c>
      <c r="AJ43" s="32" cm="1">
        <f t="array" ref="AJ43">_xlfn.XLOOKUP(
1,
(Table354[Match ID]=Table354[[#This Row],[Match ID]])*
(Table354[Team]=Table354[[#This Row],[Opponent]]),
Table354[Wickets Lost (batting)]
)</f>
        <v>10</v>
      </c>
      <c r="AK43" s="12">
        <v>6</v>
      </c>
      <c r="AL43" s="12">
        <v>48</v>
      </c>
      <c r="AM43" s="12">
        <v>2</v>
      </c>
      <c r="AN43" s="12">
        <v>29</v>
      </c>
      <c r="AO43" s="12">
        <v>7</v>
      </c>
      <c r="AP43" s="12">
        <v>36</v>
      </c>
      <c r="AQ43" s="12">
        <v>5.7</v>
      </c>
      <c r="AR43" s="12" t="str">
        <f>_xlfn.XLOOKUP(Table354[[#This Row],[Match ID]],Calculations_1[Match ID],Calculations_1[Winning Team])</f>
        <v>India</v>
      </c>
      <c r="AS43" s="12">
        <v>3</v>
      </c>
      <c r="AT43" s="12">
        <v>7</v>
      </c>
      <c r="AU43" s="12">
        <v>0</v>
      </c>
      <c r="AV43" s="12">
        <v>15</v>
      </c>
      <c r="AW43" s="12">
        <f>1</f>
        <v>1</v>
      </c>
      <c r="AX43" s="12">
        <f>IF(Table354[[#This Row],[Team]]=_xlfn.XLOOKUP(Table354[[#This Row],[Match ID]],Calculations_1[Match ID],Calculations_1[Winning Team]),1,0)</f>
        <v>1</v>
      </c>
      <c r="AY43" s="12">
        <f>IF(NOT(Table354[[#This Row],[Win(1/0)]]),1,0)</f>
        <v>0</v>
      </c>
      <c r="AZ43" s="12" t="str">
        <f>IF(Table354[[#This Row],[Win(1/0)]]=1,"Win","Loss")</f>
        <v>Win</v>
      </c>
      <c r="BA43" s="12">
        <f>IF(Table354[[#This Row],[Team]]=_xlfn.XLOOKUP(Table354[[#This Row],[Match ID]],Calculations_1[Match ID],Calculations_1[Toss Winner]),1,0)</f>
        <v>1</v>
      </c>
      <c r="BB43" s="12">
        <f>Table354[[#This Row],[Win(1/0)]]*Table354[[#This Row],[Toss Won (1/0)]]</f>
        <v>1</v>
      </c>
      <c r="BC43" s="12" t="str" cm="1">
        <f t="array" ref="BC43">_xlfn.XLOOKUP(Table354[[#This Row],[Match ID]],Calculations_1[Match ID],Calculations_1[Toss Decision],NA,0)</f>
        <v>Field</v>
      </c>
    </row>
    <row r="44" spans="1:55" x14ac:dyDescent="0.3">
      <c r="A44" s="12">
        <v>43</v>
      </c>
      <c r="B44" s="23">
        <f>IF(ISNUMBER(Table1[[#This Row],[Match Date]]),DATE(YEAR(Table1[[#This Row],[Match Date]]),DAY(Table1[[#This Row],[Match Date]]),MONTH(Table1[[#This Row],[Match Date]])),DATE(VALUE(RIGHT(TRIM(Table1[[#This Row],[Match Date]]),4)),VALUE(MID(TRIM(Table1[[#This Row],[Match Date]]),4,2)),VALUE(LEFT(TRIM(Table1[[#This Row],[Match Date]]),2))))</f>
        <v>45241</v>
      </c>
      <c r="C44" s="12" t="str">
        <f>TRIM(Table1[[#This Row],[City]])</f>
        <v>Pune</v>
      </c>
      <c r="D44" s="12" t="str">
        <f>IF(AND(TRIM(Table1[[#This Row],[Stadium]])="Eden Gardens",TRIM(Table1[[#This Row],[City]])&lt;&gt;"Kolkata"),"Rajiv Gandhi International Stadium",TRIM(Table1[[#This Row],[Stadium]]))</f>
        <v>Maharashtra Cricket Association Stadium</v>
      </c>
      <c r="E44" s="12" t="str">
        <f>SUBSTITUTE(Table1[[#This Row],[Team A]],"NewZealand","New Zealand")</f>
        <v>Australia</v>
      </c>
      <c r="F44" s="12" t="str">
        <f>SUBSTITUTE(Table1[[#This Row],[Team B]],"NewZealand","New Zealand")</f>
        <v>Bangladesh</v>
      </c>
      <c r="G44" s="12" t="str">
        <f>SUBSTITUTE(Table1[[#This Row],[Toss Winner]],"NewZealand","New Zealand")</f>
        <v>Australia</v>
      </c>
      <c r="H44" s="12" t="str">
        <f>SUBSTITUTE(Table1[[#This Row],[Wining Team]],"NewZealand","New Zealand")</f>
        <v>Australia</v>
      </c>
      <c r="I44" s="12" t="str">
        <f>TRIM(Table1[[#This Row],[Toss Decision]])</f>
        <v>Field</v>
      </c>
      <c r="J44" s="12">
        <f>Table1[[#This Row],[Score A]]</f>
        <v>306</v>
      </c>
      <c r="K44" s="12">
        <f>Table1[[#This Row],[Score B]]</f>
        <v>307</v>
      </c>
      <c r="L44" s="12">
        <f>SUM(Calculations_1[[#This Row],[Score A]],Calculations_1[[#This Row],[Score B]])</f>
        <v>613</v>
      </c>
      <c r="M44" s="12">
        <f>SUM(Table1[[#This Row],[Wickets A]],Table1[[#This Row],[Wickets B]])</f>
        <v>10</v>
      </c>
      <c r="N44" s="12">
        <f>SUM(Table1[[#This Row],[4s A]],Table1[[#This Row],[4s B]])</f>
        <v>56</v>
      </c>
      <c r="O44" s="12">
        <f>SUM(Table1[[#This Row],[6s A]],Table1[[#This Row],[6s B]])</f>
        <v>16</v>
      </c>
      <c r="P44" s="12">
        <f>SUM(Calculations_1[[#This Row],[Total 4s (match)]],Calculations_1[[#This Row],[Total 6s (match)]])</f>
        <v>72</v>
      </c>
      <c r="Q44" s="12" t="str">
        <f>TRIM(Table1[[#This Row],[Margin]])</f>
        <v>8 Wickets</v>
      </c>
      <c r="R44" s="12">
        <f>VALUE(LEFT(Calculations_1[[#This Row],[Margin (text)]],FIND(" ",Calculations_1[[#This Row],[Margin (text)]])-1))</f>
        <v>8</v>
      </c>
      <c r="S44" s="12" t="str">
        <f>IF(ISNUMBER(SEARCH("DLS",Calculations_1[[#This Row],[Margin (text)]])),"Runs (DLS) Method",IF(ISNUMBER(SEARCH("run",Calculations_1[[#This Row],[Margin (text)]])),"Runs","Wickets"))</f>
        <v>Wickets</v>
      </c>
      <c r="T44" s="12" t="str">
        <f>IF(Calculations_1[[#This Row],[Winning Margin Type]]="Wickets","Chasing Won",IF(Calculations_1[[#This Row],[Winning Margin Type]]="Runs","Batting First Won","DLS Result"))</f>
        <v>Chasing Won</v>
      </c>
      <c r="U44" s="12">
        <f>IF(Calculations_1[[#This Row],[Toss Winner]]=Calculations_1[[#This Row],[Winning Team]],1,0)</f>
        <v>1</v>
      </c>
      <c r="V44" s="12" t="str">
        <f>IF(Calculations_1[[#This Row],[Toss Winner Won Match (1/0)]]=1,"Toss Winner Won","Toss Winner Lost")</f>
        <v>Toss Winner Won</v>
      </c>
      <c r="W44" s="12" t="str">
        <f>TRIM(Table1[[#This Row],[Man of the Match]])</f>
        <v>Mitchell Marsh</v>
      </c>
      <c r="X44" s="12" t="str" cm="1">
        <f t="array" ref="X44">IF(Calculations_1[[#This Row],[Winning Margin Type]]="Runs",_xlfn.IFS(Calculations_1[[#This Row],[Margin Value]]&lt;=50,"1-50",Calculations_1[[#This Row],[Margin Value]]&lt;=100,"51-100",Calculations_1[[#This Row],[Margin Value]]&lt;=150,"101-150",Calculations_1[[#This Row],[Margin Value]]&lt;=200,"151-200",TRUE,"201+"),"")</f>
        <v/>
      </c>
      <c r="Y44" s="12" t="str" cm="1">
        <f t="array" ref="Y44">IF(Calculations_1[[#This Row],[Winning Margin Type]]="Wickets",_xlfn.IFS(Calculations_1[[#This Row],[Margin Value]]&lt;=3,"1-3",Calculations_1[[#This Row],[Margin Value]]&lt;=6,"4-6",Calculations_1[[#This Row],[Margin Value]]&lt;=10,"7-10"),"")</f>
        <v>7-10</v>
      </c>
      <c r="AA44" s="12">
        <v>22</v>
      </c>
      <c r="AB44" s="22">
        <v>45222</v>
      </c>
      <c r="AC44" s="12" t="s">
        <v>56</v>
      </c>
      <c r="AD44" s="12" t="s">
        <v>66</v>
      </c>
      <c r="AE44" s="12" t="s">
        <v>82</v>
      </c>
      <c r="AF44" s="12" t="s">
        <v>83</v>
      </c>
      <c r="AG44" s="12" t="s">
        <v>201</v>
      </c>
      <c r="AH44" s="12" t="s">
        <v>195</v>
      </c>
      <c r="AI44" s="12">
        <v>282</v>
      </c>
      <c r="AJ44" s="32" cm="1">
        <f t="array" ref="AJ44">_xlfn.XLOOKUP(
1,
(Table354[Match ID]=Table354[[#This Row],[Match ID]])*
(Table354[Team]=Table354[[#This Row],[Opponent]]),
Table354[Wickets Lost (batting)]
)</f>
        <v>2</v>
      </c>
      <c r="AK44" s="12">
        <v>7</v>
      </c>
      <c r="AL44" s="12">
        <v>50</v>
      </c>
      <c r="AM44" s="12">
        <v>2</v>
      </c>
      <c r="AN44" s="12">
        <v>17</v>
      </c>
      <c r="AO44" s="12">
        <v>9</v>
      </c>
      <c r="AP44" s="12">
        <v>26</v>
      </c>
      <c r="AQ44" s="12">
        <v>5.64</v>
      </c>
      <c r="AR44" s="12" t="str">
        <f>_xlfn.XLOOKUP(Table354[[#This Row],[Match ID]],Calculations_1[Match ID],Calculations_1[Winning Team])</f>
        <v>Afghanistan</v>
      </c>
      <c r="AS44" s="12">
        <v>0</v>
      </c>
      <c r="AT44" s="12">
        <v>8</v>
      </c>
      <c r="AU44" s="12">
        <v>1</v>
      </c>
      <c r="AV44" s="12">
        <v>9</v>
      </c>
      <c r="AW44" s="12">
        <f>1</f>
        <v>1</v>
      </c>
      <c r="AX44" s="12">
        <f>IF(Table354[[#This Row],[Team]]=_xlfn.XLOOKUP(Table354[[#This Row],[Match ID]],Calculations_1[Match ID],Calculations_1[Winning Team]),1,0)</f>
        <v>0</v>
      </c>
      <c r="AY44" s="12">
        <f>IF(NOT(Table354[[#This Row],[Win(1/0)]]),1,0)</f>
        <v>1</v>
      </c>
      <c r="AZ44" s="12" t="str">
        <f>IF(Table354[[#This Row],[Win(1/0)]]=1,"Win","Loss")</f>
        <v>Loss</v>
      </c>
      <c r="BA44" s="12">
        <f>IF(Table354[[#This Row],[Team]]=_xlfn.XLOOKUP(Table354[[#This Row],[Match ID]],Calculations_1[Match ID],Calculations_1[Toss Winner]),1,0)</f>
        <v>1</v>
      </c>
      <c r="BB44" s="12">
        <f>Table354[[#This Row],[Win(1/0)]]*Table354[[#This Row],[Toss Won (1/0)]]</f>
        <v>0</v>
      </c>
      <c r="BC44" s="12" t="str" cm="1">
        <f t="array" ref="BC44">_xlfn.XLOOKUP(Table354[[#This Row],[Match ID]],Calculations_1[Match ID],Calculations_1[Toss Decision],NA,0)</f>
        <v>Bat</v>
      </c>
    </row>
    <row r="45" spans="1:55" x14ac:dyDescent="0.3">
      <c r="A45" s="12">
        <v>44</v>
      </c>
      <c r="B45" s="23">
        <f>IF(ISNUMBER(Table1[[#This Row],[Match Date]]),DATE(YEAR(Table1[[#This Row],[Match Date]]),DAY(Table1[[#This Row],[Match Date]]),MONTH(Table1[[#This Row],[Match Date]])),DATE(VALUE(RIGHT(TRIM(Table1[[#This Row],[Match Date]]),4)),VALUE(MID(TRIM(Table1[[#This Row],[Match Date]]),4,2)),VALUE(LEFT(TRIM(Table1[[#This Row],[Match Date]]),2))))</f>
        <v>45241</v>
      </c>
      <c r="C45" s="12" t="str">
        <f>TRIM(Table1[[#This Row],[City]])</f>
        <v>Kolkata</v>
      </c>
      <c r="D45" s="12" t="str">
        <f>IF(AND(TRIM(Table1[[#This Row],[Stadium]])="Eden Gardens",TRIM(Table1[[#This Row],[City]])&lt;&gt;"Kolkata"),"Rajiv Gandhi International Stadium",TRIM(Table1[[#This Row],[Stadium]]))</f>
        <v>Eden Gardens</v>
      </c>
      <c r="E45" s="12" t="str">
        <f>SUBSTITUTE(Table1[[#This Row],[Team A]],"NewZealand","New Zealand")</f>
        <v>England</v>
      </c>
      <c r="F45" s="12" t="str">
        <f>SUBSTITUTE(Table1[[#This Row],[Team B]],"NewZealand","New Zealand")</f>
        <v>Pakistan</v>
      </c>
      <c r="G45" s="12" t="str">
        <f>SUBSTITUTE(Table1[[#This Row],[Toss Winner]],"NewZealand","New Zealand")</f>
        <v>England</v>
      </c>
      <c r="H45" s="12" t="str">
        <f>SUBSTITUTE(Table1[[#This Row],[Wining Team]],"NewZealand","New Zealand")</f>
        <v>England</v>
      </c>
      <c r="I45" s="12" t="str">
        <f>TRIM(Table1[[#This Row],[Toss Decision]])</f>
        <v>Bat</v>
      </c>
      <c r="J45" s="12">
        <f>Table1[[#This Row],[Score A]]</f>
        <v>244</v>
      </c>
      <c r="K45" s="12">
        <f>Table1[[#This Row],[Score B]]</f>
        <v>337</v>
      </c>
      <c r="L45" s="12">
        <f>SUM(Calculations_1[[#This Row],[Score A]],Calculations_1[[#This Row],[Score B]])</f>
        <v>581</v>
      </c>
      <c r="M45" s="12">
        <f>SUM(Table1[[#This Row],[Wickets A]],Table1[[#This Row],[Wickets B]])</f>
        <v>19</v>
      </c>
      <c r="N45" s="12">
        <f>SUM(Table1[[#This Row],[4s A]],Table1[[#This Row],[4s B]])</f>
        <v>62</v>
      </c>
      <c r="O45" s="12">
        <f>SUM(Table1[[#This Row],[6s A]],Table1[[#This Row],[6s B]])</f>
        <v>14</v>
      </c>
      <c r="P45" s="12">
        <f>SUM(Calculations_1[[#This Row],[Total 4s (match)]],Calculations_1[[#This Row],[Total 6s (match)]])</f>
        <v>76</v>
      </c>
      <c r="Q45" s="12" t="str">
        <f>TRIM(Table1[[#This Row],[Margin]])</f>
        <v>93 Runs</v>
      </c>
      <c r="R45" s="12">
        <f>VALUE(LEFT(Calculations_1[[#This Row],[Margin (text)]],FIND(" ",Calculations_1[[#This Row],[Margin (text)]])-1))</f>
        <v>93</v>
      </c>
      <c r="S45" s="12" t="str">
        <f>IF(ISNUMBER(SEARCH("DLS",Calculations_1[[#This Row],[Margin (text)]])),"Runs (DLS) Method",IF(ISNUMBER(SEARCH("run",Calculations_1[[#This Row],[Margin (text)]])),"Runs","Wickets"))</f>
        <v>Runs</v>
      </c>
      <c r="T45" s="12" t="str">
        <f>IF(Calculations_1[[#This Row],[Winning Margin Type]]="Wickets","Chasing Won",IF(Calculations_1[[#This Row],[Winning Margin Type]]="Runs","Batting First Won","DLS Result"))</f>
        <v>Batting First Won</v>
      </c>
      <c r="U45" s="12">
        <f>IF(Calculations_1[[#This Row],[Toss Winner]]=Calculations_1[[#This Row],[Winning Team]],1,0)</f>
        <v>1</v>
      </c>
      <c r="V45" s="12" t="str">
        <f>IF(Calculations_1[[#This Row],[Toss Winner Won Match (1/0)]]=1,"Toss Winner Won","Toss Winner Lost")</f>
        <v>Toss Winner Won</v>
      </c>
      <c r="W45" s="12" t="str">
        <f>TRIM(Table1[[#This Row],[Man of the Match]])</f>
        <v>David Willey</v>
      </c>
      <c r="X45" s="12" t="str" cm="1">
        <f t="array" ref="X45">IF(Calculations_1[[#This Row],[Winning Margin Type]]="Runs",_xlfn.IFS(Calculations_1[[#This Row],[Margin Value]]&lt;=50,"1-50",Calculations_1[[#This Row],[Margin Value]]&lt;=100,"51-100",Calculations_1[[#This Row],[Margin Value]]&lt;=150,"101-150",Calculations_1[[#This Row],[Margin Value]]&lt;=200,"151-200",TRUE,"201+"),"")</f>
        <v>51-100</v>
      </c>
      <c r="Y45" s="12" t="str" cm="1">
        <f t="array" ref="Y45">IF(Calculations_1[[#This Row],[Winning Margin Type]]="Wickets",_xlfn.IFS(Calculations_1[[#This Row],[Margin Value]]&lt;=3,"1-3",Calculations_1[[#This Row],[Margin Value]]&lt;=6,"4-6",Calculations_1[[#This Row],[Margin Value]]&lt;=10,"7-10"),"")</f>
        <v/>
      </c>
      <c r="AA45" s="12">
        <v>22</v>
      </c>
      <c r="AB45" s="22">
        <v>45222</v>
      </c>
      <c r="AC45" s="12" t="s">
        <v>66</v>
      </c>
      <c r="AD45" s="12" t="s">
        <v>56</v>
      </c>
      <c r="AE45" s="12" t="s">
        <v>82</v>
      </c>
      <c r="AF45" s="12" t="s">
        <v>83</v>
      </c>
      <c r="AG45" s="12" t="s">
        <v>201</v>
      </c>
      <c r="AH45" s="12" t="s">
        <v>195</v>
      </c>
      <c r="AI45" s="12">
        <v>286</v>
      </c>
      <c r="AJ45" s="32" cm="1">
        <f t="array" ref="AJ45">_xlfn.XLOOKUP(
1,
(Table354[Match ID]=Table354[[#This Row],[Match ID]])*
(Table354[Team]=Table354[[#This Row],[Opponent]]),
Table354[Wickets Lost (batting)]
)</f>
        <v>7</v>
      </c>
      <c r="AK45" s="12">
        <v>2</v>
      </c>
      <c r="AL45" s="12">
        <v>49</v>
      </c>
      <c r="AM45" s="12">
        <v>0</v>
      </c>
      <c r="AN45" s="12">
        <v>28</v>
      </c>
      <c r="AO45" s="12">
        <v>3</v>
      </c>
      <c r="AP45" s="12">
        <v>31</v>
      </c>
      <c r="AQ45" s="12">
        <v>5.83</v>
      </c>
      <c r="AR45" s="12" t="str">
        <f>_xlfn.XLOOKUP(Table354[[#This Row],[Match ID]],Calculations_1[Match ID],Calculations_1[Winning Team])</f>
        <v>Afghanistan</v>
      </c>
      <c r="AS45" s="12">
        <v>0</v>
      </c>
      <c r="AT45" s="12">
        <v>12</v>
      </c>
      <c r="AU45" s="12">
        <v>1</v>
      </c>
      <c r="AV45" s="12">
        <v>17</v>
      </c>
      <c r="AW45" s="12">
        <f>1</f>
        <v>1</v>
      </c>
      <c r="AX45" s="12">
        <f>IF(Table354[[#This Row],[Team]]=_xlfn.XLOOKUP(Table354[[#This Row],[Match ID]],Calculations_1[Match ID],Calculations_1[Winning Team]),1,0)</f>
        <v>1</v>
      </c>
      <c r="AY45" s="12">
        <f>IF(NOT(Table354[[#This Row],[Win(1/0)]]),1,0)</f>
        <v>0</v>
      </c>
      <c r="AZ45" s="12" t="str">
        <f>IF(Table354[[#This Row],[Win(1/0)]]=1,"Win","Loss")</f>
        <v>Win</v>
      </c>
      <c r="BA45" s="12">
        <f>IF(Table354[[#This Row],[Team]]=_xlfn.XLOOKUP(Table354[[#This Row],[Match ID]],Calculations_1[Match ID],Calculations_1[Toss Winner]),1,0)</f>
        <v>0</v>
      </c>
      <c r="BB45" s="12">
        <f>Table354[[#This Row],[Win(1/0)]]*Table354[[#This Row],[Toss Won (1/0)]]</f>
        <v>0</v>
      </c>
      <c r="BC45" s="12" t="str" cm="1">
        <f t="array" ref="BC45">_xlfn.XLOOKUP(Table354[[#This Row],[Match ID]],Calculations_1[Match ID],Calculations_1[Toss Decision],NA,0)</f>
        <v>Bat</v>
      </c>
    </row>
    <row r="46" spans="1:55" x14ac:dyDescent="0.3">
      <c r="A46" s="12">
        <v>45</v>
      </c>
      <c r="B46" s="23">
        <f>IF(ISNUMBER(Table1[[#This Row],[Match Date]]),DATE(YEAR(Table1[[#This Row],[Match Date]]),DAY(Table1[[#This Row],[Match Date]]),MONTH(Table1[[#This Row],[Match Date]])),DATE(VALUE(RIGHT(TRIM(Table1[[#This Row],[Match Date]]),4)),VALUE(MID(TRIM(Table1[[#This Row],[Match Date]]),4,2)),VALUE(LEFT(TRIM(Table1[[#This Row],[Match Date]]),2))))</f>
        <v>45242</v>
      </c>
      <c r="C46" s="12" t="str">
        <f>TRIM(Table1[[#This Row],[City]])</f>
        <v>Bangalore</v>
      </c>
      <c r="D46" s="12" t="str">
        <f>IF(AND(TRIM(Table1[[#This Row],[Stadium]])="Eden Gardens",TRIM(Table1[[#This Row],[City]])&lt;&gt;"Kolkata"),"Rajiv Gandhi International Stadium",TRIM(Table1[[#This Row],[Stadium]]))</f>
        <v>M. Chinnaswamy Stadium</v>
      </c>
      <c r="E46" s="12" t="str">
        <f>SUBSTITUTE(Table1[[#This Row],[Team A]],"NewZealand","New Zealand")</f>
        <v>India</v>
      </c>
      <c r="F46" s="12" t="str">
        <f>SUBSTITUTE(Table1[[#This Row],[Team B]],"NewZealand","New Zealand")</f>
        <v>Netherlands</v>
      </c>
      <c r="G46" s="12" t="str">
        <f>SUBSTITUTE(Table1[[#This Row],[Toss Winner]],"NewZealand","New Zealand")</f>
        <v>India</v>
      </c>
      <c r="H46" s="12" t="str">
        <f>SUBSTITUTE(Table1[[#This Row],[Wining Team]],"NewZealand","New Zealand")</f>
        <v>India</v>
      </c>
      <c r="I46" s="12" t="str">
        <f>TRIM(Table1[[#This Row],[Toss Decision]])</f>
        <v>Bat</v>
      </c>
      <c r="J46" s="12">
        <f>Table1[[#This Row],[Score A]]</f>
        <v>410</v>
      </c>
      <c r="K46" s="12">
        <f>Table1[[#This Row],[Score B]]</f>
        <v>250</v>
      </c>
      <c r="L46" s="12">
        <f>SUM(Calculations_1[[#This Row],[Score A]],Calculations_1[[#This Row],[Score B]])</f>
        <v>660</v>
      </c>
      <c r="M46" s="12">
        <f>SUM(Table1[[#This Row],[Wickets A]],Table1[[#This Row],[Wickets B]])</f>
        <v>14</v>
      </c>
      <c r="N46" s="12">
        <f>SUM(Table1[[#This Row],[4s A]],Table1[[#This Row],[4s B]])</f>
        <v>56</v>
      </c>
      <c r="O46" s="12">
        <f>SUM(Table1[[#This Row],[6s A]],Table1[[#This Row],[6s B]])</f>
        <v>25</v>
      </c>
      <c r="P46" s="12">
        <f>SUM(Calculations_1[[#This Row],[Total 4s (match)]],Calculations_1[[#This Row],[Total 6s (match)]])</f>
        <v>81</v>
      </c>
      <c r="Q46" s="12" t="str">
        <f>TRIM(Table1[[#This Row],[Margin]])</f>
        <v>160 Runs</v>
      </c>
      <c r="R46" s="12">
        <f>VALUE(LEFT(Calculations_1[[#This Row],[Margin (text)]],FIND(" ",Calculations_1[[#This Row],[Margin (text)]])-1))</f>
        <v>160</v>
      </c>
      <c r="S46" s="12" t="str">
        <f>IF(ISNUMBER(SEARCH("DLS",Calculations_1[[#This Row],[Margin (text)]])),"Runs (DLS) Method",IF(ISNUMBER(SEARCH("run",Calculations_1[[#This Row],[Margin (text)]])),"Runs","Wickets"))</f>
        <v>Runs</v>
      </c>
      <c r="T46" s="12" t="str">
        <f>IF(Calculations_1[[#This Row],[Winning Margin Type]]="Wickets","Chasing Won",IF(Calculations_1[[#This Row],[Winning Margin Type]]="Runs","Batting First Won","DLS Result"))</f>
        <v>Batting First Won</v>
      </c>
      <c r="U46" s="12">
        <f>IF(Calculations_1[[#This Row],[Toss Winner]]=Calculations_1[[#This Row],[Winning Team]],1,0)</f>
        <v>1</v>
      </c>
      <c r="V46" s="12" t="str">
        <f>IF(Calculations_1[[#This Row],[Toss Winner Won Match (1/0)]]=1,"Toss Winner Won","Toss Winner Lost")</f>
        <v>Toss Winner Won</v>
      </c>
      <c r="W46" s="12" t="str">
        <f>TRIM(Table1[[#This Row],[Man of the Match]])</f>
        <v>Shreyas Iyer</v>
      </c>
      <c r="X46" s="12" t="str" cm="1">
        <f t="array" ref="X46">IF(Calculations_1[[#This Row],[Winning Margin Type]]="Runs",_xlfn.IFS(Calculations_1[[#This Row],[Margin Value]]&lt;=50,"1-50",Calculations_1[[#This Row],[Margin Value]]&lt;=100,"51-100",Calculations_1[[#This Row],[Margin Value]]&lt;=150,"101-150",Calculations_1[[#This Row],[Margin Value]]&lt;=200,"151-200",TRUE,"201+"),"")</f>
        <v>151-200</v>
      </c>
      <c r="Y46" s="12" t="str" cm="1">
        <f t="array" ref="Y46">IF(Calculations_1[[#This Row],[Winning Margin Type]]="Wickets",_xlfn.IFS(Calculations_1[[#This Row],[Margin Value]]&lt;=3,"1-3",Calculations_1[[#This Row],[Margin Value]]&lt;=6,"4-6",Calculations_1[[#This Row],[Margin Value]]&lt;=10,"7-10"),"")</f>
        <v/>
      </c>
      <c r="AA46" s="12">
        <v>23</v>
      </c>
      <c r="AB46" s="22">
        <v>45223</v>
      </c>
      <c r="AC46" s="12" t="s">
        <v>75</v>
      </c>
      <c r="AD46" s="12" t="s">
        <v>67</v>
      </c>
      <c r="AE46" s="12" t="s">
        <v>126</v>
      </c>
      <c r="AF46" s="12" t="s">
        <v>127</v>
      </c>
      <c r="AG46" s="12" t="s">
        <v>202</v>
      </c>
      <c r="AH46" s="12" t="s">
        <v>203</v>
      </c>
      <c r="AI46" s="12">
        <v>382</v>
      </c>
      <c r="AJ46" s="32" cm="1">
        <f t="array" ref="AJ46">_xlfn.XLOOKUP(
1,
(Table354[Match ID]=Table354[[#This Row],[Match ID]])*
(Table354[Team]=Table354[[#This Row],[Opponent]]),
Table354[Wickets Lost (batting)]
)</f>
        <v>10</v>
      </c>
      <c r="AK46" s="12">
        <v>5</v>
      </c>
      <c r="AL46" s="12">
        <v>50</v>
      </c>
      <c r="AM46" s="12">
        <v>2</v>
      </c>
      <c r="AN46" s="12">
        <v>26</v>
      </c>
      <c r="AO46" s="12">
        <v>19</v>
      </c>
      <c r="AP46" s="12">
        <v>45</v>
      </c>
      <c r="AQ46" s="12">
        <v>7.64</v>
      </c>
      <c r="AR46" s="12" t="str">
        <f>_xlfn.XLOOKUP(Table354[[#This Row],[Match ID]],Calculations_1[Match ID],Calculations_1[Winning Team])</f>
        <v>South Africa</v>
      </c>
      <c r="AS46" s="12">
        <v>0</v>
      </c>
      <c r="AT46" s="12">
        <v>13</v>
      </c>
      <c r="AU46" s="12">
        <v>2</v>
      </c>
      <c r="AV46" s="12">
        <v>17</v>
      </c>
      <c r="AW46" s="12">
        <f>1</f>
        <v>1</v>
      </c>
      <c r="AX46" s="12">
        <f>IF(Table354[[#This Row],[Team]]=_xlfn.XLOOKUP(Table354[[#This Row],[Match ID]],Calculations_1[Match ID],Calculations_1[Winning Team]),1,0)</f>
        <v>1</v>
      </c>
      <c r="AY46" s="12">
        <f>IF(NOT(Table354[[#This Row],[Win(1/0)]]),1,0)</f>
        <v>0</v>
      </c>
      <c r="AZ46" s="12" t="str">
        <f>IF(Table354[[#This Row],[Win(1/0)]]=1,"Win","Loss")</f>
        <v>Win</v>
      </c>
      <c r="BA46" s="12">
        <f>IF(Table354[[#This Row],[Team]]=_xlfn.XLOOKUP(Table354[[#This Row],[Match ID]],Calculations_1[Match ID],Calculations_1[Toss Winner]),1,0)</f>
        <v>1</v>
      </c>
      <c r="BB46" s="12">
        <f>Table354[[#This Row],[Win(1/0)]]*Table354[[#This Row],[Toss Won (1/0)]]</f>
        <v>1</v>
      </c>
      <c r="BC46" s="12" t="str" cm="1">
        <f t="array" ref="BC46">_xlfn.XLOOKUP(Table354[[#This Row],[Match ID]],Calculations_1[Match ID],Calculations_1[Toss Decision],NA,0)</f>
        <v>Bat</v>
      </c>
    </row>
    <row r="47" spans="1:55" x14ac:dyDescent="0.3">
      <c r="A47" s="12">
        <v>46</v>
      </c>
      <c r="B47" s="23">
        <f>IF(ISNUMBER(Table1[[#This Row],[Match Date]]),DATE(YEAR(Table1[[#This Row],[Match Date]]),DAY(Table1[[#This Row],[Match Date]]),MONTH(Table1[[#This Row],[Match Date]])),DATE(VALUE(RIGHT(TRIM(Table1[[#This Row],[Match Date]]),4)),VALUE(MID(TRIM(Table1[[#This Row],[Match Date]]),4,2)),VALUE(LEFT(TRIM(Table1[[#This Row],[Match Date]]),2))))</f>
        <v>45245</v>
      </c>
      <c r="C47" s="12" t="str">
        <f>TRIM(Table1[[#This Row],[City]])</f>
        <v>Mumbai</v>
      </c>
      <c r="D47" s="12" t="str">
        <f>IF(AND(TRIM(Table1[[#This Row],[Stadium]])="Eden Gardens",TRIM(Table1[[#This Row],[City]])&lt;&gt;"Kolkata"),"Rajiv Gandhi International Stadium",TRIM(Table1[[#This Row],[Stadium]]))</f>
        <v>Wankhede Stadium</v>
      </c>
      <c r="E47" s="12" t="str">
        <f>SUBSTITUTE(Table1[[#This Row],[Team A]],"NewZealand","New Zealand")</f>
        <v>India</v>
      </c>
      <c r="F47" s="12" t="str">
        <f>SUBSTITUTE(Table1[[#This Row],[Team B]],"NewZealand","New Zealand")</f>
        <v>New Zealand</v>
      </c>
      <c r="G47" s="12" t="str">
        <f>SUBSTITUTE(Table1[[#This Row],[Toss Winner]],"NewZealand","New Zealand")</f>
        <v>India</v>
      </c>
      <c r="H47" s="12" t="str">
        <f>SUBSTITUTE(Table1[[#This Row],[Wining Team]],"NewZealand","New Zealand")</f>
        <v>India</v>
      </c>
      <c r="I47" s="12" t="str">
        <f>TRIM(Table1[[#This Row],[Toss Decision]])</f>
        <v>Bat</v>
      </c>
      <c r="J47" s="12">
        <f>Table1[[#This Row],[Score A]]</f>
        <v>397</v>
      </c>
      <c r="K47" s="12">
        <f>Table1[[#This Row],[Score B]]</f>
        <v>327</v>
      </c>
      <c r="L47" s="12">
        <f>SUM(Calculations_1[[#This Row],[Score A]],Calculations_1[[#This Row],[Score B]])</f>
        <v>724</v>
      </c>
      <c r="M47" s="12">
        <f>SUM(Table1[[#This Row],[Wickets A]],Table1[[#This Row],[Wickets B]])</f>
        <v>14</v>
      </c>
      <c r="N47" s="12">
        <f>SUM(Table1[[#This Row],[4s A]],Table1[[#This Row],[4s B]])</f>
        <v>59</v>
      </c>
      <c r="O47" s="12">
        <f>SUM(Table1[[#This Row],[6s A]],Table1[[#This Row],[6s B]])</f>
        <v>30</v>
      </c>
      <c r="P47" s="12">
        <f>SUM(Calculations_1[[#This Row],[Total 4s (match)]],Calculations_1[[#This Row],[Total 6s (match)]])</f>
        <v>89</v>
      </c>
      <c r="Q47" s="12" t="str">
        <f>TRIM(Table1[[#This Row],[Margin]])</f>
        <v>70 Runs</v>
      </c>
      <c r="R47" s="12">
        <f>VALUE(LEFT(Calculations_1[[#This Row],[Margin (text)]],FIND(" ",Calculations_1[[#This Row],[Margin (text)]])-1))</f>
        <v>70</v>
      </c>
      <c r="S47" s="12" t="str">
        <f>IF(ISNUMBER(SEARCH("DLS",Calculations_1[[#This Row],[Margin (text)]])),"Runs (DLS) Method",IF(ISNUMBER(SEARCH("run",Calculations_1[[#This Row],[Margin (text)]])),"Runs","Wickets"))</f>
        <v>Runs</v>
      </c>
      <c r="T47" s="12" t="str">
        <f>IF(Calculations_1[[#This Row],[Winning Margin Type]]="Wickets","Chasing Won",IF(Calculations_1[[#This Row],[Winning Margin Type]]="Runs","Batting First Won","DLS Result"))</f>
        <v>Batting First Won</v>
      </c>
      <c r="U47" s="12">
        <f>IF(Calculations_1[[#This Row],[Toss Winner]]=Calculations_1[[#This Row],[Winning Team]],1,0)</f>
        <v>1</v>
      </c>
      <c r="V47" s="12" t="str">
        <f>IF(Calculations_1[[#This Row],[Toss Winner Won Match (1/0)]]=1,"Toss Winner Won","Toss Winner Lost")</f>
        <v>Toss Winner Won</v>
      </c>
      <c r="W47" s="12" t="str">
        <f>TRIM(Table1[[#This Row],[Man of the Match]])</f>
        <v>Mohammed Shami</v>
      </c>
      <c r="X47" s="12" t="str" cm="1">
        <f t="array" ref="X47">IF(Calculations_1[[#This Row],[Winning Margin Type]]="Runs",_xlfn.IFS(Calculations_1[[#This Row],[Margin Value]]&lt;=50,"1-50",Calculations_1[[#This Row],[Margin Value]]&lt;=100,"51-100",Calculations_1[[#This Row],[Margin Value]]&lt;=150,"101-150",Calculations_1[[#This Row],[Margin Value]]&lt;=200,"151-200",TRUE,"201+"),"")</f>
        <v>51-100</v>
      </c>
      <c r="Y47" s="12" t="str" cm="1">
        <f t="array" ref="Y47">IF(Calculations_1[[#This Row],[Winning Margin Type]]="Wickets",_xlfn.IFS(Calculations_1[[#This Row],[Margin Value]]&lt;=3,"1-3",Calculations_1[[#This Row],[Margin Value]]&lt;=6,"4-6",Calculations_1[[#This Row],[Margin Value]]&lt;=10,"7-10"),"")</f>
        <v/>
      </c>
      <c r="AA47" s="12">
        <v>23</v>
      </c>
      <c r="AB47" s="22">
        <v>45223</v>
      </c>
      <c r="AC47" s="12" t="s">
        <v>67</v>
      </c>
      <c r="AD47" s="12" t="s">
        <v>75</v>
      </c>
      <c r="AE47" s="12" t="s">
        <v>126</v>
      </c>
      <c r="AF47" s="12" t="s">
        <v>127</v>
      </c>
      <c r="AG47" s="12" t="s">
        <v>202</v>
      </c>
      <c r="AH47" s="12" t="s">
        <v>203</v>
      </c>
      <c r="AI47" s="12">
        <v>233</v>
      </c>
      <c r="AJ47" s="32" cm="1">
        <f t="array" ref="AJ47">_xlfn.XLOOKUP(
1,
(Table354[Match ID]=Table354[[#This Row],[Match ID]])*
(Table354[Team]=Table354[[#This Row],[Opponent]]),
Table354[Wickets Lost (batting)]
)</f>
        <v>5</v>
      </c>
      <c r="AK47" s="12">
        <v>10</v>
      </c>
      <c r="AL47" s="12">
        <v>46.4</v>
      </c>
      <c r="AM47" s="12">
        <v>0</v>
      </c>
      <c r="AN47" s="12">
        <v>25</v>
      </c>
      <c r="AO47" s="12">
        <v>5</v>
      </c>
      <c r="AP47" s="12">
        <v>30</v>
      </c>
      <c r="AQ47" s="12">
        <v>4.99</v>
      </c>
      <c r="AR47" s="12" t="str">
        <f>_xlfn.XLOOKUP(Table354[[#This Row],[Match ID]],Calculations_1[Match ID],Calculations_1[Winning Team])</f>
        <v>South Africa</v>
      </c>
      <c r="AS47" s="12">
        <v>0</v>
      </c>
      <c r="AT47" s="12">
        <v>7</v>
      </c>
      <c r="AU47" s="12">
        <v>0</v>
      </c>
      <c r="AV47" s="12">
        <v>10</v>
      </c>
      <c r="AW47" s="12">
        <f>1</f>
        <v>1</v>
      </c>
      <c r="AX47" s="12">
        <f>IF(Table354[[#This Row],[Team]]=_xlfn.XLOOKUP(Table354[[#This Row],[Match ID]],Calculations_1[Match ID],Calculations_1[Winning Team]),1,0)</f>
        <v>0</v>
      </c>
      <c r="AY47" s="12">
        <f>IF(NOT(Table354[[#This Row],[Win(1/0)]]),1,0)</f>
        <v>1</v>
      </c>
      <c r="AZ47" s="12" t="str">
        <f>IF(Table354[[#This Row],[Win(1/0)]]=1,"Win","Loss")</f>
        <v>Loss</v>
      </c>
      <c r="BA47" s="12">
        <f>IF(Table354[[#This Row],[Team]]=_xlfn.XLOOKUP(Table354[[#This Row],[Match ID]],Calculations_1[Match ID],Calculations_1[Toss Winner]),1,0)</f>
        <v>0</v>
      </c>
      <c r="BB47" s="12">
        <f>Table354[[#This Row],[Win(1/0)]]*Table354[[#This Row],[Toss Won (1/0)]]</f>
        <v>0</v>
      </c>
      <c r="BC47" s="12" t="str" cm="1">
        <f t="array" ref="BC47">_xlfn.XLOOKUP(Table354[[#This Row],[Match ID]],Calculations_1[Match ID],Calculations_1[Toss Decision],NA,0)</f>
        <v>Bat</v>
      </c>
    </row>
    <row r="48" spans="1:55" x14ac:dyDescent="0.3">
      <c r="A48" s="12">
        <v>47</v>
      </c>
      <c r="B48" s="23">
        <f>IF(ISNUMBER(Table1[[#This Row],[Match Date]]),DATE(YEAR(Table1[[#This Row],[Match Date]]),DAY(Table1[[#This Row],[Match Date]]),MONTH(Table1[[#This Row],[Match Date]])),DATE(VALUE(RIGHT(TRIM(Table1[[#This Row],[Match Date]]),4)),VALUE(MID(TRIM(Table1[[#This Row],[Match Date]]),4,2)),VALUE(LEFT(TRIM(Table1[[#This Row],[Match Date]]),2))))</f>
        <v>45246</v>
      </c>
      <c r="C48" s="12" t="str">
        <f>TRIM(Table1[[#This Row],[City]])</f>
        <v>Kolkata</v>
      </c>
      <c r="D48" s="12" t="str">
        <f>IF(AND(TRIM(Table1[[#This Row],[Stadium]])="Eden Gardens",TRIM(Table1[[#This Row],[City]])&lt;&gt;"Kolkata"),"Rajiv Gandhi International Stadium",TRIM(Table1[[#This Row],[Stadium]]))</f>
        <v>Eden Gardens</v>
      </c>
      <c r="E48" s="12" t="str">
        <f>SUBSTITUTE(Table1[[#This Row],[Team A]],"NewZealand","New Zealand")</f>
        <v>Australia</v>
      </c>
      <c r="F48" s="12" t="str">
        <f>SUBSTITUTE(Table1[[#This Row],[Team B]],"NewZealand","New Zealand")</f>
        <v>South Africa</v>
      </c>
      <c r="G48" s="12" t="str">
        <f>SUBSTITUTE(Table1[[#This Row],[Toss Winner]],"NewZealand","New Zealand")</f>
        <v>South Africa</v>
      </c>
      <c r="H48" s="12" t="str">
        <f>SUBSTITUTE(Table1[[#This Row],[Wining Team]],"NewZealand","New Zealand")</f>
        <v>Australia</v>
      </c>
      <c r="I48" s="12" t="str">
        <f>TRIM(Table1[[#This Row],[Toss Decision]])</f>
        <v>Bat</v>
      </c>
      <c r="J48" s="12">
        <f>Table1[[#This Row],[Score A]]</f>
        <v>215</v>
      </c>
      <c r="K48" s="12">
        <f>Table1[[#This Row],[Score B]]</f>
        <v>212</v>
      </c>
      <c r="L48" s="12">
        <f>SUM(Calculations_1[[#This Row],[Score A]],Calculations_1[[#This Row],[Score B]])</f>
        <v>427</v>
      </c>
      <c r="M48" s="12">
        <f>SUM(Table1[[#This Row],[Wickets A]],Table1[[#This Row],[Wickets B]])</f>
        <v>17</v>
      </c>
      <c r="N48" s="12">
        <f>SUM(Table1[[#This Row],[4s A]],Table1[[#This Row],[4s B]])</f>
        <v>37</v>
      </c>
      <c r="O48" s="12">
        <f>SUM(Table1[[#This Row],[6s A]],Table1[[#This Row],[6s B]])</f>
        <v>14</v>
      </c>
      <c r="P48" s="12">
        <f>SUM(Calculations_1[[#This Row],[Total 4s (match)]],Calculations_1[[#This Row],[Total 6s (match)]])</f>
        <v>51</v>
      </c>
      <c r="Q48" s="12" t="str">
        <f>TRIM(Table1[[#This Row],[Margin]])</f>
        <v>3 Wickets</v>
      </c>
      <c r="R48" s="12">
        <f>VALUE(LEFT(Calculations_1[[#This Row],[Margin (text)]],FIND(" ",Calculations_1[[#This Row],[Margin (text)]])-1))</f>
        <v>3</v>
      </c>
      <c r="S48" s="12" t="str">
        <f>IF(ISNUMBER(SEARCH("DLS",Calculations_1[[#This Row],[Margin (text)]])),"Runs (DLS) Method",IF(ISNUMBER(SEARCH("run",Calculations_1[[#This Row],[Margin (text)]])),"Runs","Wickets"))</f>
        <v>Wickets</v>
      </c>
      <c r="T48" s="12" t="str">
        <f>IF(Calculations_1[[#This Row],[Winning Margin Type]]="Wickets","Chasing Won",IF(Calculations_1[[#This Row],[Winning Margin Type]]="Runs","Batting First Won","DLS Result"))</f>
        <v>Chasing Won</v>
      </c>
      <c r="U48" s="12">
        <f>IF(Calculations_1[[#This Row],[Toss Winner]]=Calculations_1[[#This Row],[Winning Team]],1,0)</f>
        <v>0</v>
      </c>
      <c r="V48" s="12" t="str">
        <f>IF(Calculations_1[[#This Row],[Toss Winner Won Match (1/0)]]=1,"Toss Winner Won","Toss Winner Lost")</f>
        <v>Toss Winner Lost</v>
      </c>
      <c r="W48" s="12" t="str">
        <f>TRIM(Table1[[#This Row],[Man of the Match]])</f>
        <v>Travis Head</v>
      </c>
      <c r="X48" s="12" t="str" cm="1">
        <f t="array" ref="X48">IF(Calculations_1[[#This Row],[Winning Margin Type]]="Runs",_xlfn.IFS(Calculations_1[[#This Row],[Margin Value]]&lt;=50,"1-50",Calculations_1[[#This Row],[Margin Value]]&lt;=100,"51-100",Calculations_1[[#This Row],[Margin Value]]&lt;=150,"101-150",Calculations_1[[#This Row],[Margin Value]]&lt;=200,"151-200",TRUE,"201+"),"")</f>
        <v/>
      </c>
      <c r="Y48" s="12" t="str" cm="1">
        <f t="array" ref="Y48">IF(Calculations_1[[#This Row],[Winning Margin Type]]="Wickets",_xlfn.IFS(Calculations_1[[#This Row],[Margin Value]]&lt;=3,"1-3",Calculations_1[[#This Row],[Margin Value]]&lt;=6,"4-6",Calculations_1[[#This Row],[Margin Value]]&lt;=10,"7-10"),"")</f>
        <v>1-3</v>
      </c>
      <c r="AA48" s="12">
        <v>24</v>
      </c>
      <c r="AB48" s="22">
        <v>45224</v>
      </c>
      <c r="AC48" s="12" t="s">
        <v>84</v>
      </c>
      <c r="AD48" s="12" t="s">
        <v>57</v>
      </c>
      <c r="AE48" s="12" t="s">
        <v>73</v>
      </c>
      <c r="AF48" s="12" t="s">
        <v>74</v>
      </c>
      <c r="AG48" s="12" t="s">
        <v>202</v>
      </c>
      <c r="AH48" s="12" t="s">
        <v>203</v>
      </c>
      <c r="AI48" s="12">
        <v>399</v>
      </c>
      <c r="AJ48" s="32" cm="1">
        <f t="array" ref="AJ48">_xlfn.XLOOKUP(
1,
(Table354[Match ID]=Table354[[#This Row],[Match ID]])*
(Table354[Team]=Table354[[#This Row],[Opponent]]),
Table354[Wickets Lost (batting)]
)</f>
        <v>10</v>
      </c>
      <c r="AK48" s="12">
        <v>8</v>
      </c>
      <c r="AL48" s="12">
        <v>50</v>
      </c>
      <c r="AM48" s="12">
        <v>0</v>
      </c>
      <c r="AN48" s="12">
        <v>42</v>
      </c>
      <c r="AO48" s="12">
        <v>15</v>
      </c>
      <c r="AP48" s="12">
        <v>57</v>
      </c>
      <c r="AQ48" s="12">
        <v>7.98</v>
      </c>
      <c r="AR48" s="12" t="str">
        <f>_xlfn.XLOOKUP(Table354[[#This Row],[Match ID]],Calculations_1[Match ID],Calculations_1[Winning Team])</f>
        <v>Australia</v>
      </c>
      <c r="AS48" s="12">
        <v>0</v>
      </c>
      <c r="AT48" s="12">
        <v>7</v>
      </c>
      <c r="AU48" s="12">
        <v>0</v>
      </c>
      <c r="AV48" s="12">
        <v>7</v>
      </c>
      <c r="AW48" s="12">
        <f>1</f>
        <v>1</v>
      </c>
      <c r="AX48" s="12">
        <f>IF(Table354[[#This Row],[Team]]=_xlfn.XLOOKUP(Table354[[#This Row],[Match ID]],Calculations_1[Match ID],Calculations_1[Winning Team]),1,0)</f>
        <v>1</v>
      </c>
      <c r="AY48" s="12">
        <f>IF(NOT(Table354[[#This Row],[Win(1/0)]]),1,0)</f>
        <v>0</v>
      </c>
      <c r="AZ48" s="12" t="str">
        <f>IF(Table354[[#This Row],[Win(1/0)]]=1,"Win","Loss")</f>
        <v>Win</v>
      </c>
      <c r="BA48" s="12">
        <f>IF(Table354[[#This Row],[Team]]=_xlfn.XLOOKUP(Table354[[#This Row],[Match ID]],Calculations_1[Match ID],Calculations_1[Toss Winner]),1,0)</f>
        <v>1</v>
      </c>
      <c r="BB48" s="12">
        <f>Table354[[#This Row],[Win(1/0)]]*Table354[[#This Row],[Toss Won (1/0)]]</f>
        <v>1</v>
      </c>
      <c r="BC48" s="12" t="str" cm="1">
        <f t="array" ref="BC48">_xlfn.XLOOKUP(Table354[[#This Row],[Match ID]],Calculations_1[Match ID],Calculations_1[Toss Decision],NA,0)</f>
        <v>Bat</v>
      </c>
    </row>
    <row r="49" spans="1:55" x14ac:dyDescent="0.3">
      <c r="A49" s="12">
        <v>48</v>
      </c>
      <c r="B49" s="23">
        <f>IF(ISNUMBER(Table1[[#This Row],[Match Date]]),DATE(YEAR(Table1[[#This Row],[Match Date]]),DAY(Table1[[#This Row],[Match Date]]),MONTH(Table1[[#This Row],[Match Date]])),DATE(VALUE(RIGHT(TRIM(Table1[[#This Row],[Match Date]]),4)),VALUE(MID(TRIM(Table1[[#This Row],[Match Date]]),4,2)),VALUE(LEFT(TRIM(Table1[[#This Row],[Match Date]]),2))))</f>
        <v>45249</v>
      </c>
      <c r="C49" s="12" t="str">
        <f>TRIM(Table1[[#This Row],[City]])</f>
        <v>Ahmedabad</v>
      </c>
      <c r="D49" s="12" t="str">
        <f>IF(AND(TRIM(Table1[[#This Row],[Stadium]])="Eden Gardens",TRIM(Table1[[#This Row],[City]])&lt;&gt;"Kolkata"),"Rajiv Gandhi International Stadium",TRIM(Table1[[#This Row],[Stadium]]))</f>
        <v>Narendra Modi Stadium</v>
      </c>
      <c r="E49" s="12" t="str">
        <f>SUBSTITUTE(Table1[[#This Row],[Team A]],"NewZealand","New Zealand")</f>
        <v>India</v>
      </c>
      <c r="F49" s="12" t="str">
        <f>SUBSTITUTE(Table1[[#This Row],[Team B]],"NewZealand","New Zealand")</f>
        <v>Australia</v>
      </c>
      <c r="G49" s="12" t="str">
        <f>SUBSTITUTE(Table1[[#This Row],[Toss Winner]],"NewZealand","New Zealand")</f>
        <v>Australia</v>
      </c>
      <c r="H49" s="12" t="str">
        <f>SUBSTITUTE(Table1[[#This Row],[Wining Team]],"NewZealand","New Zealand")</f>
        <v>Australia</v>
      </c>
      <c r="I49" s="12" t="str">
        <f>TRIM(Table1[[#This Row],[Toss Decision]])</f>
        <v>Field</v>
      </c>
      <c r="J49" s="12">
        <f>Table1[[#This Row],[Score A]]</f>
        <v>240</v>
      </c>
      <c r="K49" s="12">
        <f>Table1[[#This Row],[Score B]]</f>
        <v>241</v>
      </c>
      <c r="L49" s="12">
        <f>SUM(Calculations_1[[#This Row],[Score A]],Calculations_1[[#This Row],[Score B]])</f>
        <v>481</v>
      </c>
      <c r="M49" s="12">
        <f>SUM(Table1[[#This Row],[Wickets A]],Table1[[#This Row],[Wickets B]])</f>
        <v>14</v>
      </c>
      <c r="N49" s="12">
        <f>SUM(Table1[[#This Row],[4s A]],Table1[[#This Row],[4s B]])</f>
        <v>35</v>
      </c>
      <c r="O49" s="12">
        <f>SUM(Table1[[#This Row],[6s A]],Table1[[#This Row],[6s B]])</f>
        <v>8</v>
      </c>
      <c r="P49" s="12">
        <f>SUM(Calculations_1[[#This Row],[Total 4s (match)]],Calculations_1[[#This Row],[Total 6s (match)]])</f>
        <v>43</v>
      </c>
      <c r="Q49" s="12" t="str">
        <f>TRIM(Table1[[#This Row],[Margin]])</f>
        <v>6 Wickets</v>
      </c>
      <c r="R49" s="12">
        <f>VALUE(LEFT(Calculations_1[[#This Row],[Margin (text)]],FIND(" ",Calculations_1[[#This Row],[Margin (text)]])-1))</f>
        <v>6</v>
      </c>
      <c r="S49" s="12" t="str">
        <f>IF(ISNUMBER(SEARCH("DLS",Calculations_1[[#This Row],[Margin (text)]])),"Runs (DLS) Method",IF(ISNUMBER(SEARCH("run",Calculations_1[[#This Row],[Margin (text)]])),"Runs","Wickets"))</f>
        <v>Wickets</v>
      </c>
      <c r="T49" s="12" t="str">
        <f>IF(Calculations_1[[#This Row],[Winning Margin Type]]="Wickets","Chasing Won",IF(Calculations_1[[#This Row],[Winning Margin Type]]="Runs","Batting First Won","DLS Result"))</f>
        <v>Chasing Won</v>
      </c>
      <c r="U49" s="12">
        <f>IF(Calculations_1[[#This Row],[Toss Winner]]=Calculations_1[[#This Row],[Winning Team]],1,0)</f>
        <v>1</v>
      </c>
      <c r="V49" s="12" t="str">
        <f>IF(Calculations_1[[#This Row],[Toss Winner Won Match (1/0)]]=1,"Toss Winner Won","Toss Winner Lost")</f>
        <v>Toss Winner Won</v>
      </c>
      <c r="W49" s="12" t="str">
        <f>TRIM(Table1[[#This Row],[Man of the Match]])</f>
        <v>Travis Head</v>
      </c>
      <c r="X49" s="12" t="str" cm="1">
        <f t="array" ref="X49">IF(Calculations_1[[#This Row],[Winning Margin Type]]="Runs",_xlfn.IFS(Calculations_1[[#This Row],[Margin Value]]&lt;=50,"1-50",Calculations_1[[#This Row],[Margin Value]]&lt;=100,"51-100",Calculations_1[[#This Row],[Margin Value]]&lt;=150,"101-150",Calculations_1[[#This Row],[Margin Value]]&lt;=200,"151-200",TRUE,"201+"),"")</f>
        <v/>
      </c>
      <c r="Y49" s="12" t="str" cm="1">
        <f t="array" ref="Y49">IF(Calculations_1[[#This Row],[Winning Margin Type]]="Wickets",_xlfn.IFS(Calculations_1[[#This Row],[Margin Value]]&lt;=3,"1-3",Calculations_1[[#This Row],[Margin Value]]&lt;=6,"4-6",Calculations_1[[#This Row],[Margin Value]]&lt;=10,"7-10"),"")</f>
        <v>4-6</v>
      </c>
      <c r="AA49" s="12">
        <v>24</v>
      </c>
      <c r="AB49" s="22">
        <v>45224</v>
      </c>
      <c r="AC49" s="12" t="s">
        <v>57</v>
      </c>
      <c r="AD49" s="12" t="s">
        <v>84</v>
      </c>
      <c r="AE49" s="12" t="s">
        <v>73</v>
      </c>
      <c r="AF49" s="12" t="s">
        <v>74</v>
      </c>
      <c r="AG49" s="12" t="s">
        <v>202</v>
      </c>
      <c r="AH49" s="12" t="s">
        <v>203</v>
      </c>
      <c r="AI49" s="12">
        <v>90</v>
      </c>
      <c r="AJ49" s="32" cm="1">
        <f t="array" ref="AJ49">_xlfn.XLOOKUP(
1,
(Table354[Match ID]=Table354[[#This Row],[Match ID]])*
(Table354[Team]=Table354[[#This Row],[Opponent]]),
Table354[Wickets Lost (batting)]
)</f>
        <v>8</v>
      </c>
      <c r="AK49" s="12">
        <v>10</v>
      </c>
      <c r="AL49" s="12">
        <v>21</v>
      </c>
      <c r="AM49" s="12">
        <v>0</v>
      </c>
      <c r="AN49" s="12">
        <v>13</v>
      </c>
      <c r="AO49" s="12">
        <v>0</v>
      </c>
      <c r="AP49" s="12">
        <v>13</v>
      </c>
      <c r="AQ49" s="12">
        <v>4.28</v>
      </c>
      <c r="AR49" s="12" t="str">
        <f>_xlfn.XLOOKUP(Table354[[#This Row],[Match ID]],Calculations_1[Match ID],Calculations_1[Winning Team])</f>
        <v>Australia</v>
      </c>
      <c r="AS49" s="12">
        <v>0</v>
      </c>
      <c r="AT49" s="12">
        <v>11</v>
      </c>
      <c r="AU49" s="12">
        <v>1</v>
      </c>
      <c r="AV49" s="12">
        <v>12</v>
      </c>
      <c r="AW49" s="12">
        <f>1</f>
        <v>1</v>
      </c>
      <c r="AX49" s="12">
        <f>IF(Table354[[#This Row],[Team]]=_xlfn.XLOOKUP(Table354[[#This Row],[Match ID]],Calculations_1[Match ID],Calculations_1[Winning Team]),1,0)</f>
        <v>0</v>
      </c>
      <c r="AY49" s="12">
        <f>IF(NOT(Table354[[#This Row],[Win(1/0)]]),1,0)</f>
        <v>1</v>
      </c>
      <c r="AZ49" s="12" t="str">
        <f>IF(Table354[[#This Row],[Win(1/0)]]=1,"Win","Loss")</f>
        <v>Loss</v>
      </c>
      <c r="BA49" s="12">
        <f>IF(Table354[[#This Row],[Team]]=_xlfn.XLOOKUP(Table354[[#This Row],[Match ID]],Calculations_1[Match ID],Calculations_1[Toss Winner]),1,0)</f>
        <v>0</v>
      </c>
      <c r="BB49" s="12">
        <f>Table354[[#This Row],[Win(1/0)]]*Table354[[#This Row],[Toss Won (1/0)]]</f>
        <v>0</v>
      </c>
      <c r="BC49" s="12" t="str" cm="1">
        <f t="array" ref="BC49">_xlfn.XLOOKUP(Table354[[#This Row],[Match ID]],Calculations_1[Match ID],Calculations_1[Toss Decision],NA,0)</f>
        <v>Bat</v>
      </c>
    </row>
    <row r="50" spans="1:55" x14ac:dyDescent="0.3">
      <c r="AA50" s="12">
        <v>25</v>
      </c>
      <c r="AB50" s="22">
        <v>45225</v>
      </c>
      <c r="AC50" s="12" t="s">
        <v>45</v>
      </c>
      <c r="AD50" s="12" t="s">
        <v>76</v>
      </c>
      <c r="AE50" s="12" t="s">
        <v>121</v>
      </c>
      <c r="AF50" s="12" t="s">
        <v>122</v>
      </c>
      <c r="AG50" s="12" t="s">
        <v>201</v>
      </c>
      <c r="AH50" s="12" t="s">
        <v>195</v>
      </c>
      <c r="AI50" s="12">
        <v>156</v>
      </c>
      <c r="AJ50" s="32" cm="1">
        <f t="array" ref="AJ50">_xlfn.XLOOKUP(
1,
(Table354[Match ID]=Table354[[#This Row],[Match ID]])*
(Table354[Team]=Table354[[#This Row],[Opponent]]),
Table354[Wickets Lost (batting)]
)</f>
        <v>2</v>
      </c>
      <c r="AK50" s="12">
        <v>10</v>
      </c>
      <c r="AL50" s="12">
        <v>33.200000000000003</v>
      </c>
      <c r="AM50" s="12">
        <v>0</v>
      </c>
      <c r="AN50" s="12">
        <v>19</v>
      </c>
      <c r="AO50" s="12">
        <v>1</v>
      </c>
      <c r="AP50" s="12">
        <v>20</v>
      </c>
      <c r="AQ50" s="12">
        <v>4.68</v>
      </c>
      <c r="AR50" s="12" t="str">
        <f>_xlfn.XLOOKUP(Table354[[#This Row],[Match ID]],Calculations_1[Match ID],Calculations_1[Winning Team])</f>
        <v>Sri Lanka</v>
      </c>
      <c r="AS50" s="12">
        <v>0</v>
      </c>
      <c r="AT50" s="12">
        <v>3</v>
      </c>
      <c r="AU50" s="12">
        <v>0</v>
      </c>
      <c r="AV50" s="12">
        <v>3</v>
      </c>
      <c r="AW50" s="12">
        <f>1</f>
        <v>1</v>
      </c>
      <c r="AX50" s="12">
        <f>IF(Table354[[#This Row],[Team]]=_xlfn.XLOOKUP(Table354[[#This Row],[Match ID]],Calculations_1[Match ID],Calculations_1[Winning Team]),1,0)</f>
        <v>0</v>
      </c>
      <c r="AY50" s="12">
        <f>IF(NOT(Table354[[#This Row],[Win(1/0)]]),1,0)</f>
        <v>1</v>
      </c>
      <c r="AZ50" s="12" t="str">
        <f>IF(Table354[[#This Row],[Win(1/0)]]=1,"Win","Loss")</f>
        <v>Loss</v>
      </c>
      <c r="BA50" s="12">
        <f>IF(Table354[[#This Row],[Team]]=_xlfn.XLOOKUP(Table354[[#This Row],[Match ID]],Calculations_1[Match ID],Calculations_1[Toss Winner]),1,0)</f>
        <v>1</v>
      </c>
      <c r="BB50" s="12">
        <f>Table354[[#This Row],[Win(1/0)]]*Table354[[#This Row],[Toss Won (1/0)]]</f>
        <v>0</v>
      </c>
      <c r="BC50" s="12" t="str" cm="1">
        <f t="array" ref="BC50">_xlfn.XLOOKUP(Table354[[#This Row],[Match ID]],Calculations_1[Match ID],Calculations_1[Toss Decision],NA,0)</f>
        <v>Bat</v>
      </c>
    </row>
    <row r="51" spans="1:55" x14ac:dyDescent="0.3">
      <c r="AA51" s="12">
        <v>25</v>
      </c>
      <c r="AB51" s="22">
        <v>45225</v>
      </c>
      <c r="AC51" s="12" t="s">
        <v>76</v>
      </c>
      <c r="AD51" s="12" t="s">
        <v>45</v>
      </c>
      <c r="AE51" s="12" t="s">
        <v>121</v>
      </c>
      <c r="AF51" s="12" t="s">
        <v>122</v>
      </c>
      <c r="AG51" s="12" t="s">
        <v>201</v>
      </c>
      <c r="AH51" s="12" t="s">
        <v>195</v>
      </c>
      <c r="AI51" s="12">
        <v>160</v>
      </c>
      <c r="AJ51" s="32" cm="1">
        <f t="array" ref="AJ51">_xlfn.XLOOKUP(
1,
(Table354[Match ID]=Table354[[#This Row],[Match ID]])*
(Table354[Team]=Table354[[#This Row],[Opponent]]),
Table354[Wickets Lost (batting)]
)</f>
        <v>10</v>
      </c>
      <c r="AK51" s="12">
        <v>2</v>
      </c>
      <c r="AL51" s="12">
        <v>25.4</v>
      </c>
      <c r="AM51" s="12">
        <v>2</v>
      </c>
      <c r="AN51" s="12">
        <v>17</v>
      </c>
      <c r="AO51" s="12">
        <v>3</v>
      </c>
      <c r="AP51" s="12">
        <v>20</v>
      </c>
      <c r="AQ51" s="12">
        <v>6.23</v>
      </c>
      <c r="AR51" s="12" t="str">
        <f>_xlfn.XLOOKUP(Table354[[#This Row],[Match ID]],Calculations_1[Match ID],Calculations_1[Winning Team])</f>
        <v>Sri Lanka</v>
      </c>
      <c r="AS51" s="12">
        <v>0</v>
      </c>
      <c r="AT51" s="12">
        <v>4</v>
      </c>
      <c r="AU51" s="12">
        <v>0</v>
      </c>
      <c r="AV51" s="12">
        <v>7</v>
      </c>
      <c r="AW51" s="12">
        <f>1</f>
        <v>1</v>
      </c>
      <c r="AX51" s="12">
        <f>IF(Table354[[#This Row],[Team]]=_xlfn.XLOOKUP(Table354[[#This Row],[Match ID]],Calculations_1[Match ID],Calculations_1[Winning Team]),1,0)</f>
        <v>1</v>
      </c>
      <c r="AY51" s="12">
        <f>IF(NOT(Table354[[#This Row],[Win(1/0)]]),1,0)</f>
        <v>0</v>
      </c>
      <c r="AZ51" s="12" t="str">
        <f>IF(Table354[[#This Row],[Win(1/0)]]=1,"Win","Loss")</f>
        <v>Win</v>
      </c>
      <c r="BA51" s="12">
        <f>IF(Table354[[#This Row],[Team]]=_xlfn.XLOOKUP(Table354[[#This Row],[Match ID]],Calculations_1[Match ID],Calculations_1[Toss Winner]),1,0)</f>
        <v>0</v>
      </c>
      <c r="BB51" s="12">
        <f>Table354[[#This Row],[Win(1/0)]]*Table354[[#This Row],[Toss Won (1/0)]]</f>
        <v>0</v>
      </c>
      <c r="BC51" s="12" t="str" cm="1">
        <f t="array" ref="BC51">_xlfn.XLOOKUP(Table354[[#This Row],[Match ID]],Calculations_1[Match ID],Calculations_1[Toss Decision],NA,0)</f>
        <v>Bat</v>
      </c>
    </row>
    <row r="52" spans="1:55" x14ac:dyDescent="0.3">
      <c r="AA52" s="12">
        <v>26</v>
      </c>
      <c r="AB52" s="22">
        <v>45226</v>
      </c>
      <c r="AC52" s="12" t="s">
        <v>56</v>
      </c>
      <c r="AD52" s="12" t="s">
        <v>75</v>
      </c>
      <c r="AE52" s="12" t="s">
        <v>82</v>
      </c>
      <c r="AF52" s="12" t="s">
        <v>83</v>
      </c>
      <c r="AG52" s="12" t="s">
        <v>201</v>
      </c>
      <c r="AH52" s="12" t="s">
        <v>195</v>
      </c>
      <c r="AI52" s="12">
        <v>270</v>
      </c>
      <c r="AJ52" s="32" cm="1">
        <f t="array" ref="AJ52">_xlfn.XLOOKUP(
1,
(Table354[Match ID]=Table354[[#This Row],[Match ID]])*
(Table354[Team]=Table354[[#This Row],[Opponent]]),
Table354[Wickets Lost (batting)]
)</f>
        <v>9</v>
      </c>
      <c r="AK52" s="12">
        <v>10</v>
      </c>
      <c r="AL52" s="12">
        <v>46.4</v>
      </c>
      <c r="AM52" s="12">
        <v>1</v>
      </c>
      <c r="AN52" s="12">
        <v>23</v>
      </c>
      <c r="AO52" s="12">
        <v>8</v>
      </c>
      <c r="AP52" s="12">
        <v>31</v>
      </c>
      <c r="AQ52" s="12">
        <v>5.78</v>
      </c>
      <c r="AR52" s="12" t="str">
        <f>_xlfn.XLOOKUP(Table354[[#This Row],[Match ID]],Calculations_1[Match ID],Calculations_1[Winning Team])</f>
        <v>South Africa</v>
      </c>
      <c r="AS52" s="12">
        <v>1</v>
      </c>
      <c r="AT52" s="12">
        <v>15</v>
      </c>
      <c r="AU52" s="12">
        <v>0</v>
      </c>
      <c r="AV52" s="12">
        <v>21</v>
      </c>
      <c r="AW52" s="12">
        <f>1</f>
        <v>1</v>
      </c>
      <c r="AX52" s="12">
        <f>IF(Table354[[#This Row],[Team]]=_xlfn.XLOOKUP(Table354[[#This Row],[Match ID]],Calculations_1[Match ID],Calculations_1[Winning Team]),1,0)</f>
        <v>0</v>
      </c>
      <c r="AY52" s="12">
        <f>IF(NOT(Table354[[#This Row],[Win(1/0)]]),1,0)</f>
        <v>1</v>
      </c>
      <c r="AZ52" s="12" t="str">
        <f>IF(Table354[[#This Row],[Win(1/0)]]=1,"Win","Loss")</f>
        <v>Loss</v>
      </c>
      <c r="BA52" s="12">
        <f>IF(Table354[[#This Row],[Team]]=_xlfn.XLOOKUP(Table354[[#This Row],[Match ID]],Calculations_1[Match ID],Calculations_1[Toss Winner]),1,0)</f>
        <v>1</v>
      </c>
      <c r="BB52" s="12">
        <f>Table354[[#This Row],[Win(1/0)]]*Table354[[#This Row],[Toss Won (1/0)]]</f>
        <v>0</v>
      </c>
      <c r="BC52" s="12" t="str" cm="1">
        <f t="array" ref="BC52">_xlfn.XLOOKUP(Table354[[#This Row],[Match ID]],Calculations_1[Match ID],Calculations_1[Toss Decision],NA,0)</f>
        <v>Bat</v>
      </c>
    </row>
    <row r="53" spans="1:55" x14ac:dyDescent="0.3">
      <c r="AA53" s="12">
        <v>26</v>
      </c>
      <c r="AB53" s="22">
        <v>45226</v>
      </c>
      <c r="AC53" s="12" t="s">
        <v>75</v>
      </c>
      <c r="AD53" s="12" t="s">
        <v>56</v>
      </c>
      <c r="AE53" s="12" t="s">
        <v>82</v>
      </c>
      <c r="AF53" s="12" t="s">
        <v>83</v>
      </c>
      <c r="AG53" s="12" t="s">
        <v>201</v>
      </c>
      <c r="AH53" s="12" t="s">
        <v>195</v>
      </c>
      <c r="AI53" s="12">
        <v>271</v>
      </c>
      <c r="AJ53" s="32" cm="1">
        <f t="array" ref="AJ53">_xlfn.XLOOKUP(
1,
(Table354[Match ID]=Table354[[#This Row],[Match ID]])*
(Table354[Team]=Table354[[#This Row],[Opponent]]),
Table354[Wickets Lost (batting)]
)</f>
        <v>10</v>
      </c>
      <c r="AK53" s="12">
        <v>9</v>
      </c>
      <c r="AL53" s="12">
        <v>47.2</v>
      </c>
      <c r="AM53" s="12">
        <v>1</v>
      </c>
      <c r="AN53" s="12">
        <v>21</v>
      </c>
      <c r="AO53" s="12">
        <v>8</v>
      </c>
      <c r="AP53" s="12">
        <v>29</v>
      </c>
      <c r="AQ53" s="12">
        <v>5.22</v>
      </c>
      <c r="AR53" s="12" t="str">
        <f>_xlfn.XLOOKUP(Table354[[#This Row],[Match ID]],Calculations_1[Match ID],Calculations_1[Winning Team])</f>
        <v>South Africa</v>
      </c>
      <c r="AS53" s="12">
        <v>4</v>
      </c>
      <c r="AT53" s="12">
        <v>11</v>
      </c>
      <c r="AU53" s="12">
        <v>4</v>
      </c>
      <c r="AV53" s="12">
        <v>19</v>
      </c>
      <c r="AW53" s="12">
        <f>1</f>
        <v>1</v>
      </c>
      <c r="AX53" s="12">
        <f>IF(Table354[[#This Row],[Team]]=_xlfn.XLOOKUP(Table354[[#This Row],[Match ID]],Calculations_1[Match ID],Calculations_1[Winning Team]),1,0)</f>
        <v>1</v>
      </c>
      <c r="AY53" s="12">
        <f>IF(NOT(Table354[[#This Row],[Win(1/0)]]),1,0)</f>
        <v>0</v>
      </c>
      <c r="AZ53" s="12" t="str">
        <f>IF(Table354[[#This Row],[Win(1/0)]]=1,"Win","Loss")</f>
        <v>Win</v>
      </c>
      <c r="BA53" s="12">
        <f>IF(Table354[[#This Row],[Team]]=_xlfn.XLOOKUP(Table354[[#This Row],[Match ID]],Calculations_1[Match ID],Calculations_1[Toss Winner]),1,0)</f>
        <v>0</v>
      </c>
      <c r="BB53" s="12">
        <f>Table354[[#This Row],[Win(1/0)]]*Table354[[#This Row],[Toss Won (1/0)]]</f>
        <v>0</v>
      </c>
      <c r="BC53" s="12" t="str" cm="1">
        <f t="array" ref="BC53">_xlfn.XLOOKUP(Table354[[#This Row],[Match ID]],Calculations_1[Match ID],Calculations_1[Toss Decision],NA,0)</f>
        <v>Bat</v>
      </c>
    </row>
    <row r="54" spans="1:55" x14ac:dyDescent="0.3">
      <c r="AA54" s="12">
        <v>27</v>
      </c>
      <c r="AB54" s="22">
        <v>45227</v>
      </c>
      <c r="AC54" s="12" t="s">
        <v>84</v>
      </c>
      <c r="AD54" s="12" t="s">
        <v>200</v>
      </c>
      <c r="AE54" s="12" t="s">
        <v>64</v>
      </c>
      <c r="AF54" s="12" t="s">
        <v>65</v>
      </c>
      <c r="AG54" s="12" t="s">
        <v>202</v>
      </c>
      <c r="AH54" s="12" t="s">
        <v>203</v>
      </c>
      <c r="AI54" s="12">
        <v>388</v>
      </c>
      <c r="AJ54" s="32" cm="1">
        <f t="array" ref="AJ54">_xlfn.XLOOKUP(
1,
(Table354[Match ID]=Table354[[#This Row],[Match ID]])*
(Table354[Team]=Table354[[#This Row],[Opponent]]),
Table354[Wickets Lost (batting)]
)</f>
        <v>9</v>
      </c>
      <c r="AK54" s="12">
        <v>10</v>
      </c>
      <c r="AL54" s="12">
        <v>49.2</v>
      </c>
      <c r="AM54" s="12">
        <v>0</v>
      </c>
      <c r="AN54" s="12">
        <v>32</v>
      </c>
      <c r="AO54" s="12">
        <v>20</v>
      </c>
      <c r="AP54" s="12">
        <v>52</v>
      </c>
      <c r="AQ54" s="12">
        <v>7.86</v>
      </c>
      <c r="AR54" s="12" t="str">
        <f>_xlfn.XLOOKUP(Table354[[#This Row],[Match ID]],Calculations_1[Match ID],Calculations_1[Winning Team])</f>
        <v>Australia</v>
      </c>
      <c r="AS54" s="12">
        <v>0</v>
      </c>
      <c r="AT54" s="12">
        <v>22</v>
      </c>
      <c r="AU54" s="12">
        <v>0</v>
      </c>
      <c r="AV54" s="12">
        <v>26</v>
      </c>
      <c r="AW54" s="12">
        <f>1</f>
        <v>1</v>
      </c>
      <c r="AX54" s="12">
        <f>IF(Table354[[#This Row],[Team]]=_xlfn.XLOOKUP(Table354[[#This Row],[Match ID]],Calculations_1[Match ID],Calculations_1[Winning Team]),1,0)</f>
        <v>1</v>
      </c>
      <c r="AY54" s="12">
        <f>IF(NOT(Table354[[#This Row],[Win(1/0)]]),1,0)</f>
        <v>0</v>
      </c>
      <c r="AZ54" s="12" t="str">
        <f>IF(Table354[[#This Row],[Win(1/0)]]=1,"Win","Loss")</f>
        <v>Win</v>
      </c>
      <c r="BA54" s="12">
        <f>IF(Table354[[#This Row],[Team]]=_xlfn.XLOOKUP(Table354[[#This Row],[Match ID]],Calculations_1[Match ID],Calculations_1[Toss Winner]),1,0)</f>
        <v>0</v>
      </c>
      <c r="BB54" s="12">
        <f>Table354[[#This Row],[Win(1/0)]]*Table354[[#This Row],[Toss Won (1/0)]]</f>
        <v>0</v>
      </c>
      <c r="BC54" s="12" t="str" cm="1">
        <f t="array" ref="BC54">_xlfn.XLOOKUP(Table354[[#This Row],[Match ID]],Calculations_1[Match ID],Calculations_1[Toss Decision],NA,0)</f>
        <v>Field</v>
      </c>
    </row>
    <row r="55" spans="1:55" x14ac:dyDescent="0.3">
      <c r="AA55" s="12">
        <v>27</v>
      </c>
      <c r="AB55" s="22">
        <v>45227</v>
      </c>
      <c r="AC55" s="12" t="s">
        <v>200</v>
      </c>
      <c r="AD55" s="12" t="s">
        <v>84</v>
      </c>
      <c r="AE55" s="12" t="s">
        <v>64</v>
      </c>
      <c r="AF55" s="12" t="s">
        <v>65</v>
      </c>
      <c r="AG55" s="12" t="s">
        <v>202</v>
      </c>
      <c r="AH55" s="12" t="s">
        <v>203</v>
      </c>
      <c r="AI55" s="12">
        <v>383</v>
      </c>
      <c r="AJ55" s="32" cm="1">
        <f t="array" ref="AJ55">_xlfn.XLOOKUP(
1,
(Table354[Match ID]=Table354[[#This Row],[Match ID]])*
(Table354[Team]=Table354[[#This Row],[Opponent]]),
Table354[Wickets Lost (batting)]
)</f>
        <v>10</v>
      </c>
      <c r="AK55" s="12">
        <v>9</v>
      </c>
      <c r="AL55" s="12">
        <v>50</v>
      </c>
      <c r="AM55" s="12">
        <v>0</v>
      </c>
      <c r="AN55" s="12">
        <v>33</v>
      </c>
      <c r="AO55" s="12">
        <v>12</v>
      </c>
      <c r="AP55" s="12">
        <v>45</v>
      </c>
      <c r="AQ55" s="12">
        <v>7.66</v>
      </c>
      <c r="AR55" s="12" t="str">
        <f>_xlfn.XLOOKUP(Table354[[#This Row],[Match ID]],Calculations_1[Match ID],Calculations_1[Winning Team])</f>
        <v>Australia</v>
      </c>
      <c r="AS55" s="12">
        <v>1</v>
      </c>
      <c r="AT55" s="12">
        <v>6</v>
      </c>
      <c r="AU55" s="12">
        <v>2</v>
      </c>
      <c r="AV55" s="12">
        <v>9</v>
      </c>
      <c r="AW55" s="12">
        <f>1</f>
        <v>1</v>
      </c>
      <c r="AX55" s="12">
        <f>IF(Table354[[#This Row],[Team]]=_xlfn.XLOOKUP(Table354[[#This Row],[Match ID]],Calculations_1[Match ID],Calculations_1[Winning Team]),1,0)</f>
        <v>0</v>
      </c>
      <c r="AY55" s="12">
        <f>IF(NOT(Table354[[#This Row],[Win(1/0)]]),1,0)</f>
        <v>1</v>
      </c>
      <c r="AZ55" s="12" t="str">
        <f>IF(Table354[[#This Row],[Win(1/0)]]=1,"Win","Loss")</f>
        <v>Loss</v>
      </c>
      <c r="BA55" s="12">
        <f>IF(Table354[[#This Row],[Team]]=_xlfn.XLOOKUP(Table354[[#This Row],[Match ID]],Calculations_1[Match ID],Calculations_1[Toss Winner]),1,0)</f>
        <v>1</v>
      </c>
      <c r="BB55" s="12">
        <f>Table354[[#This Row],[Win(1/0)]]*Table354[[#This Row],[Toss Won (1/0)]]</f>
        <v>0</v>
      </c>
      <c r="BC55" s="12" t="str" cm="1">
        <f t="array" ref="BC55">_xlfn.XLOOKUP(Table354[[#This Row],[Match ID]],Calculations_1[Match ID],Calculations_1[Toss Decision],NA,0)</f>
        <v>Field</v>
      </c>
    </row>
    <row r="56" spans="1:55" x14ac:dyDescent="0.3">
      <c r="AA56" s="12">
        <v>28</v>
      </c>
      <c r="AB56" s="22">
        <v>45227</v>
      </c>
      <c r="AC56" s="12" t="s">
        <v>57</v>
      </c>
      <c r="AD56" s="12" t="s">
        <v>67</v>
      </c>
      <c r="AE56" s="12" t="s">
        <v>140</v>
      </c>
      <c r="AF56" s="12" t="s">
        <v>55</v>
      </c>
      <c r="AG56" s="12" t="s">
        <v>202</v>
      </c>
      <c r="AH56" s="12" t="s">
        <v>203</v>
      </c>
      <c r="AI56" s="12">
        <v>142</v>
      </c>
      <c r="AJ56" s="32" cm="1">
        <f t="array" ref="AJ56">_xlfn.XLOOKUP(
1,
(Table354[Match ID]=Table354[[#This Row],[Match ID]])*
(Table354[Team]=Table354[[#This Row],[Opponent]]),
Table354[Wickets Lost (batting)]
)</f>
        <v>10</v>
      </c>
      <c r="AK56" s="12">
        <v>10</v>
      </c>
      <c r="AL56" s="12">
        <v>42.2</v>
      </c>
      <c r="AM56" s="12">
        <v>5</v>
      </c>
      <c r="AN56" s="12">
        <v>22</v>
      </c>
      <c r="AO56" s="12">
        <v>2</v>
      </c>
      <c r="AP56" s="12">
        <v>24</v>
      </c>
      <c r="AQ56" s="12">
        <v>3.35</v>
      </c>
      <c r="AR56" s="12" t="str">
        <f>_xlfn.XLOOKUP(Table354[[#This Row],[Match ID]],Calculations_1[Match ID],Calculations_1[Winning Team])</f>
        <v>Netherlands</v>
      </c>
      <c r="AS56" s="12">
        <v>0</v>
      </c>
      <c r="AT56" s="12">
        <v>6</v>
      </c>
      <c r="AU56" s="12">
        <v>0</v>
      </c>
      <c r="AV56" s="12">
        <v>6</v>
      </c>
      <c r="AW56" s="12">
        <f>1</f>
        <v>1</v>
      </c>
      <c r="AX56" s="12">
        <f>IF(Table354[[#This Row],[Team]]=_xlfn.XLOOKUP(Table354[[#This Row],[Match ID]],Calculations_1[Match ID],Calculations_1[Winning Team]),1,0)</f>
        <v>1</v>
      </c>
      <c r="AY56" s="12">
        <f>IF(NOT(Table354[[#This Row],[Win(1/0)]]),1,0)</f>
        <v>0</v>
      </c>
      <c r="AZ56" s="12" t="str">
        <f>IF(Table354[[#This Row],[Win(1/0)]]=1,"Win","Loss")</f>
        <v>Win</v>
      </c>
      <c r="BA56" s="12">
        <f>IF(Table354[[#This Row],[Team]]=_xlfn.XLOOKUP(Table354[[#This Row],[Match ID]],Calculations_1[Match ID],Calculations_1[Toss Winner]),1,0)</f>
        <v>1</v>
      </c>
      <c r="BB56" s="12">
        <f>Table354[[#This Row],[Win(1/0)]]*Table354[[#This Row],[Toss Won (1/0)]]</f>
        <v>1</v>
      </c>
      <c r="BC56" s="12" t="str" cm="1">
        <f t="array" ref="BC56">_xlfn.XLOOKUP(Table354[[#This Row],[Match ID]],Calculations_1[Match ID],Calculations_1[Toss Decision],NA,0)</f>
        <v>Bat</v>
      </c>
    </row>
    <row r="57" spans="1:55" x14ac:dyDescent="0.3">
      <c r="AA57" s="12">
        <v>28</v>
      </c>
      <c r="AB57" s="22">
        <v>45227</v>
      </c>
      <c r="AC57" s="12" t="s">
        <v>67</v>
      </c>
      <c r="AD57" s="12" t="s">
        <v>57</v>
      </c>
      <c r="AE57" s="12" t="s">
        <v>140</v>
      </c>
      <c r="AF57" s="12" t="s">
        <v>55</v>
      </c>
      <c r="AG57" s="12" t="s">
        <v>202</v>
      </c>
      <c r="AH57" s="12" t="s">
        <v>203</v>
      </c>
      <c r="AI57" s="12">
        <v>229</v>
      </c>
      <c r="AJ57" s="32" cm="1">
        <f t="array" ref="AJ57">_xlfn.XLOOKUP(
1,
(Table354[Match ID]=Table354[[#This Row],[Match ID]])*
(Table354[Team]=Table354[[#This Row],[Opponent]]),
Table354[Wickets Lost (batting)]
)</f>
        <v>10</v>
      </c>
      <c r="AK57" s="12">
        <v>10</v>
      </c>
      <c r="AL57" s="12">
        <v>50</v>
      </c>
      <c r="AM57" s="12">
        <v>3</v>
      </c>
      <c r="AN57" s="12">
        <v>16</v>
      </c>
      <c r="AO57" s="12">
        <v>2</v>
      </c>
      <c r="AP57" s="12">
        <v>18</v>
      </c>
      <c r="AQ57" s="12">
        <v>4.58</v>
      </c>
      <c r="AR57" s="12" t="str">
        <f>_xlfn.XLOOKUP(Table354[[#This Row],[Match ID]],Calculations_1[Match ID],Calculations_1[Winning Team])</f>
        <v>Netherlands</v>
      </c>
      <c r="AS57" s="12">
        <v>4</v>
      </c>
      <c r="AT57" s="12">
        <v>7</v>
      </c>
      <c r="AU57" s="12">
        <v>0</v>
      </c>
      <c r="AV57" s="12">
        <v>12</v>
      </c>
      <c r="AW57" s="12">
        <f>1</f>
        <v>1</v>
      </c>
      <c r="AX57" s="12">
        <f>IF(Table354[[#This Row],[Team]]=_xlfn.XLOOKUP(Table354[[#This Row],[Match ID]],Calculations_1[Match ID],Calculations_1[Winning Team]),1,0)</f>
        <v>0</v>
      </c>
      <c r="AY57" s="12">
        <f>IF(NOT(Table354[[#This Row],[Win(1/0)]]),1,0)</f>
        <v>1</v>
      </c>
      <c r="AZ57" s="12" t="str">
        <f>IF(Table354[[#This Row],[Win(1/0)]]=1,"Win","Loss")</f>
        <v>Loss</v>
      </c>
      <c r="BA57" s="12">
        <f>IF(Table354[[#This Row],[Team]]=_xlfn.XLOOKUP(Table354[[#This Row],[Match ID]],Calculations_1[Match ID],Calculations_1[Toss Winner]),1,0)</f>
        <v>0</v>
      </c>
      <c r="BB57" s="12">
        <f>Table354[[#This Row],[Win(1/0)]]*Table354[[#This Row],[Toss Won (1/0)]]</f>
        <v>0</v>
      </c>
      <c r="BC57" s="12" t="str" cm="1">
        <f t="array" ref="BC57">_xlfn.XLOOKUP(Table354[[#This Row],[Match ID]],Calculations_1[Match ID],Calculations_1[Toss Decision],NA,0)</f>
        <v>Bat</v>
      </c>
    </row>
    <row r="58" spans="1:55" x14ac:dyDescent="0.3">
      <c r="AA58" s="12">
        <v>29</v>
      </c>
      <c r="AB58" s="22">
        <v>45228</v>
      </c>
      <c r="AC58" s="12" t="s">
        <v>85</v>
      </c>
      <c r="AD58" s="12" t="s">
        <v>45</v>
      </c>
      <c r="AE58" s="12" t="s">
        <v>103</v>
      </c>
      <c r="AF58" s="12" t="s">
        <v>104</v>
      </c>
      <c r="AG58" s="12" t="s">
        <v>202</v>
      </c>
      <c r="AH58" s="12" t="s">
        <v>203</v>
      </c>
      <c r="AI58" s="12">
        <v>229</v>
      </c>
      <c r="AJ58" s="32" cm="1">
        <f t="array" ref="AJ58">_xlfn.XLOOKUP(
1,
(Table354[Match ID]=Table354[[#This Row],[Match ID]])*
(Table354[Team]=Table354[[#This Row],[Opponent]]),
Table354[Wickets Lost (batting)]
)</f>
        <v>10</v>
      </c>
      <c r="AK58" s="12">
        <v>9</v>
      </c>
      <c r="AL58" s="12">
        <v>50</v>
      </c>
      <c r="AM58" s="12">
        <v>4</v>
      </c>
      <c r="AN58" s="12">
        <v>20</v>
      </c>
      <c r="AO58" s="12">
        <v>4</v>
      </c>
      <c r="AP58" s="12">
        <v>24</v>
      </c>
      <c r="AQ58" s="12">
        <v>4.58</v>
      </c>
      <c r="AR58" s="12" t="str">
        <f>_xlfn.XLOOKUP(Table354[[#This Row],[Match ID]],Calculations_1[Match ID],Calculations_1[Winning Team])</f>
        <v>India</v>
      </c>
      <c r="AS58" s="12">
        <v>0</v>
      </c>
      <c r="AT58" s="12">
        <v>6</v>
      </c>
      <c r="AU58" s="12">
        <v>0</v>
      </c>
      <c r="AV58" s="12">
        <v>8</v>
      </c>
      <c r="AW58" s="12">
        <f>1</f>
        <v>1</v>
      </c>
      <c r="AX58" s="12">
        <f>IF(Table354[[#This Row],[Team]]=_xlfn.XLOOKUP(Table354[[#This Row],[Match ID]],Calculations_1[Match ID],Calculations_1[Winning Team]),1,0)</f>
        <v>1</v>
      </c>
      <c r="AY58" s="12">
        <f>IF(NOT(Table354[[#This Row],[Win(1/0)]]),1,0)</f>
        <v>0</v>
      </c>
      <c r="AZ58" s="12" t="str">
        <f>IF(Table354[[#This Row],[Win(1/0)]]=1,"Win","Loss")</f>
        <v>Win</v>
      </c>
      <c r="BA58" s="12">
        <f>IF(Table354[[#This Row],[Team]]=_xlfn.XLOOKUP(Table354[[#This Row],[Match ID]],Calculations_1[Match ID],Calculations_1[Toss Winner]),1,0)</f>
        <v>0</v>
      </c>
      <c r="BB58" s="12">
        <f>Table354[[#This Row],[Win(1/0)]]*Table354[[#This Row],[Toss Won (1/0)]]</f>
        <v>0</v>
      </c>
      <c r="BC58" s="12" t="str" cm="1">
        <f t="array" ref="BC58">_xlfn.XLOOKUP(Table354[[#This Row],[Match ID]],Calculations_1[Match ID],Calculations_1[Toss Decision],NA,0)</f>
        <v>Field</v>
      </c>
    </row>
    <row r="59" spans="1:55" x14ac:dyDescent="0.3">
      <c r="AA59" s="12">
        <v>29</v>
      </c>
      <c r="AB59" s="22">
        <v>45228</v>
      </c>
      <c r="AC59" s="12" t="s">
        <v>45</v>
      </c>
      <c r="AD59" s="12" t="s">
        <v>85</v>
      </c>
      <c r="AE59" s="12" t="s">
        <v>103</v>
      </c>
      <c r="AF59" s="12" t="s">
        <v>104</v>
      </c>
      <c r="AG59" s="12" t="s">
        <v>202</v>
      </c>
      <c r="AH59" s="12" t="s">
        <v>203</v>
      </c>
      <c r="AI59" s="12">
        <v>129</v>
      </c>
      <c r="AJ59" s="32" cm="1">
        <f t="array" ref="AJ59">_xlfn.XLOOKUP(
1,
(Table354[Match ID]=Table354[[#This Row],[Match ID]])*
(Table354[Team]=Table354[[#This Row],[Opponent]]),
Table354[Wickets Lost (batting)]
)</f>
        <v>9</v>
      </c>
      <c r="AK59" s="12">
        <v>10</v>
      </c>
      <c r="AL59" s="12">
        <v>34.5</v>
      </c>
      <c r="AM59" s="12">
        <v>5</v>
      </c>
      <c r="AN59" s="12">
        <v>10</v>
      </c>
      <c r="AO59" s="12">
        <v>3</v>
      </c>
      <c r="AP59" s="12">
        <v>13</v>
      </c>
      <c r="AQ59" s="12">
        <v>3.7</v>
      </c>
      <c r="AR59" s="12" t="str">
        <f>_xlfn.XLOOKUP(Table354[[#This Row],[Match ID]],Calculations_1[Match ID],Calculations_1[Winning Team])</f>
        <v>India</v>
      </c>
      <c r="AS59" s="12">
        <v>4</v>
      </c>
      <c r="AT59" s="12">
        <v>3</v>
      </c>
      <c r="AU59" s="12">
        <v>0</v>
      </c>
      <c r="AV59" s="12">
        <v>7</v>
      </c>
      <c r="AW59" s="12">
        <f>1</f>
        <v>1</v>
      </c>
      <c r="AX59" s="12">
        <f>IF(Table354[[#This Row],[Team]]=_xlfn.XLOOKUP(Table354[[#This Row],[Match ID]],Calculations_1[Match ID],Calculations_1[Winning Team]),1,0)</f>
        <v>0</v>
      </c>
      <c r="AY59" s="12">
        <f>IF(NOT(Table354[[#This Row],[Win(1/0)]]),1,0)</f>
        <v>1</v>
      </c>
      <c r="AZ59" s="12" t="str">
        <f>IF(Table354[[#This Row],[Win(1/0)]]=1,"Win","Loss")</f>
        <v>Loss</v>
      </c>
      <c r="BA59" s="12">
        <f>IF(Table354[[#This Row],[Team]]=_xlfn.XLOOKUP(Table354[[#This Row],[Match ID]],Calculations_1[Match ID],Calculations_1[Toss Winner]),1,0)</f>
        <v>1</v>
      </c>
      <c r="BB59" s="12">
        <f>Table354[[#This Row],[Win(1/0)]]*Table354[[#This Row],[Toss Won (1/0)]]</f>
        <v>0</v>
      </c>
      <c r="BC59" s="12" t="str" cm="1">
        <f t="array" ref="BC59">_xlfn.XLOOKUP(Table354[[#This Row],[Match ID]],Calculations_1[Match ID],Calculations_1[Toss Decision],NA,0)</f>
        <v>Field</v>
      </c>
    </row>
    <row r="60" spans="1:55" x14ac:dyDescent="0.3">
      <c r="AA60" s="12">
        <v>30</v>
      </c>
      <c r="AB60" s="22">
        <v>45229</v>
      </c>
      <c r="AC60" s="12" t="s">
        <v>76</v>
      </c>
      <c r="AD60" s="12" t="s">
        <v>66</v>
      </c>
      <c r="AE60" s="12" t="s">
        <v>118</v>
      </c>
      <c r="AF60" s="12" t="s">
        <v>119</v>
      </c>
      <c r="AG60" s="12" t="s">
        <v>201</v>
      </c>
      <c r="AH60" s="12" t="s">
        <v>195</v>
      </c>
      <c r="AI60" s="12">
        <v>241</v>
      </c>
      <c r="AJ60" s="32" cm="1">
        <f t="array" ref="AJ60">_xlfn.XLOOKUP(
1,
(Table354[Match ID]=Table354[[#This Row],[Match ID]])*
(Table354[Team]=Table354[[#This Row],[Opponent]]),
Table354[Wickets Lost (batting)]
)</f>
        <v>3</v>
      </c>
      <c r="AK60" s="12">
        <v>10</v>
      </c>
      <c r="AL60" s="12">
        <v>49.3</v>
      </c>
      <c r="AM60" s="12">
        <v>0</v>
      </c>
      <c r="AN60" s="12">
        <v>19</v>
      </c>
      <c r="AO60" s="12">
        <v>2</v>
      </c>
      <c r="AP60" s="12">
        <v>21</v>
      </c>
      <c r="AQ60" s="12">
        <v>4.8600000000000003</v>
      </c>
      <c r="AR60" s="12" t="str">
        <f>_xlfn.XLOOKUP(Table354[[#This Row],[Match ID]],Calculations_1[Match ID],Calculations_1[Winning Team])</f>
        <v>Afghanistan</v>
      </c>
      <c r="AS60" s="12">
        <v>0</v>
      </c>
      <c r="AT60" s="12">
        <v>9</v>
      </c>
      <c r="AU60" s="12">
        <v>0</v>
      </c>
      <c r="AV60" s="12">
        <v>10</v>
      </c>
      <c r="AW60" s="12">
        <f>1</f>
        <v>1</v>
      </c>
      <c r="AX60" s="12">
        <f>IF(Table354[[#This Row],[Team]]=_xlfn.XLOOKUP(Table354[[#This Row],[Match ID]],Calculations_1[Match ID],Calculations_1[Winning Team]),1,0)</f>
        <v>0</v>
      </c>
      <c r="AY60" s="12">
        <f>IF(NOT(Table354[[#This Row],[Win(1/0)]]),1,0)</f>
        <v>1</v>
      </c>
      <c r="AZ60" s="12" t="str">
        <f>IF(Table354[[#This Row],[Win(1/0)]]=1,"Win","Loss")</f>
        <v>Loss</v>
      </c>
      <c r="BA60" s="12">
        <f>IF(Table354[[#This Row],[Team]]=_xlfn.XLOOKUP(Table354[[#This Row],[Match ID]],Calculations_1[Match ID],Calculations_1[Toss Winner]),1,0)</f>
        <v>0</v>
      </c>
      <c r="BB60" s="12">
        <f>Table354[[#This Row],[Win(1/0)]]*Table354[[#This Row],[Toss Won (1/0)]]</f>
        <v>0</v>
      </c>
      <c r="BC60" s="12" t="str" cm="1">
        <f t="array" ref="BC60">_xlfn.XLOOKUP(Table354[[#This Row],[Match ID]],Calculations_1[Match ID],Calculations_1[Toss Decision],NA,0)</f>
        <v>Field</v>
      </c>
    </row>
    <row r="61" spans="1:55" x14ac:dyDescent="0.3">
      <c r="AA61" s="12">
        <v>30</v>
      </c>
      <c r="AB61" s="22">
        <v>45229</v>
      </c>
      <c r="AC61" s="12" t="s">
        <v>66</v>
      </c>
      <c r="AD61" s="12" t="s">
        <v>76</v>
      </c>
      <c r="AE61" s="12" t="s">
        <v>118</v>
      </c>
      <c r="AF61" s="12" t="s">
        <v>119</v>
      </c>
      <c r="AG61" s="12" t="s">
        <v>201</v>
      </c>
      <c r="AH61" s="12" t="s">
        <v>195</v>
      </c>
      <c r="AI61" s="12">
        <v>242</v>
      </c>
      <c r="AJ61" s="32" cm="1">
        <f t="array" ref="AJ61">_xlfn.XLOOKUP(
1,
(Table354[Match ID]=Table354[[#This Row],[Match ID]])*
(Table354[Team]=Table354[[#This Row],[Opponent]]),
Table354[Wickets Lost (batting)]
)</f>
        <v>10</v>
      </c>
      <c r="AK61" s="12">
        <v>3</v>
      </c>
      <c r="AL61" s="12">
        <v>45.2</v>
      </c>
      <c r="AM61" s="12">
        <v>1</v>
      </c>
      <c r="AN61" s="12">
        <v>19</v>
      </c>
      <c r="AO61" s="12">
        <v>5</v>
      </c>
      <c r="AP61" s="12">
        <v>24</v>
      </c>
      <c r="AQ61" s="12">
        <v>5.33</v>
      </c>
      <c r="AR61" s="12" t="str">
        <f>_xlfn.XLOOKUP(Table354[[#This Row],[Match ID]],Calculations_1[Match ID],Calculations_1[Winning Team])</f>
        <v>Afghanistan</v>
      </c>
      <c r="AS61" s="12">
        <v>0</v>
      </c>
      <c r="AT61" s="12">
        <v>9</v>
      </c>
      <c r="AU61" s="12">
        <v>0</v>
      </c>
      <c r="AV61" s="12">
        <v>11</v>
      </c>
      <c r="AW61" s="12">
        <f>1</f>
        <v>1</v>
      </c>
      <c r="AX61" s="12">
        <f>IF(Table354[[#This Row],[Team]]=_xlfn.XLOOKUP(Table354[[#This Row],[Match ID]],Calculations_1[Match ID],Calculations_1[Winning Team]),1,0)</f>
        <v>1</v>
      </c>
      <c r="AY61" s="12">
        <f>IF(NOT(Table354[[#This Row],[Win(1/0)]]),1,0)</f>
        <v>0</v>
      </c>
      <c r="AZ61" s="12" t="str">
        <f>IF(Table354[[#This Row],[Win(1/0)]]=1,"Win","Loss")</f>
        <v>Win</v>
      </c>
      <c r="BA61" s="12">
        <f>IF(Table354[[#This Row],[Team]]=_xlfn.XLOOKUP(Table354[[#This Row],[Match ID]],Calculations_1[Match ID],Calculations_1[Toss Winner]),1,0)</f>
        <v>1</v>
      </c>
      <c r="BB61" s="12">
        <f>Table354[[#This Row],[Win(1/0)]]*Table354[[#This Row],[Toss Won (1/0)]]</f>
        <v>1</v>
      </c>
      <c r="BC61" s="12" t="str" cm="1">
        <f t="array" ref="BC61">_xlfn.XLOOKUP(Table354[[#This Row],[Match ID]],Calculations_1[Match ID],Calculations_1[Toss Decision],NA,0)</f>
        <v>Field</v>
      </c>
    </row>
    <row r="62" spans="1:55" x14ac:dyDescent="0.3">
      <c r="AA62" s="12">
        <v>31</v>
      </c>
      <c r="AB62" s="22">
        <v>45230</v>
      </c>
      <c r="AC62" s="12" t="s">
        <v>67</v>
      </c>
      <c r="AD62" s="12" t="s">
        <v>56</v>
      </c>
      <c r="AE62" s="12" t="s">
        <v>140</v>
      </c>
      <c r="AF62" s="12" t="s">
        <v>55</v>
      </c>
      <c r="AG62" s="12" t="s">
        <v>201</v>
      </c>
      <c r="AH62" s="12" t="s">
        <v>195</v>
      </c>
      <c r="AI62" s="12">
        <v>205</v>
      </c>
      <c r="AJ62" s="32" cm="1">
        <f t="array" ref="AJ62">_xlfn.XLOOKUP(
1,
(Table354[Match ID]=Table354[[#This Row],[Match ID]])*
(Table354[Team]=Table354[[#This Row],[Opponent]]),
Table354[Wickets Lost (batting)]
)</f>
        <v>10</v>
      </c>
      <c r="AK62" s="12">
        <v>3</v>
      </c>
      <c r="AL62" s="12">
        <v>32.299999999999997</v>
      </c>
      <c r="AM62" s="12">
        <v>2</v>
      </c>
      <c r="AN62" s="12">
        <v>19</v>
      </c>
      <c r="AO62" s="12">
        <v>3</v>
      </c>
      <c r="AP62" s="12">
        <v>22</v>
      </c>
      <c r="AQ62" s="12">
        <v>6.3</v>
      </c>
      <c r="AR62" s="12" t="str">
        <f>_xlfn.XLOOKUP(Table354[[#This Row],[Match ID]],Calculations_1[Match ID],Calculations_1[Winning Team])</f>
        <v>Pakistan</v>
      </c>
      <c r="AS62" s="12">
        <v>0</v>
      </c>
      <c r="AT62" s="12">
        <v>2</v>
      </c>
      <c r="AU62" s="12">
        <v>0</v>
      </c>
      <c r="AV62" s="12">
        <v>4</v>
      </c>
      <c r="AW62" s="12">
        <f>1</f>
        <v>1</v>
      </c>
      <c r="AX62" s="12">
        <f>IF(Table354[[#This Row],[Team]]=_xlfn.XLOOKUP(Table354[[#This Row],[Match ID]],Calculations_1[Match ID],Calculations_1[Winning Team]),1,0)</f>
        <v>0</v>
      </c>
      <c r="AY62" s="12">
        <f>IF(NOT(Table354[[#This Row],[Win(1/0)]]),1,0)</f>
        <v>1</v>
      </c>
      <c r="AZ62" s="12" t="str">
        <f>IF(Table354[[#This Row],[Win(1/0)]]=1,"Win","Loss")</f>
        <v>Loss</v>
      </c>
      <c r="BA62" s="12">
        <f>IF(Table354[[#This Row],[Team]]=_xlfn.XLOOKUP(Table354[[#This Row],[Match ID]],Calculations_1[Match ID],Calculations_1[Toss Winner]),1,0)</f>
        <v>1</v>
      </c>
      <c r="BB62" s="12">
        <f>Table354[[#This Row],[Win(1/0)]]*Table354[[#This Row],[Toss Won (1/0)]]</f>
        <v>0</v>
      </c>
      <c r="BC62" s="12" t="str" cm="1">
        <f t="array" ref="BC62">_xlfn.XLOOKUP(Table354[[#This Row],[Match ID]],Calculations_1[Match ID],Calculations_1[Toss Decision],NA,0)</f>
        <v>Bat</v>
      </c>
    </row>
    <row r="63" spans="1:55" x14ac:dyDescent="0.3">
      <c r="AA63" s="12">
        <v>31</v>
      </c>
      <c r="AB63" s="22">
        <v>45230</v>
      </c>
      <c r="AC63" s="12" t="s">
        <v>56</v>
      </c>
      <c r="AD63" s="12" t="s">
        <v>67</v>
      </c>
      <c r="AE63" s="12" t="s">
        <v>140</v>
      </c>
      <c r="AF63" s="12" t="s">
        <v>55</v>
      </c>
      <c r="AG63" s="12" t="s">
        <v>201</v>
      </c>
      <c r="AH63" s="12" t="s">
        <v>195</v>
      </c>
      <c r="AI63" s="12">
        <v>204</v>
      </c>
      <c r="AJ63" s="32" cm="1">
        <f t="array" ref="AJ63">_xlfn.XLOOKUP(
1,
(Table354[Match ID]=Table354[[#This Row],[Match ID]])*
(Table354[Team]=Table354[[#This Row],[Opponent]]),
Table354[Wickets Lost (batting)]
)</f>
        <v>3</v>
      </c>
      <c r="AK63" s="12">
        <v>10</v>
      </c>
      <c r="AL63" s="12">
        <v>45.1</v>
      </c>
      <c r="AM63" s="12">
        <v>2</v>
      </c>
      <c r="AN63" s="12">
        <v>19</v>
      </c>
      <c r="AO63" s="12">
        <v>9</v>
      </c>
      <c r="AP63" s="12">
        <v>28</v>
      </c>
      <c r="AQ63" s="12">
        <v>4.51</v>
      </c>
      <c r="AR63" s="12" t="str">
        <f>_xlfn.XLOOKUP(Table354[[#This Row],[Match ID]],Calculations_1[Match ID],Calculations_1[Winning Team])</f>
        <v>Pakistan</v>
      </c>
      <c r="AS63" s="12">
        <v>0</v>
      </c>
      <c r="AT63" s="12">
        <v>5</v>
      </c>
      <c r="AU63" s="12">
        <v>0</v>
      </c>
      <c r="AV63" s="12">
        <v>9</v>
      </c>
      <c r="AW63" s="12">
        <f>1</f>
        <v>1</v>
      </c>
      <c r="AX63" s="12">
        <f>IF(Table354[[#This Row],[Team]]=_xlfn.XLOOKUP(Table354[[#This Row],[Match ID]],Calculations_1[Match ID],Calculations_1[Winning Team]),1,0)</f>
        <v>1</v>
      </c>
      <c r="AY63" s="12">
        <f>IF(NOT(Table354[[#This Row],[Win(1/0)]]),1,0)</f>
        <v>0</v>
      </c>
      <c r="AZ63" s="12" t="str">
        <f>IF(Table354[[#This Row],[Win(1/0)]]=1,"Win","Loss")</f>
        <v>Win</v>
      </c>
      <c r="BA63" s="12">
        <f>IF(Table354[[#This Row],[Team]]=_xlfn.XLOOKUP(Table354[[#This Row],[Match ID]],Calculations_1[Match ID],Calculations_1[Toss Winner]),1,0)</f>
        <v>0</v>
      </c>
      <c r="BB63" s="12">
        <f>Table354[[#This Row],[Win(1/0)]]*Table354[[#This Row],[Toss Won (1/0)]]</f>
        <v>0</v>
      </c>
      <c r="BC63" s="12" t="str" cm="1">
        <f t="array" ref="BC63">_xlfn.XLOOKUP(Table354[[#This Row],[Match ID]],Calculations_1[Match ID],Calculations_1[Toss Decision],NA,0)</f>
        <v>Bat</v>
      </c>
    </row>
    <row r="64" spans="1:55" x14ac:dyDescent="0.3">
      <c r="AA64" s="12">
        <v>32</v>
      </c>
      <c r="AB64" s="22">
        <v>45231</v>
      </c>
      <c r="AC64" s="12" t="s">
        <v>75</v>
      </c>
      <c r="AD64" s="12" t="s">
        <v>200</v>
      </c>
      <c r="AE64" s="12" t="s">
        <v>118</v>
      </c>
      <c r="AF64" s="12" t="s">
        <v>119</v>
      </c>
      <c r="AG64" s="12" t="s">
        <v>202</v>
      </c>
      <c r="AH64" s="12" t="s">
        <v>203</v>
      </c>
      <c r="AI64" s="12">
        <v>357</v>
      </c>
      <c r="AJ64" s="32" cm="1">
        <f t="array" ref="AJ64">_xlfn.XLOOKUP(
1,
(Table354[Match ID]=Table354[[#This Row],[Match ID]])*
(Table354[Team]=Table354[[#This Row],[Opponent]]),
Table354[Wickets Lost (batting)]
)</f>
        <v>10</v>
      </c>
      <c r="AK64" s="12">
        <v>4</v>
      </c>
      <c r="AL64" s="12">
        <v>50</v>
      </c>
      <c r="AM64" s="12">
        <v>4</v>
      </c>
      <c r="AN64" s="12">
        <v>26</v>
      </c>
      <c r="AO64" s="12">
        <v>15</v>
      </c>
      <c r="AP64" s="12">
        <v>41</v>
      </c>
      <c r="AQ64" s="12">
        <v>7.14</v>
      </c>
      <c r="AR64" s="12" t="str">
        <f>_xlfn.XLOOKUP(Table354[[#This Row],[Match ID]],Calculations_1[Match ID],Calculations_1[Winning Team])</f>
        <v>South Africa</v>
      </c>
      <c r="AS64" s="12">
        <v>4</v>
      </c>
      <c r="AT64" s="12">
        <v>6</v>
      </c>
      <c r="AU64" s="12">
        <v>1</v>
      </c>
      <c r="AV64" s="12">
        <v>12</v>
      </c>
      <c r="AW64" s="12">
        <f>1</f>
        <v>1</v>
      </c>
      <c r="AX64" s="12">
        <f>IF(Table354[[#This Row],[Team]]=_xlfn.XLOOKUP(Table354[[#This Row],[Match ID]],Calculations_1[Match ID],Calculations_1[Winning Team]),1,0)</f>
        <v>1</v>
      </c>
      <c r="AY64" s="12">
        <f>IF(NOT(Table354[[#This Row],[Win(1/0)]]),1,0)</f>
        <v>0</v>
      </c>
      <c r="AZ64" s="12" t="str">
        <f>IF(Table354[[#This Row],[Win(1/0)]]=1,"Win","Loss")</f>
        <v>Win</v>
      </c>
      <c r="BA64" s="12">
        <f>IF(Table354[[#This Row],[Team]]=_xlfn.XLOOKUP(Table354[[#This Row],[Match ID]],Calculations_1[Match ID],Calculations_1[Toss Winner]),1,0)</f>
        <v>0</v>
      </c>
      <c r="BB64" s="12">
        <f>Table354[[#This Row],[Win(1/0)]]*Table354[[#This Row],[Toss Won (1/0)]]</f>
        <v>0</v>
      </c>
      <c r="BC64" s="12" t="str" cm="1">
        <f t="array" ref="BC64">_xlfn.XLOOKUP(Table354[[#This Row],[Match ID]],Calculations_1[Match ID],Calculations_1[Toss Decision],NA,0)</f>
        <v>Field</v>
      </c>
    </row>
    <row r="65" spans="27:55" x14ac:dyDescent="0.3">
      <c r="AA65" s="12">
        <v>32</v>
      </c>
      <c r="AB65" s="22">
        <v>45231</v>
      </c>
      <c r="AC65" s="12" t="s">
        <v>200</v>
      </c>
      <c r="AD65" s="12" t="s">
        <v>75</v>
      </c>
      <c r="AE65" s="12" t="s">
        <v>118</v>
      </c>
      <c r="AF65" s="12" t="s">
        <v>119</v>
      </c>
      <c r="AG65" s="12" t="s">
        <v>202</v>
      </c>
      <c r="AH65" s="12" t="s">
        <v>203</v>
      </c>
      <c r="AI65" s="12">
        <v>167</v>
      </c>
      <c r="AJ65" s="32" cm="1">
        <f t="array" ref="AJ65">_xlfn.XLOOKUP(
1,
(Table354[Match ID]=Table354[[#This Row],[Match ID]])*
(Table354[Team]=Table354[[#This Row],[Opponent]]),
Table354[Wickets Lost (batting)]
)</f>
        <v>4</v>
      </c>
      <c r="AK65" s="12">
        <v>10</v>
      </c>
      <c r="AL65" s="12">
        <v>35.299999999999997</v>
      </c>
      <c r="AM65" s="12">
        <v>1</v>
      </c>
      <c r="AN65" s="12">
        <v>17</v>
      </c>
      <c r="AO65" s="12">
        <v>4</v>
      </c>
      <c r="AP65" s="12">
        <v>21</v>
      </c>
      <c r="AQ65" s="12">
        <v>4.7</v>
      </c>
      <c r="AR65" s="12" t="str">
        <f>_xlfn.XLOOKUP(Table354[[#This Row],[Match ID]],Calculations_1[Match ID],Calculations_1[Winning Team])</f>
        <v>South Africa</v>
      </c>
      <c r="AS65" s="12">
        <v>0</v>
      </c>
      <c r="AT65" s="12">
        <v>8</v>
      </c>
      <c r="AU65" s="12">
        <v>0</v>
      </c>
      <c r="AV65" s="12">
        <v>12</v>
      </c>
      <c r="AW65" s="12">
        <f>1</f>
        <v>1</v>
      </c>
      <c r="AX65" s="12">
        <f>IF(Table354[[#This Row],[Team]]=_xlfn.XLOOKUP(Table354[[#This Row],[Match ID]],Calculations_1[Match ID],Calculations_1[Winning Team]),1,0)</f>
        <v>0</v>
      </c>
      <c r="AY65" s="12">
        <f>IF(NOT(Table354[[#This Row],[Win(1/0)]]),1,0)</f>
        <v>1</v>
      </c>
      <c r="AZ65" s="12" t="str">
        <f>IF(Table354[[#This Row],[Win(1/0)]]=1,"Win","Loss")</f>
        <v>Loss</v>
      </c>
      <c r="BA65" s="12">
        <f>IF(Table354[[#This Row],[Team]]=_xlfn.XLOOKUP(Table354[[#This Row],[Match ID]],Calculations_1[Match ID],Calculations_1[Toss Winner]),1,0)</f>
        <v>1</v>
      </c>
      <c r="BB65" s="12">
        <f>Table354[[#This Row],[Win(1/0)]]*Table354[[#This Row],[Toss Won (1/0)]]</f>
        <v>0</v>
      </c>
      <c r="BC65" s="12" t="str" cm="1">
        <f t="array" ref="BC65">_xlfn.XLOOKUP(Table354[[#This Row],[Match ID]],Calculations_1[Match ID],Calculations_1[Toss Decision],NA,0)</f>
        <v>Field</v>
      </c>
    </row>
    <row r="66" spans="27:55" x14ac:dyDescent="0.3">
      <c r="AA66" s="12">
        <v>33</v>
      </c>
      <c r="AB66" s="22">
        <v>45232</v>
      </c>
      <c r="AC66" s="12" t="s">
        <v>85</v>
      </c>
      <c r="AD66" s="12" t="s">
        <v>76</v>
      </c>
      <c r="AE66" s="12" t="s">
        <v>126</v>
      </c>
      <c r="AF66" s="12" t="s">
        <v>127</v>
      </c>
      <c r="AG66" s="12" t="s">
        <v>202</v>
      </c>
      <c r="AH66" s="12" t="s">
        <v>203</v>
      </c>
      <c r="AI66" s="12">
        <v>357</v>
      </c>
      <c r="AJ66" s="32" cm="1">
        <f t="array" ref="AJ66">_xlfn.XLOOKUP(
1,
(Table354[Match ID]=Table354[[#This Row],[Match ID]])*
(Table354[Team]=Table354[[#This Row],[Opponent]]),
Table354[Wickets Lost (batting)]
)</f>
        <v>10</v>
      </c>
      <c r="AK66" s="12">
        <v>8</v>
      </c>
      <c r="AL66" s="12">
        <v>50</v>
      </c>
      <c r="AM66" s="12">
        <v>4</v>
      </c>
      <c r="AN66" s="12">
        <v>31</v>
      </c>
      <c r="AO66" s="12">
        <v>9</v>
      </c>
      <c r="AP66" s="12">
        <v>40</v>
      </c>
      <c r="AQ66" s="12">
        <v>7.14</v>
      </c>
      <c r="AR66" s="12" t="str">
        <f>_xlfn.XLOOKUP(Table354[[#This Row],[Match ID]],Calculations_1[Match ID],Calculations_1[Winning Team])</f>
        <v>India</v>
      </c>
      <c r="AS66" s="12">
        <v>5</v>
      </c>
      <c r="AT66" s="12">
        <v>4</v>
      </c>
      <c r="AU66" s="12">
        <v>0</v>
      </c>
      <c r="AV66" s="12">
        <v>10</v>
      </c>
      <c r="AW66" s="12">
        <f>1</f>
        <v>1</v>
      </c>
      <c r="AX66" s="12">
        <f>IF(Table354[[#This Row],[Team]]=_xlfn.XLOOKUP(Table354[[#This Row],[Match ID]],Calculations_1[Match ID],Calculations_1[Winning Team]),1,0)</f>
        <v>1</v>
      </c>
      <c r="AY66" s="12">
        <f>IF(NOT(Table354[[#This Row],[Win(1/0)]]),1,0)</f>
        <v>0</v>
      </c>
      <c r="AZ66" s="12" t="str">
        <f>IF(Table354[[#This Row],[Win(1/0)]]=1,"Win","Loss")</f>
        <v>Win</v>
      </c>
      <c r="BA66" s="12">
        <f>IF(Table354[[#This Row],[Team]]=_xlfn.XLOOKUP(Table354[[#This Row],[Match ID]],Calculations_1[Match ID],Calculations_1[Toss Winner]),1,0)</f>
        <v>0</v>
      </c>
      <c r="BB66" s="12">
        <f>Table354[[#This Row],[Win(1/0)]]*Table354[[#This Row],[Toss Won (1/0)]]</f>
        <v>0</v>
      </c>
      <c r="BC66" s="12" t="str" cm="1">
        <f t="array" ref="BC66">_xlfn.XLOOKUP(Table354[[#This Row],[Match ID]],Calculations_1[Match ID],Calculations_1[Toss Decision],NA,0)</f>
        <v>Field</v>
      </c>
    </row>
    <row r="67" spans="27:55" x14ac:dyDescent="0.3">
      <c r="AA67" s="12">
        <v>33</v>
      </c>
      <c r="AB67" s="22">
        <v>45232</v>
      </c>
      <c r="AC67" s="12" t="s">
        <v>76</v>
      </c>
      <c r="AD67" s="12" t="s">
        <v>85</v>
      </c>
      <c r="AE67" s="12" t="s">
        <v>126</v>
      </c>
      <c r="AF67" s="12" t="s">
        <v>127</v>
      </c>
      <c r="AG67" s="12" t="s">
        <v>202</v>
      </c>
      <c r="AH67" s="12" t="s">
        <v>203</v>
      </c>
      <c r="AI67" s="12">
        <v>55</v>
      </c>
      <c r="AJ67" s="32" cm="1">
        <f t="array" ref="AJ67">_xlfn.XLOOKUP(
1,
(Table354[Match ID]=Table354[[#This Row],[Match ID]])*
(Table354[Team]=Table354[[#This Row],[Opponent]]),
Table354[Wickets Lost (batting)]
)</f>
        <v>8</v>
      </c>
      <c r="AK67" s="12">
        <v>10</v>
      </c>
      <c r="AL67" s="12">
        <v>19.399999999999999</v>
      </c>
      <c r="AM67" s="12">
        <v>2</v>
      </c>
      <c r="AN67" s="12">
        <v>6</v>
      </c>
      <c r="AO67" s="12">
        <v>0</v>
      </c>
      <c r="AP67" s="12">
        <v>6</v>
      </c>
      <c r="AQ67" s="12">
        <v>2.79</v>
      </c>
      <c r="AR67" s="12" t="str">
        <f>_xlfn.XLOOKUP(Table354[[#This Row],[Match ID]],Calculations_1[Match ID],Calculations_1[Winning Team])</f>
        <v>India</v>
      </c>
      <c r="AS67" s="12">
        <v>5</v>
      </c>
      <c r="AT67" s="12">
        <v>8</v>
      </c>
      <c r="AU67" s="12">
        <v>1</v>
      </c>
      <c r="AV67" s="12">
        <v>20</v>
      </c>
      <c r="AW67" s="12">
        <f>1</f>
        <v>1</v>
      </c>
      <c r="AX67" s="12">
        <f>IF(Table354[[#This Row],[Team]]=_xlfn.XLOOKUP(Table354[[#This Row],[Match ID]],Calculations_1[Match ID],Calculations_1[Winning Team]),1,0)</f>
        <v>0</v>
      </c>
      <c r="AY67" s="12">
        <f>IF(NOT(Table354[[#This Row],[Win(1/0)]]),1,0)</f>
        <v>1</v>
      </c>
      <c r="AZ67" s="12" t="str">
        <f>IF(Table354[[#This Row],[Win(1/0)]]=1,"Win","Loss")</f>
        <v>Loss</v>
      </c>
      <c r="BA67" s="12">
        <f>IF(Table354[[#This Row],[Team]]=_xlfn.XLOOKUP(Table354[[#This Row],[Match ID]],Calculations_1[Match ID],Calculations_1[Toss Winner]),1,0)</f>
        <v>1</v>
      </c>
      <c r="BB67" s="12">
        <f>Table354[[#This Row],[Win(1/0)]]*Table354[[#This Row],[Toss Won (1/0)]]</f>
        <v>0</v>
      </c>
      <c r="BC67" s="12" t="str" cm="1">
        <f t="array" ref="BC67">_xlfn.XLOOKUP(Table354[[#This Row],[Match ID]],Calculations_1[Match ID],Calculations_1[Toss Decision],NA,0)</f>
        <v>Field</v>
      </c>
    </row>
    <row r="68" spans="27:55" x14ac:dyDescent="0.3">
      <c r="AA68" s="12">
        <v>34</v>
      </c>
      <c r="AB68" s="22">
        <v>45233</v>
      </c>
      <c r="AC68" s="12" t="s">
        <v>57</v>
      </c>
      <c r="AD68" s="12" t="s">
        <v>66</v>
      </c>
      <c r="AE68" s="12" t="s">
        <v>103</v>
      </c>
      <c r="AF68" s="12" t="s">
        <v>104</v>
      </c>
      <c r="AG68" s="12" t="s">
        <v>201</v>
      </c>
      <c r="AH68" s="12" t="s">
        <v>195</v>
      </c>
      <c r="AI68" s="12">
        <v>181</v>
      </c>
      <c r="AJ68" s="32" cm="1">
        <f t="array" ref="AJ68">_xlfn.XLOOKUP(
1,
(Table354[Match ID]=Table354[[#This Row],[Match ID]])*
(Table354[Team]=Table354[[#This Row],[Opponent]]),
Table354[Wickets Lost (batting)]
)</f>
        <v>10</v>
      </c>
      <c r="AK68" s="12">
        <v>3</v>
      </c>
      <c r="AL68" s="12">
        <v>31.3</v>
      </c>
      <c r="AM68" s="12">
        <v>0</v>
      </c>
      <c r="AN68" s="12">
        <v>19</v>
      </c>
      <c r="AO68" s="12">
        <v>0</v>
      </c>
      <c r="AP68" s="12">
        <v>19</v>
      </c>
      <c r="AQ68" s="12">
        <v>5.74</v>
      </c>
      <c r="AR68" s="12" t="str">
        <f>_xlfn.XLOOKUP(Table354[[#This Row],[Match ID]],Calculations_1[Match ID],Calculations_1[Winning Team])</f>
        <v>Afghanistan</v>
      </c>
      <c r="AS68" s="12">
        <v>0</v>
      </c>
      <c r="AT68" s="12">
        <v>7</v>
      </c>
      <c r="AU68" s="12">
        <v>2</v>
      </c>
      <c r="AV68" s="12">
        <v>12</v>
      </c>
      <c r="AW68" s="12">
        <f>1</f>
        <v>1</v>
      </c>
      <c r="AX68" s="12">
        <f>IF(Table354[[#This Row],[Team]]=_xlfn.XLOOKUP(Table354[[#This Row],[Match ID]],Calculations_1[Match ID],Calculations_1[Winning Team]),1,0)</f>
        <v>0</v>
      </c>
      <c r="AY68" s="12">
        <f>IF(NOT(Table354[[#This Row],[Win(1/0)]]),1,0)</f>
        <v>1</v>
      </c>
      <c r="AZ68" s="12" t="str">
        <f>IF(Table354[[#This Row],[Win(1/0)]]=1,"Win","Loss")</f>
        <v>Loss</v>
      </c>
      <c r="BA68" s="12">
        <f>IF(Table354[[#This Row],[Team]]=_xlfn.XLOOKUP(Table354[[#This Row],[Match ID]],Calculations_1[Match ID],Calculations_1[Toss Winner]),1,0)</f>
        <v>1</v>
      </c>
      <c r="BB68" s="12">
        <f>Table354[[#This Row],[Win(1/0)]]*Table354[[#This Row],[Toss Won (1/0)]]</f>
        <v>0</v>
      </c>
      <c r="BC68" s="12" t="str" cm="1">
        <f t="array" ref="BC68">_xlfn.XLOOKUP(Table354[[#This Row],[Match ID]],Calculations_1[Match ID],Calculations_1[Toss Decision],NA,0)</f>
        <v>Bat</v>
      </c>
    </row>
    <row r="69" spans="27:55" x14ac:dyDescent="0.3">
      <c r="AA69" s="12">
        <v>34</v>
      </c>
      <c r="AB69" s="22">
        <v>45233</v>
      </c>
      <c r="AC69" s="12" t="s">
        <v>66</v>
      </c>
      <c r="AD69" s="12" t="s">
        <v>57</v>
      </c>
      <c r="AE69" s="12" t="s">
        <v>103</v>
      </c>
      <c r="AF69" s="12" t="s">
        <v>104</v>
      </c>
      <c r="AG69" s="12" t="s">
        <v>201</v>
      </c>
      <c r="AH69" s="12" t="s">
        <v>195</v>
      </c>
      <c r="AI69" s="12">
        <v>179</v>
      </c>
      <c r="AJ69" s="32" cm="1">
        <f t="array" ref="AJ69">_xlfn.XLOOKUP(
1,
(Table354[Match ID]=Table354[[#This Row],[Match ID]])*
(Table354[Team]=Table354[[#This Row],[Opponent]]),
Table354[Wickets Lost (batting)]
)</f>
        <v>3</v>
      </c>
      <c r="AK69" s="12">
        <v>10</v>
      </c>
      <c r="AL69" s="12">
        <v>46.3</v>
      </c>
      <c r="AM69" s="12">
        <v>1</v>
      </c>
      <c r="AN69" s="12">
        <v>21</v>
      </c>
      <c r="AO69" s="12">
        <v>0</v>
      </c>
      <c r="AP69" s="12">
        <v>21</v>
      </c>
      <c r="AQ69" s="12">
        <v>3.84</v>
      </c>
      <c r="AR69" s="12" t="str">
        <f>_xlfn.XLOOKUP(Table354[[#This Row],[Match ID]],Calculations_1[Match ID],Calculations_1[Winning Team])</f>
        <v>Afghanistan</v>
      </c>
      <c r="AS69" s="12">
        <v>0</v>
      </c>
      <c r="AT69" s="12">
        <v>14</v>
      </c>
      <c r="AU69" s="12">
        <v>0</v>
      </c>
      <c r="AV69" s="12">
        <v>16</v>
      </c>
      <c r="AW69" s="12">
        <f>1</f>
        <v>1</v>
      </c>
      <c r="AX69" s="12">
        <f>IF(Table354[[#This Row],[Team]]=_xlfn.XLOOKUP(Table354[[#This Row],[Match ID]],Calculations_1[Match ID],Calculations_1[Winning Team]),1,0)</f>
        <v>1</v>
      </c>
      <c r="AY69" s="12">
        <f>IF(NOT(Table354[[#This Row],[Win(1/0)]]),1,0)</f>
        <v>0</v>
      </c>
      <c r="AZ69" s="12" t="str">
        <f>IF(Table354[[#This Row],[Win(1/0)]]=1,"Win","Loss")</f>
        <v>Win</v>
      </c>
      <c r="BA69" s="12">
        <f>IF(Table354[[#This Row],[Team]]=_xlfn.XLOOKUP(Table354[[#This Row],[Match ID]],Calculations_1[Match ID],Calculations_1[Toss Winner]),1,0)</f>
        <v>0</v>
      </c>
      <c r="BB69" s="12">
        <f>Table354[[#This Row],[Win(1/0)]]*Table354[[#This Row],[Toss Won (1/0)]]</f>
        <v>0</v>
      </c>
      <c r="BC69" s="12" t="str" cm="1">
        <f t="array" ref="BC69">_xlfn.XLOOKUP(Table354[[#This Row],[Match ID]],Calculations_1[Match ID],Calculations_1[Toss Decision],NA,0)</f>
        <v>Bat</v>
      </c>
    </row>
    <row r="70" spans="27:55" x14ac:dyDescent="0.3">
      <c r="AA70" s="12">
        <v>35</v>
      </c>
      <c r="AB70" s="22">
        <v>45234</v>
      </c>
      <c r="AC70" s="12" t="s">
        <v>200</v>
      </c>
      <c r="AD70" s="12" t="s">
        <v>56</v>
      </c>
      <c r="AE70" s="12" t="s">
        <v>121</v>
      </c>
      <c r="AF70" s="12" t="s">
        <v>122</v>
      </c>
      <c r="AG70" s="12" t="s">
        <v>204</v>
      </c>
      <c r="AH70" s="12" t="s">
        <v>205</v>
      </c>
      <c r="AI70" s="12">
        <v>401</v>
      </c>
      <c r="AJ70" s="32" cm="1">
        <f t="array" ref="AJ70">_xlfn.XLOOKUP(
1,
(Table354[Match ID]=Table354[[#This Row],[Match ID]])*
(Table354[Team]=Table354[[#This Row],[Opponent]]),
Table354[Wickets Lost (batting)]
)</f>
        <v>1</v>
      </c>
      <c r="AK70" s="12">
        <v>6</v>
      </c>
      <c r="AL70" s="12">
        <v>50</v>
      </c>
      <c r="AM70" s="12">
        <v>1</v>
      </c>
      <c r="AN70" s="12">
        <v>46</v>
      </c>
      <c r="AO70" s="12">
        <v>8</v>
      </c>
      <c r="AP70" s="12">
        <v>54</v>
      </c>
      <c r="AQ70" s="12">
        <v>8.02</v>
      </c>
      <c r="AR70" s="12" t="str">
        <f>_xlfn.XLOOKUP(Table354[[#This Row],[Match ID]],Calculations_1[Match ID],Calculations_1[Winning Team])</f>
        <v>Pakistan</v>
      </c>
      <c r="AS70" s="12">
        <v>0</v>
      </c>
      <c r="AT70" s="12">
        <v>3</v>
      </c>
      <c r="AU70" s="12">
        <v>0</v>
      </c>
      <c r="AV70" s="12">
        <v>4</v>
      </c>
      <c r="AW70" s="12">
        <f>1</f>
        <v>1</v>
      </c>
      <c r="AX70" s="12">
        <f>IF(Table354[[#This Row],[Team]]=_xlfn.XLOOKUP(Table354[[#This Row],[Match ID]],Calculations_1[Match ID],Calculations_1[Winning Team]),1,0)</f>
        <v>0</v>
      </c>
      <c r="AY70" s="12">
        <f>IF(NOT(Table354[[#This Row],[Win(1/0)]]),1,0)</f>
        <v>1</v>
      </c>
      <c r="AZ70" s="12" t="str">
        <f>IF(Table354[[#This Row],[Win(1/0)]]=1,"Win","Loss")</f>
        <v>Loss</v>
      </c>
      <c r="BA70" s="12">
        <f>IF(Table354[[#This Row],[Team]]=_xlfn.XLOOKUP(Table354[[#This Row],[Match ID]],Calculations_1[Match ID],Calculations_1[Toss Winner]),1,0)</f>
        <v>0</v>
      </c>
      <c r="BB70" s="12">
        <f>Table354[[#This Row],[Win(1/0)]]*Table354[[#This Row],[Toss Won (1/0)]]</f>
        <v>0</v>
      </c>
      <c r="BC70" s="12" t="str" cm="1">
        <f t="array" ref="BC70">_xlfn.XLOOKUP(Table354[[#This Row],[Match ID]],Calculations_1[Match ID],Calculations_1[Toss Decision],NA,0)</f>
        <v>Field</v>
      </c>
    </row>
    <row r="71" spans="27:55" x14ac:dyDescent="0.3">
      <c r="AA71" s="12">
        <v>35</v>
      </c>
      <c r="AB71" s="22">
        <v>45234</v>
      </c>
      <c r="AC71" s="12" t="s">
        <v>56</v>
      </c>
      <c r="AD71" s="12" t="s">
        <v>200</v>
      </c>
      <c r="AE71" s="12" t="s">
        <v>121</v>
      </c>
      <c r="AF71" s="12" t="s">
        <v>122</v>
      </c>
      <c r="AG71" s="12" t="s">
        <v>204</v>
      </c>
      <c r="AH71" s="12" t="s">
        <v>205</v>
      </c>
      <c r="AI71" s="12">
        <v>200</v>
      </c>
      <c r="AJ71" s="32" cm="1">
        <f t="array" ref="AJ71">_xlfn.XLOOKUP(
1,
(Table354[Match ID]=Table354[[#This Row],[Match ID]])*
(Table354[Team]=Table354[[#This Row],[Opponent]]),
Table354[Wickets Lost (batting)]
)</f>
        <v>6</v>
      </c>
      <c r="AK71" s="12">
        <v>1</v>
      </c>
      <c r="AL71" s="12">
        <v>25.3</v>
      </c>
      <c r="AM71" s="12">
        <v>0</v>
      </c>
      <c r="AN71" s="12">
        <v>15</v>
      </c>
      <c r="AO71" s="12">
        <v>13</v>
      </c>
      <c r="AP71" s="12">
        <v>28</v>
      </c>
      <c r="AQ71" s="12">
        <v>7.84</v>
      </c>
      <c r="AR71" s="12" t="str">
        <f>_xlfn.XLOOKUP(Table354[[#This Row],[Match ID]],Calculations_1[Match ID],Calculations_1[Winning Team])</f>
        <v>Pakistan</v>
      </c>
      <c r="AS71" s="12">
        <v>0</v>
      </c>
      <c r="AT71" s="12">
        <v>17</v>
      </c>
      <c r="AU71" s="12">
        <v>1</v>
      </c>
      <c r="AV71" s="12">
        <v>26</v>
      </c>
      <c r="AW71" s="12">
        <f>1</f>
        <v>1</v>
      </c>
      <c r="AX71" s="12">
        <f>IF(Table354[[#This Row],[Team]]=_xlfn.XLOOKUP(Table354[[#This Row],[Match ID]],Calculations_1[Match ID],Calculations_1[Winning Team]),1,0)</f>
        <v>1</v>
      </c>
      <c r="AY71" s="12">
        <f>IF(NOT(Table354[[#This Row],[Win(1/0)]]),1,0)</f>
        <v>0</v>
      </c>
      <c r="AZ71" s="12" t="str">
        <f>IF(Table354[[#This Row],[Win(1/0)]]=1,"Win","Loss")</f>
        <v>Win</v>
      </c>
      <c r="BA71" s="12">
        <f>IF(Table354[[#This Row],[Team]]=_xlfn.XLOOKUP(Table354[[#This Row],[Match ID]],Calculations_1[Match ID],Calculations_1[Toss Winner]),1,0)</f>
        <v>1</v>
      </c>
      <c r="BB71" s="12">
        <f>Table354[[#This Row],[Win(1/0)]]*Table354[[#This Row],[Toss Won (1/0)]]</f>
        <v>1</v>
      </c>
      <c r="BC71" s="12" t="str" cm="1">
        <f t="array" ref="BC71">_xlfn.XLOOKUP(Table354[[#This Row],[Match ID]],Calculations_1[Match ID],Calculations_1[Toss Decision],NA,0)</f>
        <v>Field</v>
      </c>
    </row>
    <row r="72" spans="27:55" x14ac:dyDescent="0.3">
      <c r="AA72" s="12">
        <v>36</v>
      </c>
      <c r="AB72" s="22">
        <v>45234</v>
      </c>
      <c r="AC72" s="12" t="s">
        <v>84</v>
      </c>
      <c r="AD72" s="12" t="s">
        <v>45</v>
      </c>
      <c r="AE72" s="12" t="s">
        <v>43</v>
      </c>
      <c r="AF72" s="12" t="s">
        <v>44</v>
      </c>
      <c r="AG72" s="12" t="s">
        <v>202</v>
      </c>
      <c r="AH72" s="12" t="s">
        <v>203</v>
      </c>
      <c r="AI72" s="12">
        <v>286</v>
      </c>
      <c r="AJ72" s="32" cm="1">
        <f t="array" ref="AJ72">_xlfn.XLOOKUP(
1,
(Table354[Match ID]=Table354[[#This Row],[Match ID]])*
(Table354[Team]=Table354[[#This Row],[Opponent]]),
Table354[Wickets Lost (batting)]
)</f>
        <v>10</v>
      </c>
      <c r="AK72" s="12">
        <v>10</v>
      </c>
      <c r="AL72" s="12">
        <v>49.3</v>
      </c>
      <c r="AM72" s="12">
        <v>2</v>
      </c>
      <c r="AN72" s="12">
        <v>25</v>
      </c>
      <c r="AO72" s="12">
        <v>3</v>
      </c>
      <c r="AP72" s="12">
        <v>28</v>
      </c>
      <c r="AQ72" s="12">
        <v>5.77</v>
      </c>
      <c r="AR72" s="12" t="str">
        <f>_xlfn.XLOOKUP(Table354[[#This Row],[Match ID]],Calculations_1[Match ID],Calculations_1[Winning Team])</f>
        <v>Australia</v>
      </c>
      <c r="AS72" s="12">
        <v>0</v>
      </c>
      <c r="AT72" s="12">
        <v>8</v>
      </c>
      <c r="AU72" s="12">
        <v>0</v>
      </c>
      <c r="AV72" s="12">
        <v>14</v>
      </c>
      <c r="AW72" s="12">
        <f>1</f>
        <v>1</v>
      </c>
      <c r="AX72" s="12">
        <f>IF(Table354[[#This Row],[Team]]=_xlfn.XLOOKUP(Table354[[#This Row],[Match ID]],Calculations_1[Match ID],Calculations_1[Winning Team]),1,0)</f>
        <v>1</v>
      </c>
      <c r="AY72" s="12">
        <f>IF(NOT(Table354[[#This Row],[Win(1/0)]]),1,0)</f>
        <v>0</v>
      </c>
      <c r="AZ72" s="12" t="str">
        <f>IF(Table354[[#This Row],[Win(1/0)]]=1,"Win","Loss")</f>
        <v>Win</v>
      </c>
      <c r="BA72" s="12">
        <f>IF(Table354[[#This Row],[Team]]=_xlfn.XLOOKUP(Table354[[#This Row],[Match ID]],Calculations_1[Match ID],Calculations_1[Toss Winner]),1,0)</f>
        <v>0</v>
      </c>
      <c r="BB72" s="12">
        <f>Table354[[#This Row],[Win(1/0)]]*Table354[[#This Row],[Toss Won (1/0)]]</f>
        <v>0</v>
      </c>
      <c r="BC72" s="12" t="str" cm="1">
        <f t="array" ref="BC72">_xlfn.XLOOKUP(Table354[[#This Row],[Match ID]],Calculations_1[Match ID],Calculations_1[Toss Decision],NA,0)</f>
        <v>Field</v>
      </c>
    </row>
    <row r="73" spans="27:55" x14ac:dyDescent="0.3">
      <c r="AA73" s="12">
        <v>36</v>
      </c>
      <c r="AB73" s="22">
        <v>45234</v>
      </c>
      <c r="AC73" s="12" t="s">
        <v>45</v>
      </c>
      <c r="AD73" s="12" t="s">
        <v>84</v>
      </c>
      <c r="AE73" s="12" t="s">
        <v>43</v>
      </c>
      <c r="AF73" s="12" t="s">
        <v>44</v>
      </c>
      <c r="AG73" s="12" t="s">
        <v>202</v>
      </c>
      <c r="AH73" s="12" t="s">
        <v>203</v>
      </c>
      <c r="AI73" s="12">
        <v>253</v>
      </c>
      <c r="AJ73" s="32" cm="1">
        <f t="array" ref="AJ73">_xlfn.XLOOKUP(
1,
(Table354[Match ID]=Table354[[#This Row],[Match ID]])*
(Table354[Team]=Table354[[#This Row],[Opponent]]),
Table354[Wickets Lost (batting)]
)</f>
        <v>10</v>
      </c>
      <c r="AK73" s="12">
        <v>10</v>
      </c>
      <c r="AL73" s="12">
        <v>48.1</v>
      </c>
      <c r="AM73" s="12">
        <v>1</v>
      </c>
      <c r="AN73" s="12">
        <v>22</v>
      </c>
      <c r="AO73" s="12">
        <v>6</v>
      </c>
      <c r="AP73" s="12">
        <v>28</v>
      </c>
      <c r="AQ73" s="12">
        <v>5.25</v>
      </c>
      <c r="AR73" s="12" t="str">
        <f>_xlfn.XLOOKUP(Table354[[#This Row],[Match ID]],Calculations_1[Match ID],Calculations_1[Winning Team])</f>
        <v>Australia</v>
      </c>
      <c r="AS73" s="12">
        <v>0</v>
      </c>
      <c r="AT73" s="12">
        <v>4</v>
      </c>
      <c r="AU73" s="12">
        <v>0</v>
      </c>
      <c r="AV73" s="12">
        <v>10</v>
      </c>
      <c r="AW73" s="12">
        <f>1</f>
        <v>1</v>
      </c>
      <c r="AX73" s="12">
        <f>IF(Table354[[#This Row],[Team]]=_xlfn.XLOOKUP(Table354[[#This Row],[Match ID]],Calculations_1[Match ID],Calculations_1[Winning Team]),1,0)</f>
        <v>0</v>
      </c>
      <c r="AY73" s="12">
        <f>IF(NOT(Table354[[#This Row],[Win(1/0)]]),1,0)</f>
        <v>1</v>
      </c>
      <c r="AZ73" s="12" t="str">
        <f>IF(Table354[[#This Row],[Win(1/0)]]=1,"Win","Loss")</f>
        <v>Loss</v>
      </c>
      <c r="BA73" s="12">
        <f>IF(Table354[[#This Row],[Team]]=_xlfn.XLOOKUP(Table354[[#This Row],[Match ID]],Calculations_1[Match ID],Calculations_1[Toss Winner]),1,0)</f>
        <v>1</v>
      </c>
      <c r="BB73" s="12">
        <f>Table354[[#This Row],[Win(1/0)]]*Table354[[#This Row],[Toss Won (1/0)]]</f>
        <v>0</v>
      </c>
      <c r="BC73" s="12" t="str" cm="1">
        <f t="array" ref="BC73">_xlfn.XLOOKUP(Table354[[#This Row],[Match ID]],Calculations_1[Match ID],Calculations_1[Toss Decision],NA,0)</f>
        <v>Field</v>
      </c>
    </row>
    <row r="74" spans="27:55" x14ac:dyDescent="0.3">
      <c r="AA74" s="12">
        <v>37</v>
      </c>
      <c r="AB74" s="22">
        <v>45235</v>
      </c>
      <c r="AC74" s="12" t="s">
        <v>85</v>
      </c>
      <c r="AD74" s="12" t="s">
        <v>75</v>
      </c>
      <c r="AE74" s="12" t="s">
        <v>140</v>
      </c>
      <c r="AF74" s="12" t="s">
        <v>55</v>
      </c>
      <c r="AG74" s="12" t="s">
        <v>202</v>
      </c>
      <c r="AH74" s="12" t="s">
        <v>203</v>
      </c>
      <c r="AI74" s="12">
        <v>326</v>
      </c>
      <c r="AJ74" s="32" cm="1">
        <f t="array" ref="AJ74">_xlfn.XLOOKUP(
1,
(Table354[Match ID]=Table354[[#This Row],[Match ID]])*
(Table354[Team]=Table354[[#This Row],[Opponent]]),
Table354[Wickets Lost (batting)]
)</f>
        <v>10</v>
      </c>
      <c r="AK74" s="12">
        <v>5</v>
      </c>
      <c r="AL74" s="12">
        <v>50</v>
      </c>
      <c r="AM74" s="12">
        <v>3</v>
      </c>
      <c r="AN74" s="12">
        <v>35</v>
      </c>
      <c r="AO74" s="12">
        <v>6</v>
      </c>
      <c r="AP74" s="12">
        <v>41</v>
      </c>
      <c r="AQ74" s="12">
        <v>6.52</v>
      </c>
      <c r="AR74" s="12" t="str">
        <f>_xlfn.XLOOKUP(Table354[[#This Row],[Match ID]],Calculations_1[Match ID],Calculations_1[Winning Team])</f>
        <v>India</v>
      </c>
      <c r="AS74" s="12">
        <v>0</v>
      </c>
      <c r="AT74" s="12">
        <v>2</v>
      </c>
      <c r="AU74" s="12">
        <v>0</v>
      </c>
      <c r="AV74" s="12">
        <v>2</v>
      </c>
      <c r="AW74" s="12">
        <f>1</f>
        <v>1</v>
      </c>
      <c r="AX74" s="12">
        <f>IF(Table354[[#This Row],[Team]]=_xlfn.XLOOKUP(Table354[[#This Row],[Match ID]],Calculations_1[Match ID],Calculations_1[Winning Team]),1,0)</f>
        <v>1</v>
      </c>
      <c r="AY74" s="12">
        <f>IF(NOT(Table354[[#This Row],[Win(1/0)]]),1,0)</f>
        <v>0</v>
      </c>
      <c r="AZ74" s="12" t="str">
        <f>IF(Table354[[#This Row],[Win(1/0)]]=1,"Win","Loss")</f>
        <v>Win</v>
      </c>
      <c r="BA74" s="12">
        <f>IF(Table354[[#This Row],[Team]]=_xlfn.XLOOKUP(Table354[[#This Row],[Match ID]],Calculations_1[Match ID],Calculations_1[Toss Winner]),1,0)</f>
        <v>1</v>
      </c>
      <c r="BB74" s="12">
        <f>Table354[[#This Row],[Win(1/0)]]*Table354[[#This Row],[Toss Won (1/0)]]</f>
        <v>1</v>
      </c>
      <c r="BC74" s="12" t="str" cm="1">
        <f t="array" ref="BC74">_xlfn.XLOOKUP(Table354[[#This Row],[Match ID]],Calculations_1[Match ID],Calculations_1[Toss Decision],NA,0)</f>
        <v>Bat</v>
      </c>
    </row>
    <row r="75" spans="27:55" x14ac:dyDescent="0.3">
      <c r="AA75" s="12">
        <v>37</v>
      </c>
      <c r="AB75" s="22">
        <v>45235</v>
      </c>
      <c r="AC75" s="12" t="s">
        <v>75</v>
      </c>
      <c r="AD75" s="12" t="s">
        <v>85</v>
      </c>
      <c r="AE75" s="12" t="s">
        <v>140</v>
      </c>
      <c r="AF75" s="12" t="s">
        <v>55</v>
      </c>
      <c r="AG75" s="12" t="s">
        <v>202</v>
      </c>
      <c r="AH75" s="12" t="s">
        <v>203</v>
      </c>
      <c r="AI75" s="12">
        <v>83</v>
      </c>
      <c r="AJ75" s="32" cm="1">
        <f t="array" ref="AJ75">_xlfn.XLOOKUP(
1,
(Table354[Match ID]=Table354[[#This Row],[Match ID]])*
(Table354[Team]=Table354[[#This Row],[Opponent]]),
Table354[Wickets Lost (batting)]
)</f>
        <v>5</v>
      </c>
      <c r="AK75" s="12">
        <v>10</v>
      </c>
      <c r="AL75" s="12">
        <v>27.1</v>
      </c>
      <c r="AM75" s="12">
        <v>1</v>
      </c>
      <c r="AN75" s="12">
        <v>10</v>
      </c>
      <c r="AO75" s="12">
        <v>0</v>
      </c>
      <c r="AP75" s="12">
        <v>10</v>
      </c>
      <c r="AQ75" s="12">
        <v>3.05</v>
      </c>
      <c r="AR75" s="12" t="str">
        <f>_xlfn.XLOOKUP(Table354[[#This Row],[Match ID]],Calculations_1[Match ID],Calculations_1[Winning Team])</f>
        <v>India</v>
      </c>
      <c r="AS75" s="12">
        <v>0</v>
      </c>
      <c r="AT75" s="12">
        <v>22</v>
      </c>
      <c r="AU75" s="12">
        <v>2</v>
      </c>
      <c r="AV75" s="12">
        <v>26</v>
      </c>
      <c r="AW75" s="12">
        <f>1</f>
        <v>1</v>
      </c>
      <c r="AX75" s="12">
        <f>IF(Table354[[#This Row],[Team]]=_xlfn.XLOOKUP(Table354[[#This Row],[Match ID]],Calculations_1[Match ID],Calculations_1[Winning Team]),1,0)</f>
        <v>0</v>
      </c>
      <c r="AY75" s="12">
        <f>IF(NOT(Table354[[#This Row],[Win(1/0)]]),1,0)</f>
        <v>1</v>
      </c>
      <c r="AZ75" s="12" t="str">
        <f>IF(Table354[[#This Row],[Win(1/0)]]=1,"Win","Loss")</f>
        <v>Loss</v>
      </c>
      <c r="BA75" s="12">
        <f>IF(Table354[[#This Row],[Team]]=_xlfn.XLOOKUP(Table354[[#This Row],[Match ID]],Calculations_1[Match ID],Calculations_1[Toss Winner]),1,0)</f>
        <v>0</v>
      </c>
      <c r="BB75" s="12">
        <f>Table354[[#This Row],[Win(1/0)]]*Table354[[#This Row],[Toss Won (1/0)]]</f>
        <v>0</v>
      </c>
      <c r="BC75" s="12" t="str" cm="1">
        <f t="array" ref="BC75">_xlfn.XLOOKUP(Table354[[#This Row],[Match ID]],Calculations_1[Match ID],Calculations_1[Toss Decision],NA,0)</f>
        <v>Bat</v>
      </c>
    </row>
    <row r="76" spans="27:55" x14ac:dyDescent="0.3">
      <c r="AA76" s="12">
        <v>38</v>
      </c>
      <c r="AB76" s="22">
        <v>45236</v>
      </c>
      <c r="AC76" s="12" t="s">
        <v>76</v>
      </c>
      <c r="AD76" s="12" t="s">
        <v>67</v>
      </c>
      <c r="AE76" s="12" t="s">
        <v>73</v>
      </c>
      <c r="AF76" s="12" t="s">
        <v>74</v>
      </c>
      <c r="AG76" s="12" t="s">
        <v>201</v>
      </c>
      <c r="AH76" s="12" t="s">
        <v>195</v>
      </c>
      <c r="AI76" s="12">
        <v>279</v>
      </c>
      <c r="AJ76" s="32" cm="1">
        <f t="array" ref="AJ76">_xlfn.XLOOKUP(
1,
(Table354[Match ID]=Table354[[#This Row],[Match ID]])*
(Table354[Team]=Table354[[#This Row],[Opponent]]),
Table354[Wickets Lost (batting)]
)</f>
        <v>7</v>
      </c>
      <c r="AK76" s="12">
        <v>10</v>
      </c>
      <c r="AL76" s="12">
        <v>49.3</v>
      </c>
      <c r="AM76" s="12">
        <v>2</v>
      </c>
      <c r="AN76" s="12">
        <v>27</v>
      </c>
      <c r="AO76" s="12">
        <v>7</v>
      </c>
      <c r="AP76" s="12">
        <v>34</v>
      </c>
      <c r="AQ76" s="12">
        <v>5.63</v>
      </c>
      <c r="AR76" s="12" t="str">
        <f>_xlfn.XLOOKUP(Table354[[#This Row],[Match ID]],Calculations_1[Match ID],Calculations_1[Winning Team])</f>
        <v>Bangladesh</v>
      </c>
      <c r="AS76" s="12">
        <v>0</v>
      </c>
      <c r="AT76" s="12">
        <v>10</v>
      </c>
      <c r="AU76" s="12">
        <v>0</v>
      </c>
      <c r="AV76" s="12">
        <v>23</v>
      </c>
      <c r="AW76" s="12">
        <f>1</f>
        <v>1</v>
      </c>
      <c r="AX76" s="12">
        <f>IF(Table354[[#This Row],[Team]]=_xlfn.XLOOKUP(Table354[[#This Row],[Match ID]],Calculations_1[Match ID],Calculations_1[Winning Team]),1,0)</f>
        <v>0</v>
      </c>
      <c r="AY76" s="12">
        <f>IF(NOT(Table354[[#This Row],[Win(1/0)]]),1,0)</f>
        <v>1</v>
      </c>
      <c r="AZ76" s="12" t="str">
        <f>IF(Table354[[#This Row],[Win(1/0)]]=1,"Win","Loss")</f>
        <v>Loss</v>
      </c>
      <c r="BA76" s="12">
        <f>IF(Table354[[#This Row],[Team]]=_xlfn.XLOOKUP(Table354[[#This Row],[Match ID]],Calculations_1[Match ID],Calculations_1[Toss Winner]),1,0)</f>
        <v>0</v>
      </c>
      <c r="BB76" s="12">
        <f>Table354[[#This Row],[Win(1/0)]]*Table354[[#This Row],[Toss Won (1/0)]]</f>
        <v>0</v>
      </c>
      <c r="BC76" s="12" t="str" cm="1">
        <f t="array" ref="BC76">_xlfn.XLOOKUP(Table354[[#This Row],[Match ID]],Calculations_1[Match ID],Calculations_1[Toss Decision],NA,0)</f>
        <v>Field</v>
      </c>
    </row>
    <row r="77" spans="27:55" x14ac:dyDescent="0.3">
      <c r="AA77" s="12">
        <v>38</v>
      </c>
      <c r="AB77" s="22">
        <v>45236</v>
      </c>
      <c r="AC77" s="12" t="s">
        <v>67</v>
      </c>
      <c r="AD77" s="12" t="s">
        <v>76</v>
      </c>
      <c r="AE77" s="12" t="s">
        <v>73</v>
      </c>
      <c r="AF77" s="12" t="s">
        <v>74</v>
      </c>
      <c r="AG77" s="12" t="s">
        <v>201</v>
      </c>
      <c r="AH77" s="12" t="s">
        <v>195</v>
      </c>
      <c r="AI77" s="12">
        <v>282</v>
      </c>
      <c r="AJ77" s="32" cm="1">
        <f t="array" ref="AJ77">_xlfn.XLOOKUP(
1,
(Table354[Match ID]=Table354[[#This Row],[Match ID]])*
(Table354[Team]=Table354[[#This Row],[Opponent]]),
Table354[Wickets Lost (batting)]
)</f>
        <v>10</v>
      </c>
      <c r="AK77" s="12">
        <v>7</v>
      </c>
      <c r="AL77" s="12">
        <v>41.1</v>
      </c>
      <c r="AM77" s="12">
        <v>1</v>
      </c>
      <c r="AN77" s="12">
        <v>33</v>
      </c>
      <c r="AO77" s="12">
        <v>7</v>
      </c>
      <c r="AP77" s="12">
        <v>40</v>
      </c>
      <c r="AQ77" s="12">
        <v>6.85</v>
      </c>
      <c r="AR77" s="12" t="str">
        <f>_xlfn.XLOOKUP(Table354[[#This Row],[Match ID]],Calculations_1[Match ID],Calculations_1[Winning Team])</f>
        <v>Bangladesh</v>
      </c>
      <c r="AS77" s="12">
        <v>0</v>
      </c>
      <c r="AT77" s="12">
        <v>4</v>
      </c>
      <c r="AU77" s="12">
        <v>0</v>
      </c>
      <c r="AV77" s="12">
        <v>6</v>
      </c>
      <c r="AW77" s="12">
        <f>1</f>
        <v>1</v>
      </c>
      <c r="AX77" s="12">
        <f>IF(Table354[[#This Row],[Team]]=_xlfn.XLOOKUP(Table354[[#This Row],[Match ID]],Calculations_1[Match ID],Calculations_1[Winning Team]),1,0)</f>
        <v>1</v>
      </c>
      <c r="AY77" s="12">
        <f>IF(NOT(Table354[[#This Row],[Win(1/0)]]),1,0)</f>
        <v>0</v>
      </c>
      <c r="AZ77" s="12" t="str">
        <f>IF(Table354[[#This Row],[Win(1/0)]]=1,"Win","Loss")</f>
        <v>Win</v>
      </c>
      <c r="BA77" s="12">
        <f>IF(Table354[[#This Row],[Team]]=_xlfn.XLOOKUP(Table354[[#This Row],[Match ID]],Calculations_1[Match ID],Calculations_1[Toss Winner]),1,0)</f>
        <v>1</v>
      </c>
      <c r="BB77" s="12">
        <f>Table354[[#This Row],[Win(1/0)]]*Table354[[#This Row],[Toss Won (1/0)]]</f>
        <v>1</v>
      </c>
      <c r="BC77" s="12" t="str" cm="1">
        <f t="array" ref="BC77">_xlfn.XLOOKUP(Table354[[#This Row],[Match ID]],Calculations_1[Match ID],Calculations_1[Toss Decision],NA,0)</f>
        <v>Field</v>
      </c>
    </row>
    <row r="78" spans="27:55" x14ac:dyDescent="0.3">
      <c r="AA78" s="12">
        <v>39</v>
      </c>
      <c r="AB78" s="22">
        <v>45237</v>
      </c>
      <c r="AC78" s="12" t="s">
        <v>84</v>
      </c>
      <c r="AD78" s="12" t="s">
        <v>66</v>
      </c>
      <c r="AE78" s="12" t="s">
        <v>126</v>
      </c>
      <c r="AF78" s="12" t="s">
        <v>127</v>
      </c>
      <c r="AG78" s="12" t="s">
        <v>201</v>
      </c>
      <c r="AH78" s="12" t="s">
        <v>195</v>
      </c>
      <c r="AI78" s="12">
        <v>293</v>
      </c>
      <c r="AJ78" s="32" cm="1">
        <f t="array" ref="AJ78">_xlfn.XLOOKUP(
1,
(Table354[Match ID]=Table354[[#This Row],[Match ID]])*
(Table354[Team]=Table354[[#This Row],[Opponent]]),
Table354[Wickets Lost (batting)]
)</f>
        <v>5</v>
      </c>
      <c r="AK78" s="12">
        <v>7</v>
      </c>
      <c r="AL78" s="12">
        <v>46.5</v>
      </c>
      <c r="AM78" s="12">
        <v>0</v>
      </c>
      <c r="AN78" s="12">
        <v>30</v>
      </c>
      <c r="AO78" s="12">
        <v>12</v>
      </c>
      <c r="AP78" s="12">
        <v>42</v>
      </c>
      <c r="AQ78" s="12">
        <v>6.25</v>
      </c>
      <c r="AR78" s="12" t="str">
        <f>_xlfn.XLOOKUP(Table354[[#This Row],[Match ID]],Calculations_1[Match ID],Calculations_1[Winning Team])</f>
        <v>Australia</v>
      </c>
      <c r="AS78" s="12">
        <v>0</v>
      </c>
      <c r="AT78" s="12">
        <v>10</v>
      </c>
      <c r="AU78" s="12">
        <v>1</v>
      </c>
      <c r="AV78" s="12">
        <v>16</v>
      </c>
      <c r="AW78" s="12">
        <f>1</f>
        <v>1</v>
      </c>
      <c r="AX78" s="12">
        <f>IF(Table354[[#This Row],[Team]]=_xlfn.XLOOKUP(Table354[[#This Row],[Match ID]],Calculations_1[Match ID],Calculations_1[Winning Team]),1,0)</f>
        <v>1</v>
      </c>
      <c r="AY78" s="12">
        <f>IF(NOT(Table354[[#This Row],[Win(1/0)]]),1,0)</f>
        <v>0</v>
      </c>
      <c r="AZ78" s="12" t="str">
        <f>IF(Table354[[#This Row],[Win(1/0)]]=1,"Win","Loss")</f>
        <v>Win</v>
      </c>
      <c r="BA78" s="12">
        <f>IF(Table354[[#This Row],[Team]]=_xlfn.XLOOKUP(Table354[[#This Row],[Match ID]],Calculations_1[Match ID],Calculations_1[Toss Winner]),1,0)</f>
        <v>0</v>
      </c>
      <c r="BB78" s="12">
        <f>Table354[[#This Row],[Win(1/0)]]*Table354[[#This Row],[Toss Won (1/0)]]</f>
        <v>0</v>
      </c>
      <c r="BC78" s="12" t="str" cm="1">
        <f t="array" ref="BC78">_xlfn.XLOOKUP(Table354[[#This Row],[Match ID]],Calculations_1[Match ID],Calculations_1[Toss Decision],NA,0)</f>
        <v>Bat</v>
      </c>
    </row>
    <row r="79" spans="27:55" x14ac:dyDescent="0.3">
      <c r="AA79" s="12">
        <v>39</v>
      </c>
      <c r="AB79" s="22">
        <v>45237</v>
      </c>
      <c r="AC79" s="12" t="s">
        <v>66</v>
      </c>
      <c r="AD79" s="12" t="s">
        <v>84</v>
      </c>
      <c r="AE79" s="12" t="s">
        <v>126</v>
      </c>
      <c r="AF79" s="12" t="s">
        <v>127</v>
      </c>
      <c r="AG79" s="12" t="s">
        <v>201</v>
      </c>
      <c r="AH79" s="12" t="s">
        <v>195</v>
      </c>
      <c r="AI79" s="12">
        <v>291</v>
      </c>
      <c r="AJ79" s="32" cm="1">
        <f t="array" ref="AJ79">_xlfn.XLOOKUP(
1,
(Table354[Match ID]=Table354[[#This Row],[Match ID]])*
(Table354[Team]=Table354[[#This Row],[Opponent]]),
Table354[Wickets Lost (batting)]
)</f>
        <v>7</v>
      </c>
      <c r="AK79" s="12">
        <v>5</v>
      </c>
      <c r="AL79" s="12">
        <v>50</v>
      </c>
      <c r="AM79" s="12">
        <v>3</v>
      </c>
      <c r="AN79" s="12">
        <v>16</v>
      </c>
      <c r="AO79" s="12">
        <v>9</v>
      </c>
      <c r="AP79" s="12">
        <v>25</v>
      </c>
      <c r="AQ79" s="12">
        <v>5.82</v>
      </c>
      <c r="AR79" s="12" t="str">
        <f>_xlfn.XLOOKUP(Table354[[#This Row],[Match ID]],Calculations_1[Match ID],Calculations_1[Winning Team])</f>
        <v>Australia</v>
      </c>
      <c r="AS79" s="12">
        <v>4</v>
      </c>
      <c r="AT79" s="12">
        <v>10</v>
      </c>
      <c r="AU79" s="12">
        <v>0</v>
      </c>
      <c r="AV79" s="12">
        <v>15</v>
      </c>
      <c r="AW79" s="12">
        <f>1</f>
        <v>1</v>
      </c>
      <c r="AX79" s="12">
        <f>IF(Table354[[#This Row],[Team]]=_xlfn.XLOOKUP(Table354[[#This Row],[Match ID]],Calculations_1[Match ID],Calculations_1[Winning Team]),1,0)</f>
        <v>0</v>
      </c>
      <c r="AY79" s="12">
        <f>IF(NOT(Table354[[#This Row],[Win(1/0)]]),1,0)</f>
        <v>1</v>
      </c>
      <c r="AZ79" s="12" t="str">
        <f>IF(Table354[[#This Row],[Win(1/0)]]=1,"Win","Loss")</f>
        <v>Loss</v>
      </c>
      <c r="BA79" s="12">
        <f>IF(Table354[[#This Row],[Team]]=_xlfn.XLOOKUP(Table354[[#This Row],[Match ID]],Calculations_1[Match ID],Calculations_1[Toss Winner]),1,0)</f>
        <v>1</v>
      </c>
      <c r="BB79" s="12">
        <f>Table354[[#This Row],[Win(1/0)]]*Table354[[#This Row],[Toss Won (1/0)]]</f>
        <v>0</v>
      </c>
      <c r="BC79" s="12" t="str" cm="1">
        <f t="array" ref="BC79">_xlfn.XLOOKUP(Table354[[#This Row],[Match ID]],Calculations_1[Match ID],Calculations_1[Toss Decision],NA,0)</f>
        <v>Bat</v>
      </c>
    </row>
    <row r="80" spans="27:55" x14ac:dyDescent="0.3">
      <c r="AA80" s="12">
        <v>40</v>
      </c>
      <c r="AB80" s="22">
        <v>45238</v>
      </c>
      <c r="AC80" s="12" t="s">
        <v>45</v>
      </c>
      <c r="AD80" s="12" t="s">
        <v>57</v>
      </c>
      <c r="AE80" s="12" t="s">
        <v>118</v>
      </c>
      <c r="AF80" s="12" t="s">
        <v>119</v>
      </c>
      <c r="AG80" s="12" t="s">
        <v>202</v>
      </c>
      <c r="AH80" s="12" t="s">
        <v>203</v>
      </c>
      <c r="AI80" s="12">
        <v>179</v>
      </c>
      <c r="AJ80" s="32" cm="1">
        <f t="array" ref="AJ80">_xlfn.XLOOKUP(
1,
(Table354[Match ID]=Table354[[#This Row],[Match ID]])*
(Table354[Team]=Table354[[#This Row],[Opponent]]),
Table354[Wickets Lost (batting)]
)</f>
        <v>9</v>
      </c>
      <c r="AK80" s="12">
        <v>10</v>
      </c>
      <c r="AL80" s="12">
        <v>37.200000000000003</v>
      </c>
      <c r="AM80" s="12">
        <v>2</v>
      </c>
      <c r="AN80" s="12">
        <v>26</v>
      </c>
      <c r="AO80" s="12">
        <v>10</v>
      </c>
      <c r="AP80" s="12">
        <v>36</v>
      </c>
      <c r="AQ80" s="12">
        <v>4.79</v>
      </c>
      <c r="AR80" s="12" t="str">
        <f>_xlfn.XLOOKUP(Table354[[#This Row],[Match ID]],Calculations_1[Match ID],Calculations_1[Winning Team])</f>
        <v>England</v>
      </c>
      <c r="AS80" s="12">
        <v>0</v>
      </c>
      <c r="AT80" s="12">
        <v>4</v>
      </c>
      <c r="AU80" s="12">
        <v>0</v>
      </c>
      <c r="AV80" s="12">
        <v>8</v>
      </c>
      <c r="AW80" s="12">
        <f>1</f>
        <v>1</v>
      </c>
      <c r="AX80" s="12">
        <f>IF(Table354[[#This Row],[Team]]=_xlfn.XLOOKUP(Table354[[#This Row],[Match ID]],Calculations_1[Match ID],Calculations_1[Winning Team]),1,0)</f>
        <v>1</v>
      </c>
      <c r="AY80" s="12">
        <f>IF(NOT(Table354[[#This Row],[Win(1/0)]]),1,0)</f>
        <v>0</v>
      </c>
      <c r="AZ80" s="12" t="str">
        <f>IF(Table354[[#This Row],[Win(1/0)]]=1,"Win","Loss")</f>
        <v>Win</v>
      </c>
      <c r="BA80" s="12">
        <f>IF(Table354[[#This Row],[Team]]=_xlfn.XLOOKUP(Table354[[#This Row],[Match ID]],Calculations_1[Match ID],Calculations_1[Toss Winner]),1,0)</f>
        <v>1</v>
      </c>
      <c r="BB80" s="12">
        <f>Table354[[#This Row],[Win(1/0)]]*Table354[[#This Row],[Toss Won (1/0)]]</f>
        <v>1</v>
      </c>
      <c r="BC80" s="12" t="str" cm="1">
        <f t="array" ref="BC80">_xlfn.XLOOKUP(Table354[[#This Row],[Match ID]],Calculations_1[Match ID],Calculations_1[Toss Decision],NA,0)</f>
        <v>Bat</v>
      </c>
    </row>
    <row r="81" spans="27:55" x14ac:dyDescent="0.3">
      <c r="AA81" s="12">
        <v>40</v>
      </c>
      <c r="AB81" s="22">
        <v>45238</v>
      </c>
      <c r="AC81" s="12" t="s">
        <v>57</v>
      </c>
      <c r="AD81" s="12" t="s">
        <v>45</v>
      </c>
      <c r="AE81" s="12" t="s">
        <v>118</v>
      </c>
      <c r="AF81" s="12" t="s">
        <v>119</v>
      </c>
      <c r="AG81" s="12" t="s">
        <v>202</v>
      </c>
      <c r="AH81" s="12" t="s">
        <v>203</v>
      </c>
      <c r="AI81" s="12">
        <v>339</v>
      </c>
      <c r="AJ81" s="32" cm="1">
        <f t="array" ref="AJ81">_xlfn.XLOOKUP(
1,
(Table354[Match ID]=Table354[[#This Row],[Match ID]])*
(Table354[Team]=Table354[[#This Row],[Opponent]]),
Table354[Wickets Lost (batting)]
)</f>
        <v>10</v>
      </c>
      <c r="AK81" s="12">
        <v>9</v>
      </c>
      <c r="AL81" s="12">
        <v>50</v>
      </c>
      <c r="AM81" s="12">
        <v>0</v>
      </c>
      <c r="AN81" s="12">
        <v>15</v>
      </c>
      <c r="AO81" s="12">
        <v>6</v>
      </c>
      <c r="AP81" s="12">
        <v>21</v>
      </c>
      <c r="AQ81" s="12">
        <v>6.78</v>
      </c>
      <c r="AR81" s="12" t="str">
        <f>_xlfn.XLOOKUP(Table354[[#This Row],[Match ID]],Calculations_1[Match ID],Calculations_1[Winning Team])</f>
        <v>England</v>
      </c>
      <c r="AS81" s="12">
        <v>0</v>
      </c>
      <c r="AT81" s="12">
        <v>20</v>
      </c>
      <c r="AU81" s="12">
        <v>1</v>
      </c>
      <c r="AV81" s="12">
        <v>21</v>
      </c>
      <c r="AW81" s="12">
        <f>1</f>
        <v>1</v>
      </c>
      <c r="AX81" s="12">
        <f>IF(Table354[[#This Row],[Team]]=_xlfn.XLOOKUP(Table354[[#This Row],[Match ID]],Calculations_1[Match ID],Calculations_1[Winning Team]),1,0)</f>
        <v>0</v>
      </c>
      <c r="AY81" s="12">
        <f>IF(NOT(Table354[[#This Row],[Win(1/0)]]),1,0)</f>
        <v>1</v>
      </c>
      <c r="AZ81" s="12" t="str">
        <f>IF(Table354[[#This Row],[Win(1/0)]]=1,"Win","Loss")</f>
        <v>Loss</v>
      </c>
      <c r="BA81" s="12">
        <f>IF(Table354[[#This Row],[Team]]=_xlfn.XLOOKUP(Table354[[#This Row],[Match ID]],Calculations_1[Match ID],Calculations_1[Toss Winner]),1,0)</f>
        <v>0</v>
      </c>
      <c r="BB81" s="12">
        <f>Table354[[#This Row],[Win(1/0)]]*Table354[[#This Row],[Toss Won (1/0)]]</f>
        <v>0</v>
      </c>
      <c r="BC81" s="12" t="str" cm="1">
        <f t="array" ref="BC81">_xlfn.XLOOKUP(Table354[[#This Row],[Match ID]],Calculations_1[Match ID],Calculations_1[Toss Decision],NA,0)</f>
        <v>Bat</v>
      </c>
    </row>
    <row r="82" spans="27:55" x14ac:dyDescent="0.3">
      <c r="AA82" s="12">
        <v>41</v>
      </c>
      <c r="AB82" s="22">
        <v>45239</v>
      </c>
      <c r="AC82" s="12" t="s">
        <v>200</v>
      </c>
      <c r="AD82" s="12" t="s">
        <v>76</v>
      </c>
      <c r="AE82" s="12" t="s">
        <v>121</v>
      </c>
      <c r="AF82" s="12" t="s">
        <v>122</v>
      </c>
      <c r="AG82" s="12" t="s">
        <v>201</v>
      </c>
      <c r="AH82" s="12" t="s">
        <v>195</v>
      </c>
      <c r="AI82" s="12">
        <v>171</v>
      </c>
      <c r="AJ82" s="32" cm="1">
        <f t="array" ref="AJ82">_xlfn.XLOOKUP(
1,
(Table354[Match ID]=Table354[[#This Row],[Match ID]])*
(Table354[Team]=Table354[[#This Row],[Opponent]]),
Table354[Wickets Lost (batting)]
)</f>
        <v>5</v>
      </c>
      <c r="AK82" s="12">
        <v>10</v>
      </c>
      <c r="AL82" s="12">
        <v>46.4</v>
      </c>
      <c r="AM82" s="12">
        <v>7</v>
      </c>
      <c r="AN82" s="12">
        <v>23</v>
      </c>
      <c r="AO82" s="12">
        <v>5</v>
      </c>
      <c r="AP82" s="12">
        <v>28</v>
      </c>
      <c r="AQ82" s="12">
        <v>3.66</v>
      </c>
      <c r="AR82" s="12" t="str">
        <f>_xlfn.XLOOKUP(Table354[[#This Row],[Match ID]],Calculations_1[Match ID],Calculations_1[Winning Team])</f>
        <v>New Zealand</v>
      </c>
      <c r="AS82" s="12">
        <v>0</v>
      </c>
      <c r="AT82" s="12">
        <v>3</v>
      </c>
      <c r="AU82" s="12">
        <v>0</v>
      </c>
      <c r="AV82" s="12">
        <v>4</v>
      </c>
      <c r="AW82" s="12">
        <f>1</f>
        <v>1</v>
      </c>
      <c r="AX82" s="12">
        <f>IF(Table354[[#This Row],[Team]]=_xlfn.XLOOKUP(Table354[[#This Row],[Match ID]],Calculations_1[Match ID],Calculations_1[Winning Team]),1,0)</f>
        <v>1</v>
      </c>
      <c r="AY82" s="12">
        <f>IF(NOT(Table354[[#This Row],[Win(1/0)]]),1,0)</f>
        <v>0</v>
      </c>
      <c r="AZ82" s="12" t="str">
        <f>IF(Table354[[#This Row],[Win(1/0)]]=1,"Win","Loss")</f>
        <v>Win</v>
      </c>
      <c r="BA82" s="12">
        <f>IF(Table354[[#This Row],[Team]]=_xlfn.XLOOKUP(Table354[[#This Row],[Match ID]],Calculations_1[Match ID],Calculations_1[Toss Winner]),1,0)</f>
        <v>1</v>
      </c>
      <c r="BB82" s="12">
        <f>Table354[[#This Row],[Win(1/0)]]*Table354[[#This Row],[Toss Won (1/0)]]</f>
        <v>1</v>
      </c>
      <c r="BC82" s="12" t="str" cm="1">
        <f t="array" ref="BC82">_xlfn.XLOOKUP(Table354[[#This Row],[Match ID]],Calculations_1[Match ID],Calculations_1[Toss Decision],NA,0)</f>
        <v>Field</v>
      </c>
    </row>
    <row r="83" spans="27:55" x14ac:dyDescent="0.3">
      <c r="AA83" s="12">
        <v>41</v>
      </c>
      <c r="AB83" s="22">
        <v>45239</v>
      </c>
      <c r="AC83" s="12" t="s">
        <v>76</v>
      </c>
      <c r="AD83" s="12" t="s">
        <v>200</v>
      </c>
      <c r="AE83" s="12" t="s">
        <v>121</v>
      </c>
      <c r="AF83" s="12" t="s">
        <v>122</v>
      </c>
      <c r="AG83" s="12" t="s">
        <v>201</v>
      </c>
      <c r="AH83" s="12" t="s">
        <v>195</v>
      </c>
      <c r="AI83" s="12">
        <v>172</v>
      </c>
      <c r="AJ83" s="32" cm="1">
        <f t="array" ref="AJ83">_xlfn.XLOOKUP(
1,
(Table354[Match ID]=Table354[[#This Row],[Match ID]])*
(Table354[Team]=Table354[[#This Row],[Opponent]]),
Table354[Wickets Lost (batting)]
)</f>
        <v>10</v>
      </c>
      <c r="AK83" s="12">
        <v>5</v>
      </c>
      <c r="AL83" s="12">
        <v>23.2</v>
      </c>
      <c r="AM83" s="12">
        <v>1</v>
      </c>
      <c r="AN83" s="12">
        <v>21</v>
      </c>
      <c r="AO83" s="12">
        <v>3</v>
      </c>
      <c r="AP83" s="12">
        <v>24</v>
      </c>
      <c r="AQ83" s="12">
        <v>7.37</v>
      </c>
      <c r="AR83" s="12" t="str">
        <f>_xlfn.XLOOKUP(Table354[[#This Row],[Match ID]],Calculations_1[Match ID],Calculations_1[Winning Team])</f>
        <v>New Zealand</v>
      </c>
      <c r="AS83" s="12">
        <v>0</v>
      </c>
      <c r="AT83" s="12">
        <v>2</v>
      </c>
      <c r="AU83" s="12">
        <v>0</v>
      </c>
      <c r="AV83" s="12">
        <v>2</v>
      </c>
      <c r="AW83" s="12">
        <f>1</f>
        <v>1</v>
      </c>
      <c r="AX83" s="12">
        <f>IF(Table354[[#This Row],[Team]]=_xlfn.XLOOKUP(Table354[[#This Row],[Match ID]],Calculations_1[Match ID],Calculations_1[Winning Team]),1,0)</f>
        <v>0</v>
      </c>
      <c r="AY83" s="12">
        <f>IF(NOT(Table354[[#This Row],[Win(1/0)]]),1,0)</f>
        <v>1</v>
      </c>
      <c r="AZ83" s="12" t="str">
        <f>IF(Table354[[#This Row],[Win(1/0)]]=1,"Win","Loss")</f>
        <v>Loss</v>
      </c>
      <c r="BA83" s="12">
        <f>IF(Table354[[#This Row],[Team]]=_xlfn.XLOOKUP(Table354[[#This Row],[Match ID]],Calculations_1[Match ID],Calculations_1[Toss Winner]),1,0)</f>
        <v>0</v>
      </c>
      <c r="BB83" s="12">
        <f>Table354[[#This Row],[Win(1/0)]]*Table354[[#This Row],[Toss Won (1/0)]]</f>
        <v>0</v>
      </c>
      <c r="BC83" s="12" t="str" cm="1">
        <f t="array" ref="BC83">_xlfn.XLOOKUP(Table354[[#This Row],[Match ID]],Calculations_1[Match ID],Calculations_1[Toss Decision],NA,0)</f>
        <v>Field</v>
      </c>
    </row>
    <row r="84" spans="27:55" x14ac:dyDescent="0.3">
      <c r="AA84" s="12">
        <v>42</v>
      </c>
      <c r="AB84" s="22">
        <v>45240</v>
      </c>
      <c r="AC84" s="12" t="s">
        <v>66</v>
      </c>
      <c r="AD84" s="12" t="s">
        <v>75</v>
      </c>
      <c r="AE84" s="12" t="s">
        <v>43</v>
      </c>
      <c r="AF84" s="12" t="s">
        <v>44</v>
      </c>
      <c r="AG84" s="12" t="s">
        <v>201</v>
      </c>
      <c r="AH84" s="12" t="s">
        <v>195</v>
      </c>
      <c r="AI84" s="12">
        <v>244</v>
      </c>
      <c r="AJ84" s="32" cm="1">
        <f t="array" ref="AJ84">_xlfn.XLOOKUP(
1,
(Table354[Match ID]=Table354[[#This Row],[Match ID]])*
(Table354[Team]=Table354[[#This Row],[Opponent]]),
Table354[Wickets Lost (batting)]
)</f>
        <v>5</v>
      </c>
      <c r="AK84" s="12">
        <v>10</v>
      </c>
      <c r="AL84" s="12">
        <v>50</v>
      </c>
      <c r="AM84" s="12">
        <v>2</v>
      </c>
      <c r="AN84" s="12">
        <v>20</v>
      </c>
      <c r="AO84" s="12">
        <v>6</v>
      </c>
      <c r="AP84" s="12">
        <v>26</v>
      </c>
      <c r="AQ84" s="12">
        <v>4.88</v>
      </c>
      <c r="AR84" s="12" t="str">
        <f>_xlfn.XLOOKUP(Table354[[#This Row],[Match ID]],Calculations_1[Match ID],Calculations_1[Winning Team])</f>
        <v>South Africa</v>
      </c>
      <c r="AS84" s="12">
        <v>0</v>
      </c>
      <c r="AT84" s="12">
        <v>6</v>
      </c>
      <c r="AU84" s="12">
        <v>0</v>
      </c>
      <c r="AV84" s="12">
        <v>9</v>
      </c>
      <c r="AW84" s="12">
        <f>1</f>
        <v>1</v>
      </c>
      <c r="AX84" s="12">
        <f>IF(Table354[[#This Row],[Team]]=_xlfn.XLOOKUP(Table354[[#This Row],[Match ID]],Calculations_1[Match ID],Calculations_1[Winning Team]),1,0)</f>
        <v>0</v>
      </c>
      <c r="AY84" s="12">
        <f>IF(NOT(Table354[[#This Row],[Win(1/0)]]),1,0)</f>
        <v>1</v>
      </c>
      <c r="AZ84" s="12" t="str">
        <f>IF(Table354[[#This Row],[Win(1/0)]]=1,"Win","Loss")</f>
        <v>Loss</v>
      </c>
      <c r="BA84" s="12">
        <f>IF(Table354[[#This Row],[Team]]=_xlfn.XLOOKUP(Table354[[#This Row],[Match ID]],Calculations_1[Match ID],Calculations_1[Toss Winner]),1,0)</f>
        <v>1</v>
      </c>
      <c r="BB84" s="12">
        <f>Table354[[#This Row],[Win(1/0)]]*Table354[[#This Row],[Toss Won (1/0)]]</f>
        <v>0</v>
      </c>
      <c r="BC84" s="12" t="str" cm="1">
        <f t="array" ref="BC84">_xlfn.XLOOKUP(Table354[[#This Row],[Match ID]],Calculations_1[Match ID],Calculations_1[Toss Decision],NA,0)</f>
        <v>Bat</v>
      </c>
    </row>
    <row r="85" spans="27:55" x14ac:dyDescent="0.3">
      <c r="AA85" s="12">
        <v>42</v>
      </c>
      <c r="AB85" s="22">
        <v>45240</v>
      </c>
      <c r="AC85" s="12" t="s">
        <v>75</v>
      </c>
      <c r="AD85" s="12" t="s">
        <v>66</v>
      </c>
      <c r="AE85" s="12" t="s">
        <v>43</v>
      </c>
      <c r="AF85" s="12" t="s">
        <v>44</v>
      </c>
      <c r="AG85" s="12" t="s">
        <v>201</v>
      </c>
      <c r="AH85" s="12" t="s">
        <v>195</v>
      </c>
      <c r="AI85" s="12">
        <v>247</v>
      </c>
      <c r="AJ85" s="32" cm="1">
        <f t="array" ref="AJ85">_xlfn.XLOOKUP(
1,
(Table354[Match ID]=Table354[[#This Row],[Match ID]])*
(Table354[Team]=Table354[[#This Row],[Opponent]]),
Table354[Wickets Lost (batting)]
)</f>
        <v>10</v>
      </c>
      <c r="AK85" s="12">
        <v>5</v>
      </c>
      <c r="AL85" s="12">
        <v>47.3</v>
      </c>
      <c r="AM85" s="12">
        <v>2</v>
      </c>
      <c r="AN85" s="12">
        <v>15</v>
      </c>
      <c r="AO85" s="12">
        <v>9</v>
      </c>
      <c r="AP85" s="12">
        <v>24</v>
      </c>
      <c r="AQ85" s="12">
        <v>5.2</v>
      </c>
      <c r="AR85" s="12" t="str">
        <f>_xlfn.XLOOKUP(Table354[[#This Row],[Match ID]],Calculations_1[Match ID],Calculations_1[Winning Team])</f>
        <v>South Africa</v>
      </c>
      <c r="AS85" s="12">
        <v>4</v>
      </c>
      <c r="AT85" s="12">
        <v>10</v>
      </c>
      <c r="AU85" s="12">
        <v>0</v>
      </c>
      <c r="AV85" s="12">
        <v>15</v>
      </c>
      <c r="AW85" s="12">
        <f>1</f>
        <v>1</v>
      </c>
      <c r="AX85" s="12">
        <f>IF(Table354[[#This Row],[Team]]=_xlfn.XLOOKUP(Table354[[#This Row],[Match ID]],Calculations_1[Match ID],Calculations_1[Winning Team]),1,0)</f>
        <v>1</v>
      </c>
      <c r="AY85" s="12">
        <f>IF(NOT(Table354[[#This Row],[Win(1/0)]]),1,0)</f>
        <v>0</v>
      </c>
      <c r="AZ85" s="12" t="str">
        <f>IF(Table354[[#This Row],[Win(1/0)]]=1,"Win","Loss")</f>
        <v>Win</v>
      </c>
      <c r="BA85" s="12">
        <f>IF(Table354[[#This Row],[Team]]=_xlfn.XLOOKUP(Table354[[#This Row],[Match ID]],Calculations_1[Match ID],Calculations_1[Toss Winner]),1,0)</f>
        <v>0</v>
      </c>
      <c r="BB85" s="12">
        <f>Table354[[#This Row],[Win(1/0)]]*Table354[[#This Row],[Toss Won (1/0)]]</f>
        <v>0</v>
      </c>
      <c r="BC85" s="12" t="str" cm="1">
        <f t="array" ref="BC85">_xlfn.XLOOKUP(Table354[[#This Row],[Match ID]],Calculations_1[Match ID],Calculations_1[Toss Decision],NA,0)</f>
        <v>Bat</v>
      </c>
    </row>
    <row r="86" spans="27:55" x14ac:dyDescent="0.3">
      <c r="AA86" s="12">
        <v>43</v>
      </c>
      <c r="AB86" s="22">
        <v>45241</v>
      </c>
      <c r="AC86" s="12" t="s">
        <v>84</v>
      </c>
      <c r="AD86" s="12" t="s">
        <v>67</v>
      </c>
      <c r="AE86" s="12" t="s">
        <v>118</v>
      </c>
      <c r="AF86" s="12" t="s">
        <v>119</v>
      </c>
      <c r="AG86" s="12" t="s">
        <v>201</v>
      </c>
      <c r="AH86" s="12" t="s">
        <v>195</v>
      </c>
      <c r="AI86" s="12">
        <v>306</v>
      </c>
      <c r="AJ86" s="32" cm="1">
        <f t="array" ref="AJ86">_xlfn.XLOOKUP(
1,
(Table354[Match ID]=Table354[[#This Row],[Match ID]])*
(Table354[Team]=Table354[[#This Row],[Opponent]]),
Table354[Wickets Lost (batting)]
)</f>
        <v>2</v>
      </c>
      <c r="AK86" s="12">
        <v>8</v>
      </c>
      <c r="AL86" s="12">
        <v>50</v>
      </c>
      <c r="AM86" s="12">
        <v>1</v>
      </c>
      <c r="AN86" s="12">
        <v>29</v>
      </c>
      <c r="AO86" s="12">
        <v>10</v>
      </c>
      <c r="AP86" s="12">
        <v>39</v>
      </c>
      <c r="AQ86" s="12">
        <v>6.12</v>
      </c>
      <c r="AR86" s="12" t="str">
        <f>_xlfn.XLOOKUP(Table354[[#This Row],[Match ID]],Calculations_1[Match ID],Calculations_1[Winning Team])</f>
        <v>Australia</v>
      </c>
      <c r="AS86" s="12">
        <v>0</v>
      </c>
      <c r="AT86" s="12">
        <v>12</v>
      </c>
      <c r="AU86" s="12">
        <v>2</v>
      </c>
      <c r="AV86" s="12">
        <v>24</v>
      </c>
      <c r="AW86" s="12">
        <f>1</f>
        <v>1</v>
      </c>
      <c r="AX86" s="12">
        <f>IF(Table354[[#This Row],[Team]]=_xlfn.XLOOKUP(Table354[[#This Row],[Match ID]],Calculations_1[Match ID],Calculations_1[Winning Team]),1,0)</f>
        <v>1</v>
      </c>
      <c r="AY86" s="12">
        <f>IF(NOT(Table354[[#This Row],[Win(1/0)]]),1,0)</f>
        <v>0</v>
      </c>
      <c r="AZ86" s="12" t="str">
        <f>IF(Table354[[#This Row],[Win(1/0)]]=1,"Win","Loss")</f>
        <v>Win</v>
      </c>
      <c r="BA86" s="12">
        <f>IF(Table354[[#This Row],[Team]]=_xlfn.XLOOKUP(Table354[[#This Row],[Match ID]],Calculations_1[Match ID],Calculations_1[Toss Winner]),1,0)</f>
        <v>1</v>
      </c>
      <c r="BB86" s="12">
        <f>Table354[[#This Row],[Win(1/0)]]*Table354[[#This Row],[Toss Won (1/0)]]</f>
        <v>1</v>
      </c>
      <c r="BC86" s="12" t="str" cm="1">
        <f t="array" ref="BC86">_xlfn.XLOOKUP(Table354[[#This Row],[Match ID]],Calculations_1[Match ID],Calculations_1[Toss Decision],NA,0)</f>
        <v>Field</v>
      </c>
    </row>
    <row r="87" spans="27:55" x14ac:dyDescent="0.3">
      <c r="AA87" s="12">
        <v>43</v>
      </c>
      <c r="AB87" s="22">
        <v>45241</v>
      </c>
      <c r="AC87" s="12" t="s">
        <v>67</v>
      </c>
      <c r="AD87" s="12" t="s">
        <v>84</v>
      </c>
      <c r="AE87" s="12" t="s">
        <v>118</v>
      </c>
      <c r="AF87" s="12" t="s">
        <v>119</v>
      </c>
      <c r="AG87" s="12" t="s">
        <v>201</v>
      </c>
      <c r="AH87" s="12" t="s">
        <v>195</v>
      </c>
      <c r="AI87" s="12">
        <v>307</v>
      </c>
      <c r="AJ87" s="32" cm="1">
        <f t="array" ref="AJ87">_xlfn.XLOOKUP(
1,
(Table354[Match ID]=Table354[[#This Row],[Match ID]])*
(Table354[Team]=Table354[[#This Row],[Opponent]]),
Table354[Wickets Lost (batting)]
)</f>
        <v>8</v>
      </c>
      <c r="AK87" s="12">
        <v>2</v>
      </c>
      <c r="AL87" s="12">
        <v>44.4</v>
      </c>
      <c r="AM87" s="12">
        <v>1</v>
      </c>
      <c r="AN87" s="12">
        <v>27</v>
      </c>
      <c r="AO87" s="12">
        <v>6</v>
      </c>
      <c r="AP87" s="12">
        <v>33</v>
      </c>
      <c r="AQ87" s="12">
        <v>6.87</v>
      </c>
      <c r="AR87" s="12" t="str">
        <f>_xlfn.XLOOKUP(Table354[[#This Row],[Match ID]],Calculations_1[Match ID],Calculations_1[Winning Team])</f>
        <v>Australia</v>
      </c>
      <c r="AS87" s="12">
        <v>0</v>
      </c>
      <c r="AT87" s="12">
        <v>4</v>
      </c>
      <c r="AU87" s="12">
        <v>0</v>
      </c>
      <c r="AV87" s="12">
        <v>4</v>
      </c>
      <c r="AW87" s="12">
        <f>1</f>
        <v>1</v>
      </c>
      <c r="AX87" s="12">
        <f>IF(Table354[[#This Row],[Team]]=_xlfn.XLOOKUP(Table354[[#This Row],[Match ID]],Calculations_1[Match ID],Calculations_1[Winning Team]),1,0)</f>
        <v>0</v>
      </c>
      <c r="AY87" s="12">
        <f>IF(NOT(Table354[[#This Row],[Win(1/0)]]),1,0)</f>
        <v>1</v>
      </c>
      <c r="AZ87" s="12" t="str">
        <f>IF(Table354[[#This Row],[Win(1/0)]]=1,"Win","Loss")</f>
        <v>Loss</v>
      </c>
      <c r="BA87" s="12">
        <f>IF(Table354[[#This Row],[Team]]=_xlfn.XLOOKUP(Table354[[#This Row],[Match ID]],Calculations_1[Match ID],Calculations_1[Toss Winner]),1,0)</f>
        <v>0</v>
      </c>
      <c r="BB87" s="12">
        <f>Table354[[#This Row],[Win(1/0)]]*Table354[[#This Row],[Toss Won (1/0)]]</f>
        <v>0</v>
      </c>
      <c r="BC87" s="12" t="str" cm="1">
        <f t="array" ref="BC87">_xlfn.XLOOKUP(Table354[[#This Row],[Match ID]],Calculations_1[Match ID],Calculations_1[Toss Decision],NA,0)</f>
        <v>Field</v>
      </c>
    </row>
    <row r="88" spans="27:55" x14ac:dyDescent="0.3">
      <c r="AA88" s="12">
        <v>44</v>
      </c>
      <c r="AB88" s="22">
        <v>45241</v>
      </c>
      <c r="AC88" s="12" t="s">
        <v>45</v>
      </c>
      <c r="AD88" s="12" t="s">
        <v>56</v>
      </c>
      <c r="AE88" s="12" t="s">
        <v>140</v>
      </c>
      <c r="AF88" s="12" t="s">
        <v>55</v>
      </c>
      <c r="AG88" s="12" t="s">
        <v>202</v>
      </c>
      <c r="AH88" s="12" t="s">
        <v>203</v>
      </c>
      <c r="AI88" s="12">
        <v>244</v>
      </c>
      <c r="AJ88" s="32" cm="1">
        <f t="array" ref="AJ88">_xlfn.XLOOKUP(
1,
(Table354[Match ID]=Table354[[#This Row],[Match ID]])*
(Table354[Team]=Table354[[#This Row],[Opponent]]),
Table354[Wickets Lost (batting)]
)</f>
        <v>9</v>
      </c>
      <c r="AK88" s="12">
        <v>10</v>
      </c>
      <c r="AL88" s="12">
        <v>50</v>
      </c>
      <c r="AM88" s="12">
        <v>1</v>
      </c>
      <c r="AN88" s="12">
        <v>27</v>
      </c>
      <c r="AO88" s="12">
        <v>6</v>
      </c>
      <c r="AP88" s="12">
        <v>33</v>
      </c>
      <c r="AQ88" s="12">
        <v>6.74</v>
      </c>
      <c r="AR88" s="12" t="str">
        <f>_xlfn.XLOOKUP(Table354[[#This Row],[Match ID]],Calculations_1[Match ID],Calculations_1[Winning Team])</f>
        <v>England</v>
      </c>
      <c r="AS88" s="12">
        <v>5</v>
      </c>
      <c r="AT88" s="12">
        <v>12</v>
      </c>
      <c r="AU88" s="12">
        <v>0</v>
      </c>
      <c r="AV88" s="12">
        <v>19</v>
      </c>
      <c r="AW88" s="12">
        <f>1</f>
        <v>1</v>
      </c>
      <c r="AX88" s="12">
        <f>IF(Table354[[#This Row],[Team]]=_xlfn.XLOOKUP(Table354[[#This Row],[Match ID]],Calculations_1[Match ID],Calculations_1[Winning Team]),1,0)</f>
        <v>1</v>
      </c>
      <c r="AY88" s="12">
        <f>IF(NOT(Table354[[#This Row],[Win(1/0)]]),1,0)</f>
        <v>0</v>
      </c>
      <c r="AZ88" s="12" t="str">
        <f>IF(Table354[[#This Row],[Win(1/0)]]=1,"Win","Loss")</f>
        <v>Win</v>
      </c>
      <c r="BA88" s="12">
        <f>IF(Table354[[#This Row],[Team]]=_xlfn.XLOOKUP(Table354[[#This Row],[Match ID]],Calculations_1[Match ID],Calculations_1[Toss Winner]),1,0)</f>
        <v>1</v>
      </c>
      <c r="BB88" s="12">
        <f>Table354[[#This Row],[Win(1/0)]]*Table354[[#This Row],[Toss Won (1/0)]]</f>
        <v>1</v>
      </c>
      <c r="BC88" s="12" t="str" cm="1">
        <f t="array" ref="BC88">_xlfn.XLOOKUP(Table354[[#This Row],[Match ID]],Calculations_1[Match ID],Calculations_1[Toss Decision],NA,0)</f>
        <v>Bat</v>
      </c>
    </row>
    <row r="89" spans="27:55" x14ac:dyDescent="0.3">
      <c r="AA89" s="12">
        <v>44</v>
      </c>
      <c r="AB89" s="22">
        <v>45241</v>
      </c>
      <c r="AC89" s="12" t="s">
        <v>56</v>
      </c>
      <c r="AD89" s="12" t="s">
        <v>45</v>
      </c>
      <c r="AE89" s="12" t="s">
        <v>140</v>
      </c>
      <c r="AF89" s="12" t="s">
        <v>55</v>
      </c>
      <c r="AG89" s="12" t="s">
        <v>202</v>
      </c>
      <c r="AH89" s="12" t="s">
        <v>203</v>
      </c>
      <c r="AI89" s="12">
        <v>337</v>
      </c>
      <c r="AJ89" s="32" cm="1">
        <f t="array" ref="AJ89">_xlfn.XLOOKUP(
1,
(Table354[Match ID]=Table354[[#This Row],[Match ID]])*
(Table354[Team]=Table354[[#This Row],[Opponent]]),
Table354[Wickets Lost (batting)]
)</f>
        <v>10</v>
      </c>
      <c r="AK89" s="12">
        <v>9</v>
      </c>
      <c r="AL89" s="12">
        <v>43.3</v>
      </c>
      <c r="AM89" s="12">
        <v>0</v>
      </c>
      <c r="AN89" s="12">
        <v>35</v>
      </c>
      <c r="AO89" s="12">
        <v>8</v>
      </c>
      <c r="AP89" s="12">
        <v>43</v>
      </c>
      <c r="AQ89" s="12">
        <v>5.6</v>
      </c>
      <c r="AR89" s="12" t="str">
        <f>_xlfn.XLOOKUP(Table354[[#This Row],[Match ID]],Calculations_1[Match ID],Calculations_1[Winning Team])</f>
        <v>England</v>
      </c>
      <c r="AS89" s="12">
        <v>0</v>
      </c>
      <c r="AT89" s="12">
        <v>5</v>
      </c>
      <c r="AU89" s="12">
        <v>0</v>
      </c>
      <c r="AV89" s="12">
        <v>6</v>
      </c>
      <c r="AW89" s="12">
        <f>1</f>
        <v>1</v>
      </c>
      <c r="AX89" s="12">
        <f>IF(Table354[[#This Row],[Team]]=_xlfn.XLOOKUP(Table354[[#This Row],[Match ID]],Calculations_1[Match ID],Calculations_1[Winning Team]),1,0)</f>
        <v>0</v>
      </c>
      <c r="AY89" s="12">
        <f>IF(NOT(Table354[[#This Row],[Win(1/0)]]),1,0)</f>
        <v>1</v>
      </c>
      <c r="AZ89" s="12" t="str">
        <f>IF(Table354[[#This Row],[Win(1/0)]]=1,"Win","Loss")</f>
        <v>Loss</v>
      </c>
      <c r="BA89" s="12">
        <f>IF(Table354[[#This Row],[Team]]=_xlfn.XLOOKUP(Table354[[#This Row],[Match ID]],Calculations_1[Match ID],Calculations_1[Toss Winner]),1,0)</f>
        <v>0</v>
      </c>
      <c r="BB89" s="12">
        <f>Table354[[#This Row],[Win(1/0)]]*Table354[[#This Row],[Toss Won (1/0)]]</f>
        <v>0</v>
      </c>
      <c r="BC89" s="12" t="str" cm="1">
        <f t="array" ref="BC89">_xlfn.XLOOKUP(Table354[[#This Row],[Match ID]],Calculations_1[Match ID],Calculations_1[Toss Decision],NA,0)</f>
        <v>Bat</v>
      </c>
    </row>
    <row r="90" spans="27:55" x14ac:dyDescent="0.3">
      <c r="AA90" s="12">
        <v>45</v>
      </c>
      <c r="AB90" s="22">
        <v>45242</v>
      </c>
      <c r="AC90" s="12" t="s">
        <v>85</v>
      </c>
      <c r="AD90" s="12" t="s">
        <v>57</v>
      </c>
      <c r="AE90" s="12" t="s">
        <v>121</v>
      </c>
      <c r="AF90" s="12" t="s">
        <v>122</v>
      </c>
      <c r="AG90" s="12" t="s">
        <v>202</v>
      </c>
      <c r="AH90" s="12" t="s">
        <v>203</v>
      </c>
      <c r="AI90" s="12">
        <v>410</v>
      </c>
      <c r="AJ90" s="32" cm="1">
        <f t="array" ref="AJ90">_xlfn.XLOOKUP(
1,
(Table354[Match ID]=Table354[[#This Row],[Match ID]])*
(Table354[Team]=Table354[[#This Row],[Opponent]]),
Table354[Wickets Lost (batting)]
)</f>
        <v>10</v>
      </c>
      <c r="AK90" s="12">
        <v>4</v>
      </c>
      <c r="AL90" s="12">
        <v>50</v>
      </c>
      <c r="AM90" s="12">
        <v>3</v>
      </c>
      <c r="AN90" s="12">
        <v>37</v>
      </c>
      <c r="AO90" s="12">
        <v>16</v>
      </c>
      <c r="AP90" s="12">
        <v>53</v>
      </c>
      <c r="AQ90" s="12">
        <v>8.1999999999999993</v>
      </c>
      <c r="AR90" s="12" t="str">
        <f>_xlfn.XLOOKUP(Table354[[#This Row],[Match ID]],Calculations_1[Match ID],Calculations_1[Winning Team])</f>
        <v>India</v>
      </c>
      <c r="AS90" s="12">
        <v>0</v>
      </c>
      <c r="AT90" s="12">
        <v>4</v>
      </c>
      <c r="AU90" s="12">
        <v>0</v>
      </c>
      <c r="AV90" s="12">
        <v>13</v>
      </c>
      <c r="AW90" s="12">
        <f>1</f>
        <v>1</v>
      </c>
      <c r="AX90" s="12">
        <f>IF(Table354[[#This Row],[Team]]=_xlfn.XLOOKUP(Table354[[#This Row],[Match ID]],Calculations_1[Match ID],Calculations_1[Winning Team]),1,0)</f>
        <v>1</v>
      </c>
      <c r="AY90" s="12">
        <f>IF(NOT(Table354[[#This Row],[Win(1/0)]]),1,0)</f>
        <v>0</v>
      </c>
      <c r="AZ90" s="12" t="str">
        <f>IF(Table354[[#This Row],[Win(1/0)]]=1,"Win","Loss")</f>
        <v>Win</v>
      </c>
      <c r="BA90" s="12">
        <f>IF(Table354[[#This Row],[Team]]=_xlfn.XLOOKUP(Table354[[#This Row],[Match ID]],Calculations_1[Match ID],Calculations_1[Toss Winner]),1,0)</f>
        <v>1</v>
      </c>
      <c r="BB90" s="12">
        <f>Table354[[#This Row],[Win(1/0)]]*Table354[[#This Row],[Toss Won (1/0)]]</f>
        <v>1</v>
      </c>
      <c r="BC90" s="12" t="str" cm="1">
        <f t="array" ref="BC90">_xlfn.XLOOKUP(Table354[[#This Row],[Match ID]],Calculations_1[Match ID],Calculations_1[Toss Decision],NA,0)</f>
        <v>Bat</v>
      </c>
    </row>
    <row r="91" spans="27:55" x14ac:dyDescent="0.3">
      <c r="AA91" s="12">
        <v>45</v>
      </c>
      <c r="AB91" s="22">
        <v>45242</v>
      </c>
      <c r="AC91" s="12" t="s">
        <v>57</v>
      </c>
      <c r="AD91" s="12" t="s">
        <v>85</v>
      </c>
      <c r="AE91" s="12" t="s">
        <v>121</v>
      </c>
      <c r="AF91" s="12" t="s">
        <v>122</v>
      </c>
      <c r="AG91" s="12" t="s">
        <v>202</v>
      </c>
      <c r="AH91" s="12" t="s">
        <v>203</v>
      </c>
      <c r="AI91" s="12">
        <v>250</v>
      </c>
      <c r="AJ91" s="32" cm="1">
        <f t="array" ref="AJ91">_xlfn.XLOOKUP(
1,
(Table354[Match ID]=Table354[[#This Row],[Match ID]])*
(Table354[Team]=Table354[[#This Row],[Opponent]]),
Table354[Wickets Lost (batting)]
)</f>
        <v>4</v>
      </c>
      <c r="AK91" s="12">
        <v>10</v>
      </c>
      <c r="AL91" s="12">
        <v>47.5</v>
      </c>
      <c r="AM91" s="12">
        <v>0</v>
      </c>
      <c r="AN91" s="12">
        <v>19</v>
      </c>
      <c r="AO91" s="12">
        <v>9</v>
      </c>
      <c r="AP91" s="12">
        <v>28</v>
      </c>
      <c r="AQ91" s="12">
        <v>5.22</v>
      </c>
      <c r="AR91" s="12" t="str">
        <f>_xlfn.XLOOKUP(Table354[[#This Row],[Match ID]],Calculations_1[Match ID],Calculations_1[Winning Team])</f>
        <v>India</v>
      </c>
      <c r="AS91" s="12">
        <v>0</v>
      </c>
      <c r="AT91" s="12">
        <v>13</v>
      </c>
      <c r="AU91" s="12">
        <v>1</v>
      </c>
      <c r="AV91" s="12">
        <v>15</v>
      </c>
      <c r="AW91" s="12">
        <f>1</f>
        <v>1</v>
      </c>
      <c r="AX91" s="12">
        <f>IF(Table354[[#This Row],[Team]]=_xlfn.XLOOKUP(Table354[[#This Row],[Match ID]],Calculations_1[Match ID],Calculations_1[Winning Team]),1,0)</f>
        <v>0</v>
      </c>
      <c r="AY91" s="12">
        <f>IF(NOT(Table354[[#This Row],[Win(1/0)]]),1,0)</f>
        <v>1</v>
      </c>
      <c r="AZ91" s="12" t="str">
        <f>IF(Table354[[#This Row],[Win(1/0)]]=1,"Win","Loss")</f>
        <v>Loss</v>
      </c>
      <c r="BA91" s="12">
        <f>IF(Table354[[#This Row],[Team]]=_xlfn.XLOOKUP(Table354[[#This Row],[Match ID]],Calculations_1[Match ID],Calculations_1[Toss Winner]),1,0)</f>
        <v>0</v>
      </c>
      <c r="BB91" s="12">
        <f>Table354[[#This Row],[Win(1/0)]]*Table354[[#This Row],[Toss Won (1/0)]]</f>
        <v>0</v>
      </c>
      <c r="BC91" s="12" t="str" cm="1">
        <f t="array" ref="BC91">_xlfn.XLOOKUP(Table354[[#This Row],[Match ID]],Calculations_1[Match ID],Calculations_1[Toss Decision],NA,0)</f>
        <v>Bat</v>
      </c>
    </row>
    <row r="92" spans="27:55" x14ac:dyDescent="0.3">
      <c r="AA92" s="12">
        <v>46</v>
      </c>
      <c r="AB92" s="22">
        <v>45245</v>
      </c>
      <c r="AC92" s="12" t="s">
        <v>85</v>
      </c>
      <c r="AD92" s="12" t="s">
        <v>200</v>
      </c>
      <c r="AE92" s="12" t="s">
        <v>126</v>
      </c>
      <c r="AF92" s="12" t="s">
        <v>127</v>
      </c>
      <c r="AG92" s="12" t="s">
        <v>202</v>
      </c>
      <c r="AH92" s="12" t="s">
        <v>203</v>
      </c>
      <c r="AI92" s="12">
        <v>397</v>
      </c>
      <c r="AJ92" s="32" cm="1">
        <f t="array" ref="AJ92">_xlfn.XLOOKUP(
1,
(Table354[Match ID]=Table354[[#This Row],[Match ID]])*
(Table354[Team]=Table354[[#This Row],[Opponent]]),
Table354[Wickets Lost (batting)]
)</f>
        <v>10</v>
      </c>
      <c r="AK92" s="12">
        <v>4</v>
      </c>
      <c r="AL92" s="12">
        <v>50</v>
      </c>
      <c r="AM92" s="12">
        <v>1</v>
      </c>
      <c r="AN92" s="12">
        <v>30</v>
      </c>
      <c r="AO92" s="12">
        <v>19</v>
      </c>
      <c r="AP92" s="12">
        <v>49</v>
      </c>
      <c r="AQ92" s="12">
        <v>7.94</v>
      </c>
      <c r="AR92" s="12" t="str">
        <f>_xlfn.XLOOKUP(Table354[[#This Row],[Match ID]],Calculations_1[Match ID],Calculations_1[Winning Team])</f>
        <v>India</v>
      </c>
      <c r="AS92" s="12">
        <v>4</v>
      </c>
      <c r="AT92" s="12">
        <v>19</v>
      </c>
      <c r="AU92" s="12">
        <v>1</v>
      </c>
      <c r="AV92" s="12">
        <v>29</v>
      </c>
      <c r="AW92" s="12">
        <f>1</f>
        <v>1</v>
      </c>
      <c r="AX92" s="12">
        <f>IF(Table354[[#This Row],[Team]]=_xlfn.XLOOKUP(Table354[[#This Row],[Match ID]],Calculations_1[Match ID],Calculations_1[Winning Team]),1,0)</f>
        <v>1</v>
      </c>
      <c r="AY92" s="12">
        <f>IF(NOT(Table354[[#This Row],[Win(1/0)]]),1,0)</f>
        <v>0</v>
      </c>
      <c r="AZ92" s="12" t="str">
        <f>IF(Table354[[#This Row],[Win(1/0)]]=1,"Win","Loss")</f>
        <v>Win</v>
      </c>
      <c r="BA92" s="12">
        <f>IF(Table354[[#This Row],[Team]]=_xlfn.XLOOKUP(Table354[[#This Row],[Match ID]],Calculations_1[Match ID],Calculations_1[Toss Winner]),1,0)</f>
        <v>1</v>
      </c>
      <c r="BB92" s="12">
        <f>Table354[[#This Row],[Win(1/0)]]*Table354[[#This Row],[Toss Won (1/0)]]</f>
        <v>1</v>
      </c>
      <c r="BC92" s="12" t="str" cm="1">
        <f t="array" ref="BC92">_xlfn.XLOOKUP(Table354[[#This Row],[Match ID]],Calculations_1[Match ID],Calculations_1[Toss Decision],NA,0)</f>
        <v>Bat</v>
      </c>
    </row>
    <row r="93" spans="27:55" x14ac:dyDescent="0.3">
      <c r="AA93" s="12">
        <v>46</v>
      </c>
      <c r="AB93" s="22">
        <v>45245</v>
      </c>
      <c r="AC93" s="12" t="s">
        <v>200</v>
      </c>
      <c r="AD93" s="12" t="s">
        <v>85</v>
      </c>
      <c r="AE93" s="12" t="s">
        <v>126</v>
      </c>
      <c r="AF93" s="12" t="s">
        <v>127</v>
      </c>
      <c r="AG93" s="12" t="s">
        <v>202</v>
      </c>
      <c r="AH93" s="12" t="s">
        <v>203</v>
      </c>
      <c r="AI93" s="12">
        <v>327</v>
      </c>
      <c r="AJ93" s="32" cm="1">
        <f t="array" ref="AJ93">_xlfn.XLOOKUP(
1,
(Table354[Match ID]=Table354[[#This Row],[Match ID]])*
(Table354[Team]=Table354[[#This Row],[Opponent]]),
Table354[Wickets Lost (batting)]
)</f>
        <v>4</v>
      </c>
      <c r="AK93" s="12">
        <v>10</v>
      </c>
      <c r="AL93" s="12">
        <v>48.5</v>
      </c>
      <c r="AM93" s="12">
        <v>1</v>
      </c>
      <c r="AN93" s="12">
        <v>29</v>
      </c>
      <c r="AO93" s="12">
        <v>11</v>
      </c>
      <c r="AP93" s="12">
        <v>40</v>
      </c>
      <c r="AQ93" s="12">
        <v>6.69</v>
      </c>
      <c r="AR93" s="12" t="str">
        <f>_xlfn.XLOOKUP(Table354[[#This Row],[Match ID]],Calculations_1[Match ID],Calculations_1[Winning Team])</f>
        <v>India</v>
      </c>
      <c r="AS93" s="12">
        <v>1</v>
      </c>
      <c r="AT93" s="12">
        <v>6</v>
      </c>
      <c r="AU93" s="12">
        <v>0</v>
      </c>
      <c r="AV93" s="12">
        <v>8</v>
      </c>
      <c r="AW93" s="12">
        <f>1</f>
        <v>1</v>
      </c>
      <c r="AX93" s="12">
        <f>IF(Table354[[#This Row],[Team]]=_xlfn.XLOOKUP(Table354[[#This Row],[Match ID]],Calculations_1[Match ID],Calculations_1[Winning Team]),1,0)</f>
        <v>0</v>
      </c>
      <c r="AY93" s="12">
        <f>IF(NOT(Table354[[#This Row],[Win(1/0)]]),1,0)</f>
        <v>1</v>
      </c>
      <c r="AZ93" s="12" t="str">
        <f>IF(Table354[[#This Row],[Win(1/0)]]=1,"Win","Loss")</f>
        <v>Loss</v>
      </c>
      <c r="BA93" s="12">
        <f>IF(Table354[[#This Row],[Team]]=_xlfn.XLOOKUP(Table354[[#This Row],[Match ID]],Calculations_1[Match ID],Calculations_1[Toss Winner]),1,0)</f>
        <v>0</v>
      </c>
      <c r="BB93" s="12">
        <f>Table354[[#This Row],[Win(1/0)]]*Table354[[#This Row],[Toss Won (1/0)]]</f>
        <v>0</v>
      </c>
      <c r="BC93" s="12" t="str" cm="1">
        <f t="array" ref="BC93">_xlfn.XLOOKUP(Table354[[#This Row],[Match ID]],Calculations_1[Match ID],Calculations_1[Toss Decision],NA,0)</f>
        <v>Bat</v>
      </c>
    </row>
    <row r="94" spans="27:55" x14ac:dyDescent="0.3">
      <c r="AA94" s="12">
        <v>47</v>
      </c>
      <c r="AB94" s="22">
        <v>45246</v>
      </c>
      <c r="AC94" s="12" t="s">
        <v>84</v>
      </c>
      <c r="AD94" s="12" t="s">
        <v>75</v>
      </c>
      <c r="AE94" s="12" t="s">
        <v>140</v>
      </c>
      <c r="AF94" s="12" t="s">
        <v>55</v>
      </c>
      <c r="AG94" s="12" t="s">
        <v>201</v>
      </c>
      <c r="AH94" s="12" t="s">
        <v>195</v>
      </c>
      <c r="AI94" s="12">
        <v>215</v>
      </c>
      <c r="AJ94" s="32" cm="1">
        <f t="array" ref="AJ94">_xlfn.XLOOKUP(
1,
(Table354[Match ID]=Table354[[#This Row],[Match ID]])*
(Table354[Team]=Table354[[#This Row],[Opponent]]),
Table354[Wickets Lost (batting)]
)</f>
        <v>10</v>
      </c>
      <c r="AK94" s="12">
        <v>7</v>
      </c>
      <c r="AL94" s="12">
        <v>47.2</v>
      </c>
      <c r="AM94" s="12">
        <v>4</v>
      </c>
      <c r="AN94" s="12">
        <v>21</v>
      </c>
      <c r="AO94" s="12">
        <v>6</v>
      </c>
      <c r="AP94" s="12">
        <v>27</v>
      </c>
      <c r="AQ94" s="12">
        <v>4.54</v>
      </c>
      <c r="AR94" s="12" t="str">
        <f>_xlfn.XLOOKUP(Table354[[#This Row],[Match ID]],Calculations_1[Match ID],Calculations_1[Winning Team])</f>
        <v>Australia</v>
      </c>
      <c r="AS94" s="12">
        <v>0</v>
      </c>
      <c r="AT94" s="12">
        <v>7</v>
      </c>
      <c r="AU94" s="12">
        <v>0</v>
      </c>
      <c r="AV94" s="12">
        <v>11</v>
      </c>
      <c r="AW94" s="12">
        <f>1</f>
        <v>1</v>
      </c>
      <c r="AX94" s="12">
        <f>IF(Table354[[#This Row],[Team]]=_xlfn.XLOOKUP(Table354[[#This Row],[Match ID]],Calculations_1[Match ID],Calculations_1[Winning Team]),1,0)</f>
        <v>1</v>
      </c>
      <c r="AY94" s="12">
        <f>IF(NOT(Table354[[#This Row],[Win(1/0)]]),1,0)</f>
        <v>0</v>
      </c>
      <c r="AZ94" s="12" t="str">
        <f>IF(Table354[[#This Row],[Win(1/0)]]=1,"Win","Loss")</f>
        <v>Win</v>
      </c>
      <c r="BA94" s="12">
        <f>IF(Table354[[#This Row],[Team]]=_xlfn.XLOOKUP(Table354[[#This Row],[Match ID]],Calculations_1[Match ID],Calculations_1[Toss Winner]),1,0)</f>
        <v>0</v>
      </c>
      <c r="BB94" s="12">
        <f>Table354[[#This Row],[Win(1/0)]]*Table354[[#This Row],[Toss Won (1/0)]]</f>
        <v>0</v>
      </c>
      <c r="BC94" s="12" t="str" cm="1">
        <f t="array" ref="BC94">_xlfn.XLOOKUP(Table354[[#This Row],[Match ID]],Calculations_1[Match ID],Calculations_1[Toss Decision],NA,0)</f>
        <v>Bat</v>
      </c>
    </row>
    <row r="95" spans="27:55" x14ac:dyDescent="0.3">
      <c r="AA95" s="12">
        <v>47</v>
      </c>
      <c r="AB95" s="22">
        <v>45246</v>
      </c>
      <c r="AC95" s="12" t="s">
        <v>75</v>
      </c>
      <c r="AD95" s="12" t="s">
        <v>84</v>
      </c>
      <c r="AE95" s="12" t="s">
        <v>140</v>
      </c>
      <c r="AF95" s="12" t="s">
        <v>55</v>
      </c>
      <c r="AG95" s="12" t="s">
        <v>201</v>
      </c>
      <c r="AH95" s="12" t="s">
        <v>195</v>
      </c>
      <c r="AI95" s="12">
        <v>212</v>
      </c>
      <c r="AJ95" s="32" cm="1">
        <f t="array" ref="AJ95">_xlfn.XLOOKUP(
1,
(Table354[Match ID]=Table354[[#This Row],[Match ID]])*
(Table354[Team]=Table354[[#This Row],[Opponent]]),
Table354[Wickets Lost (batting)]
)</f>
        <v>7</v>
      </c>
      <c r="AK95" s="12">
        <v>10</v>
      </c>
      <c r="AL95" s="12">
        <v>49.4</v>
      </c>
      <c r="AM95" s="12">
        <v>1</v>
      </c>
      <c r="AN95" s="12">
        <v>16</v>
      </c>
      <c r="AO95" s="12">
        <v>8</v>
      </c>
      <c r="AP95" s="12">
        <v>24</v>
      </c>
      <c r="AQ95" s="12">
        <v>4.26</v>
      </c>
      <c r="AR95" s="12" t="str">
        <f>_xlfn.XLOOKUP(Table354[[#This Row],[Match ID]],Calculations_1[Match ID],Calculations_1[Winning Team])</f>
        <v>Australia</v>
      </c>
      <c r="AS95" s="12">
        <v>0</v>
      </c>
      <c r="AT95" s="12">
        <v>12</v>
      </c>
      <c r="AU95" s="12">
        <v>2</v>
      </c>
      <c r="AV95" s="12">
        <v>17</v>
      </c>
      <c r="AW95" s="12">
        <f>1</f>
        <v>1</v>
      </c>
      <c r="AX95" s="12">
        <f>IF(Table354[[#This Row],[Team]]=_xlfn.XLOOKUP(Table354[[#This Row],[Match ID]],Calculations_1[Match ID],Calculations_1[Winning Team]),1,0)</f>
        <v>0</v>
      </c>
      <c r="AY95" s="12">
        <f>IF(NOT(Table354[[#This Row],[Win(1/0)]]),1,0)</f>
        <v>1</v>
      </c>
      <c r="AZ95" s="12" t="str">
        <f>IF(Table354[[#This Row],[Win(1/0)]]=1,"Win","Loss")</f>
        <v>Loss</v>
      </c>
      <c r="BA95" s="12">
        <f>IF(Table354[[#This Row],[Team]]=_xlfn.XLOOKUP(Table354[[#This Row],[Match ID]],Calculations_1[Match ID],Calculations_1[Toss Winner]),1,0)</f>
        <v>1</v>
      </c>
      <c r="BB95" s="12">
        <f>Table354[[#This Row],[Win(1/0)]]*Table354[[#This Row],[Toss Won (1/0)]]</f>
        <v>0</v>
      </c>
      <c r="BC95" s="12" t="str" cm="1">
        <f t="array" ref="BC95">_xlfn.XLOOKUP(Table354[[#This Row],[Match ID]],Calculations_1[Match ID],Calculations_1[Toss Decision],NA,0)</f>
        <v>Bat</v>
      </c>
    </row>
    <row r="96" spans="27:55" x14ac:dyDescent="0.3">
      <c r="AA96" s="12">
        <v>48</v>
      </c>
      <c r="AB96" s="22">
        <v>45249</v>
      </c>
      <c r="AC96" s="12" t="s">
        <v>85</v>
      </c>
      <c r="AD96" s="12" t="s">
        <v>84</v>
      </c>
      <c r="AE96" s="12" t="s">
        <v>43</v>
      </c>
      <c r="AF96" s="12" t="s">
        <v>44</v>
      </c>
      <c r="AG96" s="12" t="s">
        <v>201</v>
      </c>
      <c r="AH96" s="12" t="s">
        <v>195</v>
      </c>
      <c r="AI96" s="12">
        <v>240</v>
      </c>
      <c r="AJ96" s="32" cm="1">
        <f t="array" ref="AJ96">_xlfn.XLOOKUP(
1,
(Table354[Match ID]=Table354[[#This Row],[Match ID]])*
(Table354[Team]=Table354[[#This Row],[Opponent]]),
Table354[Wickets Lost (batting)]
)</f>
        <v>4</v>
      </c>
      <c r="AK96" s="12">
        <v>10</v>
      </c>
      <c r="AL96" s="12">
        <v>50</v>
      </c>
      <c r="AM96" s="12">
        <v>3</v>
      </c>
      <c r="AN96" s="12">
        <v>13</v>
      </c>
      <c r="AO96" s="12">
        <v>3</v>
      </c>
      <c r="AP96" s="12">
        <v>16</v>
      </c>
      <c r="AQ96" s="12">
        <v>4.8</v>
      </c>
      <c r="AR96" s="12" t="str">
        <f>_xlfn.XLOOKUP(Table354[[#This Row],[Match ID]],Calculations_1[Match ID],Calculations_1[Winning Team])</f>
        <v>Australia</v>
      </c>
      <c r="AS96" s="12">
        <v>5</v>
      </c>
      <c r="AT96" s="12">
        <v>11</v>
      </c>
      <c r="AU96" s="12">
        <v>0</v>
      </c>
      <c r="AV96" s="12">
        <v>18</v>
      </c>
      <c r="AW96" s="12">
        <f>1</f>
        <v>1</v>
      </c>
      <c r="AX96" s="12">
        <f>IF(Table354[[#This Row],[Team]]=_xlfn.XLOOKUP(Table354[[#This Row],[Match ID]],Calculations_1[Match ID],Calculations_1[Winning Team]),1,0)</f>
        <v>0</v>
      </c>
      <c r="AY96" s="12">
        <f>IF(NOT(Table354[[#This Row],[Win(1/0)]]),1,0)</f>
        <v>1</v>
      </c>
      <c r="AZ96" s="12" t="str">
        <f>IF(Table354[[#This Row],[Win(1/0)]]=1,"Win","Loss")</f>
        <v>Loss</v>
      </c>
      <c r="BA96" s="12">
        <f>IF(Table354[[#This Row],[Team]]=_xlfn.XLOOKUP(Table354[[#This Row],[Match ID]],Calculations_1[Match ID],Calculations_1[Toss Winner]),1,0)</f>
        <v>0</v>
      </c>
      <c r="BB96" s="12">
        <f>Table354[[#This Row],[Win(1/0)]]*Table354[[#This Row],[Toss Won (1/0)]]</f>
        <v>0</v>
      </c>
      <c r="BC96" s="12" t="str" cm="1">
        <f t="array" ref="BC96">_xlfn.XLOOKUP(Table354[[#This Row],[Match ID]],Calculations_1[Match ID],Calculations_1[Toss Decision],NA,0)</f>
        <v>Field</v>
      </c>
    </row>
    <row r="97" spans="27:55" x14ac:dyDescent="0.3">
      <c r="AA97" s="12">
        <v>48</v>
      </c>
      <c r="AB97" s="22">
        <v>45249</v>
      </c>
      <c r="AC97" s="12" t="s">
        <v>84</v>
      </c>
      <c r="AD97" s="12" t="s">
        <v>85</v>
      </c>
      <c r="AE97" s="12" t="s">
        <v>43</v>
      </c>
      <c r="AF97" s="12" t="s">
        <v>44</v>
      </c>
      <c r="AG97" s="12" t="s">
        <v>201</v>
      </c>
      <c r="AH97" s="12" t="s">
        <v>195</v>
      </c>
      <c r="AI97" s="12">
        <v>241</v>
      </c>
      <c r="AJ97" s="32" cm="1">
        <f t="array" ref="AJ97">_xlfn.XLOOKUP(
1,
(Table354[Match ID]=Table354[[#This Row],[Match ID]])*
(Table354[Team]=Table354[[#This Row],[Opponent]]),
Table354[Wickets Lost (batting)]
)</f>
        <v>10</v>
      </c>
      <c r="AK97" s="12">
        <v>4</v>
      </c>
      <c r="AL97" s="12">
        <v>43</v>
      </c>
      <c r="AM97" s="12">
        <v>0</v>
      </c>
      <c r="AN97" s="12">
        <v>22</v>
      </c>
      <c r="AO97" s="12">
        <v>5</v>
      </c>
      <c r="AP97" s="12">
        <v>27</v>
      </c>
      <c r="AQ97" s="12">
        <v>5.6</v>
      </c>
      <c r="AR97" s="12" t="str">
        <f>_xlfn.XLOOKUP(Table354[[#This Row],[Match ID]],Calculations_1[Match ID],Calculations_1[Winning Team])</f>
        <v>Australia</v>
      </c>
      <c r="AS97" s="12">
        <v>0</v>
      </c>
      <c r="AT97" s="12">
        <v>9</v>
      </c>
      <c r="AU97" s="12">
        <v>0</v>
      </c>
      <c r="AV97" s="12">
        <v>12</v>
      </c>
      <c r="AW97" s="12">
        <f>1</f>
        <v>1</v>
      </c>
      <c r="AX97" s="12">
        <f>IF(Table354[[#This Row],[Team]]=_xlfn.XLOOKUP(Table354[[#This Row],[Match ID]],Calculations_1[Match ID],Calculations_1[Winning Team]),1,0)</f>
        <v>1</v>
      </c>
      <c r="AY97" s="12">
        <f>IF(NOT(Table354[[#This Row],[Win(1/0)]]),1,0)</f>
        <v>0</v>
      </c>
      <c r="AZ97" s="12" t="str">
        <f>IF(Table354[[#This Row],[Win(1/0)]]=1,"Win","Loss")</f>
        <v>Win</v>
      </c>
      <c r="BA97" s="12">
        <f>IF(Table354[[#This Row],[Team]]=_xlfn.XLOOKUP(Table354[[#This Row],[Match ID]],Calculations_1[Match ID],Calculations_1[Toss Winner]),1,0)</f>
        <v>1</v>
      </c>
      <c r="BB97" s="12">
        <f>Table354[[#This Row],[Win(1/0)]]*Table354[[#This Row],[Toss Won (1/0)]]</f>
        <v>1</v>
      </c>
      <c r="BC97" s="12" t="str" cm="1">
        <f t="array" ref="BC97">_xlfn.XLOOKUP(Table354[[#This Row],[Match ID]],Calculations_1[Match ID],Calculations_1[Toss Decision],NA,0)</f>
        <v>Field</v>
      </c>
    </row>
  </sheetData>
  <dataConsolidate function="var"/>
  <pageMargins left="0.7" right="0.7" top="0.75" bottom="0.75" header="0.3" footer="0.3"/>
  <ignoredErrors>
    <ignoredError sqref="X3" twoDigitTextYear="1"/>
  </ignoredErrors>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F631-8E41-4C17-9401-1F358248A885}">
  <sheetPr>
    <tabColor theme="4" tint="0.59999389629810485"/>
  </sheetPr>
  <dimension ref="A1:G42"/>
  <sheetViews>
    <sheetView topLeftCell="A3" zoomScale="80" workbookViewId="0">
      <selection activeCell="I17" sqref="I17"/>
    </sheetView>
  </sheetViews>
  <sheetFormatPr defaultRowHeight="13.8" x14ac:dyDescent="0.25"/>
  <cols>
    <col min="1" max="1" width="22.44140625" style="12" bestFit="1" customWidth="1"/>
    <col min="2" max="2" width="12.77734375" style="12" customWidth="1"/>
    <col min="3" max="4" width="8.88671875" style="12"/>
    <col min="5" max="5" width="11.77734375" style="12" customWidth="1"/>
    <col min="6" max="6" width="18.88671875" style="12" customWidth="1"/>
    <col min="7" max="7" width="16.33203125" style="12" customWidth="1"/>
    <col min="8" max="16384" width="8.88671875" style="12"/>
  </cols>
  <sheetData>
    <row r="1" spans="1:7" x14ac:dyDescent="0.25">
      <c r="A1" s="110" t="s">
        <v>311</v>
      </c>
      <c r="B1" s="111"/>
    </row>
    <row r="2" spans="1:7" x14ac:dyDescent="0.25">
      <c r="A2" s="111"/>
      <c r="B2" s="111"/>
    </row>
    <row r="4" spans="1:7" x14ac:dyDescent="0.25">
      <c r="A4" s="15" t="s">
        <v>235</v>
      </c>
      <c r="B4" s="15" t="s">
        <v>236</v>
      </c>
      <c r="E4" s="10" t="s">
        <v>238</v>
      </c>
      <c r="F4" s="10" t="s">
        <v>239</v>
      </c>
      <c r="G4" s="10" t="s">
        <v>236</v>
      </c>
    </row>
    <row r="5" spans="1:7" x14ac:dyDescent="0.25">
      <c r="A5" s="12" t="str" cm="1">
        <f t="array" ref="A5:A41">_xlfn._xlws.SORT(_xlfn.UNIQUE(Table1[Man of the Match]))</f>
        <v>Adam Zampa</v>
      </c>
      <c r="B5" s="12">
        <f>COUNTIF(Table1[Man of the Match],Player_Analysis!A5)</f>
        <v>2</v>
      </c>
      <c r="E5" s="12">
        <v>1</v>
      </c>
      <c r="F5" s="12" t="str" cm="1">
        <f t="array" ref="F5:G14">_xlfn.TAKE(_xlfn.SORTBY(A5:B41,B5:B41,-1),10)</f>
        <v>Mohammed Shami</v>
      </c>
      <c r="G5" s="12">
        <v>3</v>
      </c>
    </row>
    <row r="6" spans="1:7" x14ac:dyDescent="0.25">
      <c r="A6" s="12" t="str">
        <v>Aiden Markram</v>
      </c>
      <c r="B6" s="12">
        <f>COUNTIF(Table1[Man of the Match],Player_Analysis!A6)</f>
        <v>1</v>
      </c>
      <c r="E6" s="12">
        <v>2</v>
      </c>
      <c r="F6" s="12" t="str">
        <v>Travis Head</v>
      </c>
      <c r="G6" s="12">
        <v>3</v>
      </c>
    </row>
    <row r="7" spans="1:7" x14ac:dyDescent="0.25">
      <c r="A7" s="12" t="str">
        <v>Ben Stokes</v>
      </c>
      <c r="B7" s="12">
        <f>COUNTIF(Table1[Man of the Match],Player_Analysis!A7)</f>
        <v>1</v>
      </c>
      <c r="E7" s="12">
        <v>3</v>
      </c>
      <c r="F7" s="12" t="str">
        <v>Adam Zampa</v>
      </c>
      <c r="G7" s="12">
        <v>2</v>
      </c>
    </row>
    <row r="8" spans="1:7" x14ac:dyDescent="0.25">
      <c r="A8" s="12" t="str">
        <v>David Warner</v>
      </c>
      <c r="B8" s="12">
        <f>COUNTIF(Table1[Man of the Match],Player_Analysis!A8)</f>
        <v>1</v>
      </c>
      <c r="E8" s="12">
        <v>4</v>
      </c>
      <c r="F8" s="12" t="str">
        <v>Fakhar Zaman</v>
      </c>
      <c r="G8" s="12">
        <v>2</v>
      </c>
    </row>
    <row r="9" spans="1:7" x14ac:dyDescent="0.25">
      <c r="A9" s="12" t="str">
        <v>David Willey</v>
      </c>
      <c r="B9" s="12">
        <f>COUNTIF(Table1[Man of the Match],Player_Analysis!A9)</f>
        <v>1</v>
      </c>
      <c r="E9" s="12">
        <v>5</v>
      </c>
      <c r="F9" s="12" t="str">
        <v>Glenn Maxwell</v>
      </c>
      <c r="G9" s="12">
        <v>2</v>
      </c>
    </row>
    <row r="10" spans="1:7" x14ac:dyDescent="0.25">
      <c r="A10" s="12" t="str">
        <v>Dawid Malan</v>
      </c>
      <c r="B10" s="12">
        <f>COUNTIF(Table1[Man of the Match],Player_Analysis!A10)</f>
        <v>1</v>
      </c>
      <c r="E10" s="12">
        <v>6</v>
      </c>
      <c r="F10" s="12" t="str">
        <v>Quinton de Kock</v>
      </c>
      <c r="G10" s="12">
        <v>2</v>
      </c>
    </row>
    <row r="11" spans="1:7" x14ac:dyDescent="0.25">
      <c r="A11" s="12" t="str">
        <v>Fakhar Zaman</v>
      </c>
      <c r="B11" s="12">
        <f>COUNTIF(Table1[Man of the Match],Player_Analysis!A11)</f>
        <v>2</v>
      </c>
      <c r="E11" s="12">
        <v>7</v>
      </c>
      <c r="F11" s="12" t="str">
        <v>Rassie van der Dussen</v>
      </c>
      <c r="G11" s="12">
        <v>2</v>
      </c>
    </row>
    <row r="12" spans="1:7" x14ac:dyDescent="0.25">
      <c r="A12" s="12" t="str">
        <v>Fazalhaq Farooqi</v>
      </c>
      <c r="B12" s="12">
        <f>COUNTIF(Table1[Man of the Match],Player_Analysis!A12)</f>
        <v>1</v>
      </c>
      <c r="E12" s="12">
        <v>8</v>
      </c>
      <c r="F12" s="12" t="str">
        <v>Rohit Sharma</v>
      </c>
      <c r="G12" s="12">
        <v>2</v>
      </c>
    </row>
    <row r="13" spans="1:7" x14ac:dyDescent="0.25">
      <c r="A13" s="12" t="str">
        <v>Glenn Maxwell</v>
      </c>
      <c r="B13" s="12">
        <f>COUNTIF(Table1[Man of the Match],Player_Analysis!A13)</f>
        <v>2</v>
      </c>
      <c r="E13" s="12">
        <v>9</v>
      </c>
      <c r="F13" s="12" t="str">
        <v>Virat Kohli</v>
      </c>
      <c r="G13" s="12">
        <v>2</v>
      </c>
    </row>
    <row r="14" spans="1:7" x14ac:dyDescent="0.25">
      <c r="A14" s="12" t="str">
        <v>Glenn Phillips</v>
      </c>
      <c r="B14" s="12">
        <f>COUNTIF(Table1[Man of the Match],Player_Analysis!A14)</f>
        <v>1</v>
      </c>
      <c r="E14" s="12">
        <v>10</v>
      </c>
      <c r="F14" s="12" t="str">
        <v>Aiden Markram</v>
      </c>
      <c r="G14" s="12">
        <v>1</v>
      </c>
    </row>
    <row r="15" spans="1:7" x14ac:dyDescent="0.25">
      <c r="A15" s="12" t="str">
        <v>Heinrich Klaasen</v>
      </c>
      <c r="B15" s="12">
        <f>COUNTIF(Table1[Man of the Match],Player_Analysis!A15)</f>
        <v>1</v>
      </c>
    </row>
    <row r="16" spans="1:7" x14ac:dyDescent="0.25">
      <c r="A16" s="12" t="str">
        <v>Ibrahim Zadran</v>
      </c>
      <c r="B16" s="12">
        <f>COUNTIF(Table1[Man of the Match],Player_Analysis!A16)</f>
        <v>1</v>
      </c>
    </row>
    <row r="17" spans="1:2" x14ac:dyDescent="0.25">
      <c r="A17" s="12" t="str">
        <v>Jasprit Bumrah</v>
      </c>
      <c r="B17" s="12">
        <f>COUNTIF(Table1[Man of the Match],Player_Analysis!A17)</f>
        <v>1</v>
      </c>
    </row>
    <row r="18" spans="1:2" x14ac:dyDescent="0.25">
      <c r="A18" s="12" t="str">
        <v>KL Rahul</v>
      </c>
      <c r="B18" s="12">
        <f>COUNTIF(Table1[Man of the Match],Player_Analysis!A18)</f>
        <v>1</v>
      </c>
    </row>
    <row r="19" spans="1:2" x14ac:dyDescent="0.25">
      <c r="A19" s="12" t="str">
        <v>Lahiru Kumara</v>
      </c>
      <c r="B19" s="12">
        <f>COUNTIF(Table1[Man of the Match],Player_Analysis!A19)</f>
        <v>1</v>
      </c>
    </row>
    <row r="20" spans="1:2" x14ac:dyDescent="0.25">
      <c r="A20" s="12" t="str">
        <v>Lockie Ferguson</v>
      </c>
      <c r="B20" s="12">
        <f>COUNTIF(Table1[Man of the Match],Player_Analysis!A20)</f>
        <v>1</v>
      </c>
    </row>
    <row r="21" spans="1:2" x14ac:dyDescent="0.25">
      <c r="A21" s="12" t="str">
        <v>Mehidy Hasan Miraz</v>
      </c>
      <c r="B21" s="12">
        <f>COUNTIF(Table1[Man of the Match],Player_Analysis!A21)</f>
        <v>1</v>
      </c>
    </row>
    <row r="22" spans="1:2" x14ac:dyDescent="0.25">
      <c r="A22" s="12" t="str">
        <v>Mitchell Marsh</v>
      </c>
      <c r="B22" s="12">
        <f>COUNTIF(Table1[Man of the Match],Player_Analysis!A22)</f>
        <v>1</v>
      </c>
    </row>
    <row r="23" spans="1:2" x14ac:dyDescent="0.25">
      <c r="A23" s="12" t="str">
        <v>Mitchell Santner</v>
      </c>
      <c r="B23" s="12">
        <f>COUNTIF(Table1[Man of the Match],Player_Analysis!A23)</f>
        <v>1</v>
      </c>
    </row>
    <row r="24" spans="1:2" x14ac:dyDescent="0.25">
      <c r="A24" s="12" t="str">
        <v>Mohammad Nabi</v>
      </c>
      <c r="B24" s="12">
        <f>COUNTIF(Table1[Man of the Match],Player_Analysis!A24)</f>
        <v>1</v>
      </c>
    </row>
    <row r="25" spans="1:2" x14ac:dyDescent="0.25">
      <c r="A25" s="12" t="str">
        <v>Mohammad Rizwan</v>
      </c>
      <c r="B25" s="12">
        <f>COUNTIF(Table1[Man of the Match],Player_Analysis!A25)</f>
        <v>1</v>
      </c>
    </row>
    <row r="26" spans="1:2" x14ac:dyDescent="0.25">
      <c r="A26" s="12" t="str">
        <v>Mohammed Shami</v>
      </c>
      <c r="B26" s="12">
        <f>COUNTIF(Table1[Man of the Match],Player_Analysis!A26)</f>
        <v>3</v>
      </c>
    </row>
    <row r="27" spans="1:2" x14ac:dyDescent="0.25">
      <c r="A27" s="12" t="str">
        <v>Mujeeb Ur Rahman</v>
      </c>
      <c r="B27" s="12">
        <f>COUNTIF(Table1[Man of the Match],Player_Analysis!A27)</f>
        <v>1</v>
      </c>
    </row>
    <row r="28" spans="1:2" x14ac:dyDescent="0.25">
      <c r="A28" s="12" t="str">
        <v>Paul van Meekeren</v>
      </c>
      <c r="B28" s="12">
        <f>COUNTIF(Table1[Man of the Match],Player_Analysis!A28)</f>
        <v>1</v>
      </c>
    </row>
    <row r="29" spans="1:2" x14ac:dyDescent="0.25">
      <c r="A29" s="12" t="str">
        <v>Quinton de Kock</v>
      </c>
      <c r="B29" s="12">
        <f>COUNTIF(Table1[Man of the Match],Player_Analysis!A29)</f>
        <v>2</v>
      </c>
    </row>
    <row r="30" spans="1:2" x14ac:dyDescent="0.25">
      <c r="A30" s="12" t="str">
        <v>Rachin Ravindra</v>
      </c>
      <c r="B30" s="12">
        <f>COUNTIF(Table1[Man of the Match],Player_Analysis!A30)</f>
        <v>1</v>
      </c>
    </row>
    <row r="31" spans="1:2" x14ac:dyDescent="0.25">
      <c r="A31" s="12" t="str">
        <v>Rassie van der Dussen</v>
      </c>
      <c r="B31" s="12">
        <f>COUNTIF(Table1[Man of the Match],Player_Analysis!A31)</f>
        <v>2</v>
      </c>
    </row>
    <row r="32" spans="1:2" x14ac:dyDescent="0.25">
      <c r="A32" s="12" t="str">
        <v>Rohit Sharma</v>
      </c>
      <c r="B32" s="12">
        <f>COUNTIF(Table1[Man of the Match],Player_Analysis!A32)</f>
        <v>2</v>
      </c>
    </row>
    <row r="33" spans="1:3" x14ac:dyDescent="0.25">
      <c r="A33" s="12" t="str">
        <v>Sadeera Samarawickrama</v>
      </c>
      <c r="B33" s="12">
        <f>COUNTIF(Table1[Man of the Match],Player_Analysis!A33)</f>
        <v>1</v>
      </c>
    </row>
    <row r="34" spans="1:3" x14ac:dyDescent="0.25">
      <c r="A34" s="12" t="str">
        <v>Saud Shakeel</v>
      </c>
      <c r="B34" s="12">
        <f>COUNTIF(Table1[Man of the Match],Player_Analysis!A34)</f>
        <v>1</v>
      </c>
    </row>
    <row r="35" spans="1:3" x14ac:dyDescent="0.25">
      <c r="A35" s="12" t="str">
        <v>Scott Edwards</v>
      </c>
      <c r="B35" s="12">
        <f>COUNTIF(Table1[Man of the Match],Player_Analysis!A35)</f>
        <v>1</v>
      </c>
    </row>
    <row r="36" spans="1:3" x14ac:dyDescent="0.25">
      <c r="A36" s="12" t="str">
        <v>Shakib Al Hasan</v>
      </c>
      <c r="B36" s="12">
        <f>COUNTIF(Table1[Man of the Match],Player_Analysis!A36)</f>
        <v>1</v>
      </c>
    </row>
    <row r="37" spans="1:3" x14ac:dyDescent="0.25">
      <c r="A37" s="12" t="str">
        <v>Shreyas Iyer</v>
      </c>
      <c r="B37" s="12">
        <f>COUNTIF(Table1[Man of the Match],Player_Analysis!A37)</f>
        <v>1</v>
      </c>
    </row>
    <row r="38" spans="1:3" x14ac:dyDescent="0.25">
      <c r="A38" s="12" t="str">
        <v>Tabraiz Shamsi</v>
      </c>
      <c r="B38" s="12">
        <f>COUNTIF(Table1[Man of the Match],Player_Analysis!A38)</f>
        <v>1</v>
      </c>
    </row>
    <row r="39" spans="1:3" x14ac:dyDescent="0.25">
      <c r="A39" s="12" t="str">
        <v>Travis Head</v>
      </c>
      <c r="B39" s="12">
        <f>COUNTIF(Table1[Man of the Match],Player_Analysis!A39)</f>
        <v>3</v>
      </c>
    </row>
    <row r="40" spans="1:3" x14ac:dyDescent="0.25">
      <c r="A40" s="12" t="str">
        <v>Trent Boult</v>
      </c>
      <c r="B40" s="12">
        <f>COUNTIF(Table1[Man of the Match],Player_Analysis!A40)</f>
        <v>1</v>
      </c>
    </row>
    <row r="41" spans="1:3" x14ac:dyDescent="0.25">
      <c r="A41" s="12" t="str">
        <v>Virat Kohli</v>
      </c>
      <c r="B41" s="12">
        <f>COUNTIF(Table1[Man of the Match],Player_Analysis!A41)</f>
        <v>2</v>
      </c>
    </row>
    <row r="42" spans="1:3" ht="14.4" thickBot="1" x14ac:dyDescent="0.3">
      <c r="A42" s="16" t="s">
        <v>237</v>
      </c>
      <c r="B42" s="16">
        <f>SUM(B5:B41)</f>
        <v>48</v>
      </c>
      <c r="C42" s="17"/>
    </row>
  </sheetData>
  <mergeCells count="1">
    <mergeCell ref="A1:B2"/>
  </mergeCells>
  <conditionalFormatting sqref="B5:B41">
    <cfRule type="dataBar" priority="2">
      <dataBar>
        <cfvo type="min"/>
        <cfvo type="max"/>
        <color rgb="FF008AEF"/>
      </dataBar>
      <extLst>
        <ext xmlns:x14="http://schemas.microsoft.com/office/spreadsheetml/2009/9/main" uri="{B025F937-C7B1-47D3-B67F-A62EFF666E3E}">
          <x14:id>{6EF204F2-404C-4C30-8703-67CD5E88FB3E}</x14:id>
        </ext>
      </extLst>
    </cfRule>
  </conditionalFormatting>
  <conditionalFormatting sqref="G5:G14">
    <cfRule type="dataBar" priority="1">
      <dataBar>
        <cfvo type="min"/>
        <cfvo type="max"/>
        <color rgb="FFFFB628"/>
      </dataBar>
      <extLst>
        <ext xmlns:x14="http://schemas.microsoft.com/office/spreadsheetml/2009/9/main" uri="{B025F937-C7B1-47D3-B67F-A62EFF666E3E}">
          <x14:id>{343FC66A-9095-469B-BDA1-295692CA2DDE}</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6EF204F2-404C-4C30-8703-67CD5E88FB3E}">
            <x14:dataBar minLength="0" maxLength="100" border="1" negativeBarBorderColorSameAsPositive="0">
              <x14:cfvo type="autoMin"/>
              <x14:cfvo type="autoMax"/>
              <x14:borderColor rgb="FF008AEF"/>
              <x14:negativeFillColor rgb="FFFF0000"/>
              <x14:negativeBorderColor rgb="FFFF0000"/>
              <x14:axisColor rgb="FF000000"/>
            </x14:dataBar>
          </x14:cfRule>
          <xm:sqref>B5:B41</xm:sqref>
        </x14:conditionalFormatting>
        <x14:conditionalFormatting xmlns:xm="http://schemas.microsoft.com/office/excel/2006/main">
          <x14:cfRule type="dataBar" id="{343FC66A-9095-469B-BDA1-295692CA2DDE}">
            <x14:dataBar minLength="0" maxLength="100" border="1" negativeBarBorderColorSameAsPositive="0">
              <x14:cfvo type="autoMin"/>
              <x14:cfvo type="autoMax"/>
              <x14:borderColor rgb="FFFFB628"/>
              <x14:negativeFillColor rgb="FFFF0000"/>
              <x14:negativeBorderColor rgb="FFFF0000"/>
              <x14:axisColor rgb="FF000000"/>
            </x14:dataBar>
          </x14:cfRule>
          <xm:sqref>G5:G14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F034-C2E3-4CF6-97AB-EBCA1BA9C4E2}">
  <sheetPr>
    <tabColor rgb="FF33CC33"/>
  </sheetPr>
  <dimension ref="A1:Q28"/>
  <sheetViews>
    <sheetView zoomScale="94" zoomScaleNormal="100" workbookViewId="0">
      <selection activeCell="N24" sqref="N24"/>
    </sheetView>
  </sheetViews>
  <sheetFormatPr defaultRowHeight="14.4" x14ac:dyDescent="0.3"/>
  <cols>
    <col min="1" max="1" width="12.21875" bestFit="1" customWidth="1"/>
    <col min="2" max="2" width="7.6640625" bestFit="1" customWidth="1"/>
    <col min="3" max="3" width="4.6640625" bestFit="1" customWidth="1"/>
    <col min="4" max="4" width="8" bestFit="1" customWidth="1"/>
    <col min="5" max="5" width="6.5546875" bestFit="1" customWidth="1"/>
    <col min="6" max="6" width="8.44140625" bestFit="1" customWidth="1"/>
    <col min="7" max="7" width="6.6640625" bestFit="1" customWidth="1"/>
    <col min="8" max="8" width="9.33203125" bestFit="1" customWidth="1"/>
    <col min="9" max="9" width="5.44140625" bestFit="1" customWidth="1"/>
    <col min="10" max="10" width="4.33203125" bestFit="1" customWidth="1"/>
    <col min="11" max="11" width="19.21875" bestFit="1" customWidth="1"/>
    <col min="12" max="12" width="8" bestFit="1" customWidth="1"/>
    <col min="13" max="13" width="5.6640625" bestFit="1" customWidth="1"/>
    <col min="14" max="14" width="18.21875" bestFit="1" customWidth="1"/>
    <col min="15" max="15" width="8.88671875" style="7"/>
    <col min="16" max="16" width="10.88671875" style="7" customWidth="1"/>
  </cols>
  <sheetData>
    <row r="1" spans="1:17" ht="14.4" customHeight="1" x14ac:dyDescent="0.3">
      <c r="A1" s="112" t="s">
        <v>312</v>
      </c>
      <c r="B1" s="112"/>
      <c r="C1" s="112"/>
      <c r="D1" s="112"/>
    </row>
    <row r="2" spans="1:17" ht="14.4" customHeight="1" x14ac:dyDescent="0.3">
      <c r="A2" s="112"/>
      <c r="B2" s="112"/>
      <c r="C2" s="112"/>
      <c r="D2" s="112"/>
    </row>
    <row r="3" spans="1:17" ht="15" thickBot="1" x14ac:dyDescent="0.35"/>
    <row r="4" spans="1:17" s="4" customFormat="1" ht="27.6" customHeight="1" x14ac:dyDescent="0.3">
      <c r="A4" s="46" t="s">
        <v>198</v>
      </c>
      <c r="B4" s="46" t="s">
        <v>244</v>
      </c>
      <c r="C4" s="46" t="s">
        <v>285</v>
      </c>
      <c r="D4" s="46" t="s">
        <v>226</v>
      </c>
      <c r="E4" s="46" t="s">
        <v>227</v>
      </c>
      <c r="F4" s="46" t="s">
        <v>228</v>
      </c>
      <c r="G4" s="46" t="s">
        <v>229</v>
      </c>
      <c r="H4" s="46" t="s">
        <v>230</v>
      </c>
      <c r="I4" s="46" t="s">
        <v>209</v>
      </c>
      <c r="J4" s="46" t="s">
        <v>210</v>
      </c>
      <c r="K4" s="46" t="s">
        <v>231</v>
      </c>
      <c r="L4" s="46" t="s">
        <v>208</v>
      </c>
      <c r="M4" s="46" t="s">
        <v>232</v>
      </c>
      <c r="N4" s="46" t="s">
        <v>287</v>
      </c>
      <c r="O4" s="18" t="s">
        <v>233</v>
      </c>
      <c r="P4" s="18" t="s">
        <v>234</v>
      </c>
      <c r="Q4" s="8"/>
    </row>
    <row r="5" spans="1:17" x14ac:dyDescent="0.3">
      <c r="A5" s="48" t="s">
        <v>66</v>
      </c>
      <c r="B5" s="48">
        <v>9</v>
      </c>
      <c r="C5" s="48">
        <v>4</v>
      </c>
      <c r="D5" s="48">
        <v>5</v>
      </c>
      <c r="E5" s="48">
        <v>2093</v>
      </c>
      <c r="F5" s="48">
        <v>291</v>
      </c>
      <c r="G5" s="49">
        <v>232.55555555555554</v>
      </c>
      <c r="H5" s="50">
        <v>5</v>
      </c>
      <c r="I5" s="48">
        <v>178</v>
      </c>
      <c r="J5" s="48">
        <v>42</v>
      </c>
      <c r="K5" s="49">
        <v>7.5555555555555554</v>
      </c>
      <c r="L5" s="48">
        <v>13</v>
      </c>
      <c r="M5" s="48">
        <v>5</v>
      </c>
      <c r="N5" s="48">
        <v>1</v>
      </c>
      <c r="O5" s="21">
        <f t="shared" ref="O5:O15" si="0">IFERROR(C5/B5,0)</f>
        <v>0.44444444444444442</v>
      </c>
      <c r="P5" s="21">
        <f>IFERROR(N5/M5,0)</f>
        <v>0.2</v>
      </c>
    </row>
    <row r="6" spans="1:17" x14ac:dyDescent="0.3">
      <c r="A6" s="48" t="s">
        <v>84</v>
      </c>
      <c r="B6" s="48">
        <v>11</v>
      </c>
      <c r="C6" s="48">
        <v>9</v>
      </c>
      <c r="D6" s="48">
        <v>2</v>
      </c>
      <c r="E6" s="48">
        <v>3086</v>
      </c>
      <c r="F6" s="48">
        <v>399</v>
      </c>
      <c r="G6" s="49">
        <v>280.54545454545456</v>
      </c>
      <c r="H6" s="50">
        <v>5.9899999999999984</v>
      </c>
      <c r="I6" s="48">
        <v>287</v>
      </c>
      <c r="J6" s="48">
        <v>97</v>
      </c>
      <c r="K6" s="49">
        <v>8</v>
      </c>
      <c r="L6" s="48">
        <v>13</v>
      </c>
      <c r="M6" s="48">
        <v>5</v>
      </c>
      <c r="N6" s="48">
        <v>3</v>
      </c>
      <c r="O6" s="21">
        <f t="shared" si="0"/>
        <v>0.81818181818181823</v>
      </c>
      <c r="P6" s="21">
        <f t="shared" ref="P6:P14" si="1">IFERROR(N6/M6,0)</f>
        <v>0.6</v>
      </c>
    </row>
    <row r="7" spans="1:17" x14ac:dyDescent="0.3">
      <c r="A7" s="48" t="s">
        <v>67</v>
      </c>
      <c r="B7" s="48">
        <v>9</v>
      </c>
      <c r="C7" s="48">
        <v>2</v>
      </c>
      <c r="D7" s="48">
        <v>7</v>
      </c>
      <c r="E7" s="48">
        <v>2142</v>
      </c>
      <c r="F7" s="48">
        <v>307</v>
      </c>
      <c r="G7" s="49">
        <v>238</v>
      </c>
      <c r="H7" s="50">
        <v>5.4277777777777771</v>
      </c>
      <c r="I7" s="48">
        <v>188</v>
      </c>
      <c r="J7" s="48">
        <v>43</v>
      </c>
      <c r="K7" s="49">
        <v>7</v>
      </c>
      <c r="L7" s="48">
        <v>13</v>
      </c>
      <c r="M7" s="48">
        <v>5</v>
      </c>
      <c r="N7" s="48">
        <v>2</v>
      </c>
      <c r="O7" s="21">
        <f t="shared" si="0"/>
        <v>0.22222222222222221</v>
      </c>
      <c r="P7" s="21">
        <f t="shared" si="1"/>
        <v>0.4</v>
      </c>
    </row>
    <row r="8" spans="1:17" x14ac:dyDescent="0.3">
      <c r="A8" s="48" t="s">
        <v>45</v>
      </c>
      <c r="B8" s="48">
        <v>9</v>
      </c>
      <c r="C8" s="48">
        <v>3</v>
      </c>
      <c r="D8" s="48">
        <v>6</v>
      </c>
      <c r="E8" s="48">
        <v>1992</v>
      </c>
      <c r="F8" s="48">
        <v>364</v>
      </c>
      <c r="G8" s="49">
        <v>221.33333333333334</v>
      </c>
      <c r="H8" s="50">
        <v>5.677777777777778</v>
      </c>
      <c r="I8" s="48">
        <v>208</v>
      </c>
      <c r="J8" s="48">
        <v>49</v>
      </c>
      <c r="K8" s="49">
        <v>9.7777777777777786</v>
      </c>
      <c r="L8" s="48">
        <v>15</v>
      </c>
      <c r="M8" s="48">
        <v>7</v>
      </c>
      <c r="N8" s="48">
        <v>2</v>
      </c>
      <c r="O8" s="21">
        <f t="shared" si="0"/>
        <v>0.33333333333333331</v>
      </c>
      <c r="P8" s="21">
        <f t="shared" si="1"/>
        <v>0.2857142857142857</v>
      </c>
    </row>
    <row r="9" spans="1:17" x14ac:dyDescent="0.3">
      <c r="A9" s="48" t="s">
        <v>85</v>
      </c>
      <c r="B9" s="48">
        <v>11</v>
      </c>
      <c r="C9" s="48">
        <v>10</v>
      </c>
      <c r="D9" s="48">
        <v>1</v>
      </c>
      <c r="E9" s="48">
        <v>3160</v>
      </c>
      <c r="F9" s="48">
        <v>410</v>
      </c>
      <c r="G9" s="49">
        <v>287.27272727272725</v>
      </c>
      <c r="H9" s="50">
        <v>6.373636363636364</v>
      </c>
      <c r="I9" s="48">
        <v>277</v>
      </c>
      <c r="J9" s="48">
        <v>92</v>
      </c>
      <c r="K9" s="49">
        <v>5.2727272727272725</v>
      </c>
      <c r="L9" s="48">
        <v>26</v>
      </c>
      <c r="M9" s="48">
        <v>5</v>
      </c>
      <c r="N9" s="48">
        <v>5</v>
      </c>
      <c r="O9" s="21">
        <f t="shared" si="0"/>
        <v>0.90909090909090906</v>
      </c>
      <c r="P9" s="21">
        <f t="shared" si="1"/>
        <v>1</v>
      </c>
    </row>
    <row r="10" spans="1:17" x14ac:dyDescent="0.3">
      <c r="A10" s="48" t="s">
        <v>57</v>
      </c>
      <c r="B10" s="48">
        <v>9</v>
      </c>
      <c r="C10" s="48">
        <v>2</v>
      </c>
      <c r="D10" s="48">
        <v>7</v>
      </c>
      <c r="E10" s="48">
        <v>1937</v>
      </c>
      <c r="F10" s="48">
        <v>339</v>
      </c>
      <c r="G10" s="49">
        <v>215.22222222222223</v>
      </c>
      <c r="H10" s="50">
        <v>5.1244444444444452</v>
      </c>
      <c r="I10" s="48">
        <v>164</v>
      </c>
      <c r="J10" s="48">
        <v>33</v>
      </c>
      <c r="K10" s="49">
        <v>8.8888888888888893</v>
      </c>
      <c r="L10" s="48">
        <v>11</v>
      </c>
      <c r="M10" s="48">
        <v>5</v>
      </c>
      <c r="N10" s="48">
        <v>1</v>
      </c>
      <c r="O10" s="21">
        <f t="shared" si="0"/>
        <v>0.22222222222222221</v>
      </c>
      <c r="P10" s="21">
        <f t="shared" si="1"/>
        <v>0.2</v>
      </c>
    </row>
    <row r="11" spans="1:17" ht="27.6" x14ac:dyDescent="0.3">
      <c r="A11" s="48" t="s">
        <v>200</v>
      </c>
      <c r="B11" s="48">
        <v>10</v>
      </c>
      <c r="C11" s="48">
        <v>5</v>
      </c>
      <c r="D11" s="48">
        <v>5</v>
      </c>
      <c r="E11" s="48">
        <v>2863</v>
      </c>
      <c r="F11" s="48">
        <v>401</v>
      </c>
      <c r="G11" s="49">
        <v>286.3</v>
      </c>
      <c r="H11" s="50">
        <v>6.1949999999999985</v>
      </c>
      <c r="I11" s="48">
        <v>266</v>
      </c>
      <c r="J11" s="48">
        <v>82</v>
      </c>
      <c r="K11" s="49">
        <v>7.1</v>
      </c>
      <c r="L11" s="48">
        <v>17</v>
      </c>
      <c r="M11" s="48">
        <v>5</v>
      </c>
      <c r="N11" s="48">
        <v>3</v>
      </c>
      <c r="O11" s="21">
        <f t="shared" si="0"/>
        <v>0.5</v>
      </c>
      <c r="P11" s="21">
        <f t="shared" si="1"/>
        <v>0.6</v>
      </c>
    </row>
    <row r="12" spans="1:17" x14ac:dyDescent="0.3">
      <c r="A12" s="48" t="s">
        <v>56</v>
      </c>
      <c r="B12" s="48">
        <v>9</v>
      </c>
      <c r="C12" s="48">
        <v>4</v>
      </c>
      <c r="D12" s="48">
        <v>5</v>
      </c>
      <c r="E12" s="48">
        <v>2420</v>
      </c>
      <c r="F12" s="48">
        <v>345</v>
      </c>
      <c r="G12" s="49">
        <v>268.88888888888891</v>
      </c>
      <c r="H12" s="50">
        <v>5.9422222222222221</v>
      </c>
      <c r="I12" s="48">
        <v>228</v>
      </c>
      <c r="J12" s="48">
        <v>62</v>
      </c>
      <c r="K12" s="49">
        <v>7.8888888888888893</v>
      </c>
      <c r="L12" s="48">
        <v>7</v>
      </c>
      <c r="M12" s="48">
        <v>4</v>
      </c>
      <c r="N12" s="48">
        <v>1</v>
      </c>
      <c r="O12" s="21">
        <f t="shared" si="0"/>
        <v>0.44444444444444442</v>
      </c>
      <c r="P12" s="21">
        <f t="shared" si="1"/>
        <v>0.25</v>
      </c>
    </row>
    <row r="13" spans="1:17" x14ac:dyDescent="0.3">
      <c r="A13" s="48" t="s">
        <v>75</v>
      </c>
      <c r="B13" s="48">
        <v>10</v>
      </c>
      <c r="C13" s="48">
        <v>7</v>
      </c>
      <c r="D13" s="48">
        <v>3</v>
      </c>
      <c r="E13" s="48">
        <v>2897</v>
      </c>
      <c r="F13" s="48">
        <v>428</v>
      </c>
      <c r="G13" s="49">
        <v>289.7</v>
      </c>
      <c r="H13" s="50">
        <v>6.01</v>
      </c>
      <c r="I13" s="48">
        <v>242</v>
      </c>
      <c r="J13" s="48">
        <v>99</v>
      </c>
      <c r="K13" s="49">
        <v>7.2</v>
      </c>
      <c r="L13" s="48">
        <v>20</v>
      </c>
      <c r="M13" s="48">
        <v>3</v>
      </c>
      <c r="N13" s="48">
        <v>1</v>
      </c>
      <c r="O13" s="21">
        <f t="shared" si="0"/>
        <v>0.7</v>
      </c>
      <c r="P13" s="21">
        <f t="shared" si="1"/>
        <v>0.33333333333333331</v>
      </c>
    </row>
    <row r="14" spans="1:17" x14ac:dyDescent="0.3">
      <c r="A14" s="48" t="s">
        <v>76</v>
      </c>
      <c r="B14" s="48">
        <v>9</v>
      </c>
      <c r="C14" s="48">
        <v>2</v>
      </c>
      <c r="D14" s="48">
        <v>7</v>
      </c>
      <c r="E14" s="48">
        <v>2049</v>
      </c>
      <c r="F14" s="48">
        <v>344</v>
      </c>
      <c r="G14" s="49">
        <v>227.66666666666666</v>
      </c>
      <c r="H14" s="61">
        <v>5.6966666666666672</v>
      </c>
      <c r="I14" s="48">
        <v>203</v>
      </c>
      <c r="J14" s="48">
        <v>45</v>
      </c>
      <c r="K14" s="49">
        <v>7.8888888888888893</v>
      </c>
      <c r="L14" s="48">
        <v>12</v>
      </c>
      <c r="M14" s="48">
        <v>4</v>
      </c>
      <c r="N14" s="48">
        <v>0</v>
      </c>
      <c r="O14" s="21">
        <f t="shared" si="0"/>
        <v>0.22222222222222221</v>
      </c>
      <c r="P14" s="21">
        <f t="shared" si="1"/>
        <v>0</v>
      </c>
    </row>
    <row r="15" spans="1:17" ht="15" thickBot="1" x14ac:dyDescent="0.35">
      <c r="A15" s="62" t="s">
        <v>224</v>
      </c>
      <c r="B15" s="74">
        <v>96</v>
      </c>
      <c r="C15" s="75">
        <v>48</v>
      </c>
      <c r="D15" s="75">
        <v>48</v>
      </c>
      <c r="E15" s="75">
        <v>24639</v>
      </c>
      <c r="F15" s="75">
        <v>428</v>
      </c>
      <c r="G15" s="51">
        <v>256.65625</v>
      </c>
      <c r="H15" s="52">
        <v>5.7694791666666658</v>
      </c>
      <c r="I15" s="76">
        <v>2241</v>
      </c>
      <c r="J15" s="75">
        <v>644</v>
      </c>
      <c r="K15" s="51">
        <v>7.604166666666667</v>
      </c>
      <c r="L15" s="75">
        <v>147</v>
      </c>
      <c r="M15" s="75">
        <v>48</v>
      </c>
      <c r="N15" s="77">
        <v>19</v>
      </c>
      <c r="O15" s="53">
        <f t="shared" si="0"/>
        <v>0.5</v>
      </c>
      <c r="P15" s="54">
        <f>IFERROR(N15/M15,0)</f>
        <v>0.39583333333333331</v>
      </c>
      <c r="Q15" s="9"/>
    </row>
    <row r="17" s="47" customFormat="1" x14ac:dyDescent="0.3"/>
    <row r="28" s="44" customFormat="1" x14ac:dyDescent="0.3"/>
  </sheetData>
  <mergeCells count="1">
    <mergeCell ref="A1:D2"/>
  </mergeCells>
  <conditionalFormatting pivot="1" sqref="C5:C14">
    <cfRule type="expression" dxfId="322" priority="13">
      <formula>C5=MAX(#REF!)</formula>
    </cfRule>
  </conditionalFormatting>
  <conditionalFormatting pivot="1" sqref="E5:E14">
    <cfRule type="top10" dxfId="321" priority="12" rank="1"/>
  </conditionalFormatting>
  <conditionalFormatting pivot="1" sqref="F5:F14">
    <cfRule type="top10" dxfId="320" priority="11" rank="1"/>
  </conditionalFormatting>
  <conditionalFormatting pivot="1" sqref="G5:G14">
    <cfRule type="top10" dxfId="319" priority="10" rank="1"/>
  </conditionalFormatting>
  <conditionalFormatting pivot="1" sqref="H5:H14">
    <cfRule type="top10" dxfId="318" priority="9" rank="1"/>
  </conditionalFormatting>
  <conditionalFormatting pivot="1" sqref="I5:I14">
    <cfRule type="top10" dxfId="317" priority="8" rank="1"/>
  </conditionalFormatting>
  <conditionalFormatting pivot="1" sqref="J5:J14">
    <cfRule type="top10" dxfId="316" priority="7" rank="1"/>
  </conditionalFormatting>
  <conditionalFormatting pivot="1" sqref="K5:K14">
    <cfRule type="top10" dxfId="315" priority="6" rank="1"/>
  </conditionalFormatting>
  <conditionalFormatting pivot="1" sqref="L5:L14">
    <cfRule type="top10" dxfId="314" priority="5" rank="1"/>
  </conditionalFormatting>
  <conditionalFormatting pivot="1" sqref="M5:M14">
    <cfRule type="top10" dxfId="313" priority="4" rank="1"/>
  </conditionalFormatting>
  <conditionalFormatting sqref="O5:O14">
    <cfRule type="dataBar" priority="2">
      <dataBar>
        <cfvo type="min"/>
        <cfvo type="max"/>
        <color rgb="FF008AEF"/>
      </dataBar>
      <extLst>
        <ext xmlns:x14="http://schemas.microsoft.com/office/spreadsheetml/2009/9/main" uri="{B025F937-C7B1-47D3-B67F-A62EFF666E3E}">
          <x14:id>{8E140F2C-2785-4645-883E-A7C27221AB34}</x14:id>
        </ext>
      </extLst>
    </cfRule>
  </conditionalFormatting>
  <conditionalFormatting sqref="P5:P14">
    <cfRule type="top10" dxfId="312" priority="1" rank="1"/>
  </conditionalFormatting>
  <pageMargins left="0.25" right="0.25"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8E140F2C-2785-4645-883E-A7C27221AB34}">
            <x14:dataBar minLength="0" maxLength="100" border="1" negativeBarBorderColorSameAsPositive="0">
              <x14:cfvo type="autoMin"/>
              <x14:cfvo type="autoMax"/>
              <x14:borderColor rgb="FF008AEF"/>
              <x14:negativeFillColor rgb="FFFF0000"/>
              <x14:negativeBorderColor rgb="FFFF0000"/>
              <x14:axisColor rgb="FF000000"/>
            </x14:dataBar>
          </x14:cfRule>
          <xm:sqref>O5:O14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2322-F7B9-4169-B948-3DE592B36C9C}">
  <sheetPr>
    <tabColor rgb="FFF2B233"/>
  </sheetPr>
  <dimension ref="A1:K34"/>
  <sheetViews>
    <sheetView topLeftCell="A4" zoomScale="74" zoomScaleNormal="53" workbookViewId="0">
      <selection activeCell="M20" sqref="M20"/>
    </sheetView>
  </sheetViews>
  <sheetFormatPr defaultRowHeight="14.4" x14ac:dyDescent="0.3"/>
  <cols>
    <col min="2" max="2" width="12" bestFit="1" customWidth="1"/>
    <col min="3" max="3" width="8.33203125" bestFit="1" customWidth="1"/>
    <col min="4" max="4" width="9.6640625" customWidth="1"/>
    <col min="5" max="5" width="15" customWidth="1"/>
    <col min="6" max="6" width="10.77734375" bestFit="1" customWidth="1"/>
    <col min="7" max="7" width="10.21875" bestFit="1" customWidth="1"/>
    <col min="8" max="8" width="12.109375" customWidth="1"/>
    <col min="9" max="9" width="35.77734375" bestFit="1" customWidth="1"/>
    <col min="10" max="10" width="12.77734375" bestFit="1" customWidth="1"/>
    <col min="11" max="11" width="9.109375" bestFit="1" customWidth="1"/>
    <col min="12" max="12" width="12.77734375" bestFit="1" customWidth="1"/>
    <col min="13" max="13" width="9.77734375" bestFit="1" customWidth="1"/>
    <col min="14" max="14" width="5.77734375" bestFit="1" customWidth="1"/>
  </cols>
  <sheetData>
    <row r="1" spans="1:11" ht="17.399999999999999" customHeight="1" x14ac:dyDescent="0.3">
      <c r="A1" s="110" t="s">
        <v>243</v>
      </c>
      <c r="B1" s="110"/>
      <c r="C1" s="110"/>
      <c r="D1" s="110"/>
    </row>
    <row r="2" spans="1:11" ht="14.4" customHeight="1" x14ac:dyDescent="0.3">
      <c r="A2" s="110"/>
      <c r="B2" s="110"/>
      <c r="C2" s="110"/>
      <c r="D2" s="110"/>
    </row>
    <row r="4" spans="1:11" s="29" customFormat="1" ht="26.4" x14ac:dyDescent="0.3">
      <c r="A4" s="11" t="s">
        <v>241</v>
      </c>
      <c r="B4" s="102" t="s">
        <v>3</v>
      </c>
      <c r="C4" s="33" t="s">
        <v>240</v>
      </c>
      <c r="D4" s="59" t="s">
        <v>229</v>
      </c>
      <c r="E4" s="59" t="s">
        <v>228</v>
      </c>
      <c r="F4" s="59" t="s">
        <v>227</v>
      </c>
      <c r="G4" s="90"/>
      <c r="I4" s="33" t="s">
        <v>288</v>
      </c>
      <c r="J4" s="33" t="s">
        <v>228</v>
      </c>
      <c r="K4"/>
    </row>
    <row r="5" spans="1:11" x14ac:dyDescent="0.3">
      <c r="A5">
        <v>1</v>
      </c>
      <c r="B5" s="25" t="s">
        <v>74</v>
      </c>
      <c r="C5">
        <v>5</v>
      </c>
      <c r="D5" s="45">
        <v>284.8</v>
      </c>
      <c r="E5">
        <v>428</v>
      </c>
      <c r="F5">
        <v>2848</v>
      </c>
      <c r="G5" s="14"/>
      <c r="I5" s="25" t="s">
        <v>74</v>
      </c>
      <c r="J5">
        <v>428</v>
      </c>
    </row>
    <row r="6" spans="1:11" x14ac:dyDescent="0.3">
      <c r="A6">
        <v>2</v>
      </c>
      <c r="B6" s="25" t="s">
        <v>104</v>
      </c>
      <c r="C6">
        <v>5</v>
      </c>
      <c r="D6" s="45">
        <v>215.5</v>
      </c>
      <c r="E6">
        <v>311</v>
      </c>
      <c r="F6">
        <v>2155</v>
      </c>
      <c r="G6" s="14"/>
      <c r="I6" s="25" t="s">
        <v>104</v>
      </c>
      <c r="J6">
        <v>311</v>
      </c>
    </row>
    <row r="7" spans="1:11" x14ac:dyDescent="0.3">
      <c r="A7">
        <v>3</v>
      </c>
      <c r="B7" s="25" t="s">
        <v>55</v>
      </c>
      <c r="C7">
        <v>5</v>
      </c>
      <c r="D7" s="45">
        <v>219.7</v>
      </c>
      <c r="E7">
        <v>337</v>
      </c>
      <c r="F7">
        <v>2197</v>
      </c>
      <c r="G7" s="14"/>
      <c r="I7" s="25" t="s">
        <v>55</v>
      </c>
      <c r="J7">
        <v>337</v>
      </c>
    </row>
    <row r="8" spans="1:11" x14ac:dyDescent="0.3">
      <c r="A8">
        <v>4</v>
      </c>
      <c r="B8" s="25" t="s">
        <v>65</v>
      </c>
      <c r="C8">
        <v>5</v>
      </c>
      <c r="D8" s="45">
        <v>267.5</v>
      </c>
      <c r="E8">
        <v>388</v>
      </c>
      <c r="F8">
        <v>2675</v>
      </c>
      <c r="G8" s="14"/>
      <c r="I8" s="25" t="s">
        <v>65</v>
      </c>
      <c r="J8">
        <v>388</v>
      </c>
    </row>
    <row r="9" spans="1:11" x14ac:dyDescent="0.3">
      <c r="A9">
        <v>5</v>
      </c>
      <c r="B9" s="25" t="s">
        <v>83</v>
      </c>
      <c r="C9">
        <v>5</v>
      </c>
      <c r="D9" s="45">
        <v>242.9</v>
      </c>
      <c r="E9">
        <v>288</v>
      </c>
      <c r="F9">
        <v>2429</v>
      </c>
      <c r="G9" s="14"/>
      <c r="I9" s="25" t="s">
        <v>83</v>
      </c>
      <c r="J9">
        <v>288</v>
      </c>
    </row>
    <row r="10" spans="1:11" x14ac:dyDescent="0.3">
      <c r="A10">
        <v>6</v>
      </c>
      <c r="B10" s="25" t="s">
        <v>122</v>
      </c>
      <c r="C10">
        <v>5</v>
      </c>
      <c r="D10" s="45">
        <v>259.2</v>
      </c>
      <c r="E10">
        <v>410</v>
      </c>
      <c r="F10">
        <v>2592</v>
      </c>
      <c r="G10" s="14"/>
      <c r="I10" s="25" t="s">
        <v>122</v>
      </c>
      <c r="J10">
        <v>410</v>
      </c>
    </row>
    <row r="11" spans="1:11" x14ac:dyDescent="0.3">
      <c r="A11">
        <v>7</v>
      </c>
      <c r="B11" s="25" t="s">
        <v>119</v>
      </c>
      <c r="C11">
        <v>5</v>
      </c>
      <c r="D11" s="45">
        <v>265.5</v>
      </c>
      <c r="E11">
        <v>357</v>
      </c>
      <c r="F11">
        <v>2655</v>
      </c>
      <c r="G11" s="14"/>
      <c r="I11" s="25" t="s">
        <v>119</v>
      </c>
      <c r="J11">
        <v>357</v>
      </c>
    </row>
    <row r="12" spans="1:11" x14ac:dyDescent="0.3">
      <c r="A12">
        <v>8</v>
      </c>
      <c r="B12" s="25" t="s">
        <v>44</v>
      </c>
      <c r="C12">
        <v>5</v>
      </c>
      <c r="D12" s="45">
        <v>246.44444444444446</v>
      </c>
      <c r="E12">
        <v>286</v>
      </c>
      <c r="F12">
        <v>2218</v>
      </c>
      <c r="G12" s="14"/>
      <c r="I12" s="25" t="s">
        <v>44</v>
      </c>
      <c r="J12">
        <v>286</v>
      </c>
    </row>
    <row r="13" spans="1:11" x14ac:dyDescent="0.3">
      <c r="A13">
        <v>9</v>
      </c>
      <c r="B13" s="25" t="s">
        <v>92</v>
      </c>
      <c r="C13">
        <v>3</v>
      </c>
      <c r="D13" s="45">
        <v>287.5</v>
      </c>
      <c r="E13">
        <v>345</v>
      </c>
      <c r="F13">
        <v>1725</v>
      </c>
      <c r="G13" s="14"/>
      <c r="I13" s="25" t="s">
        <v>92</v>
      </c>
      <c r="J13">
        <v>345</v>
      </c>
    </row>
    <row r="14" spans="1:11" x14ac:dyDescent="0.3">
      <c r="A14">
        <v>10</v>
      </c>
      <c r="B14" s="25" t="s">
        <v>127</v>
      </c>
      <c r="C14">
        <v>5</v>
      </c>
      <c r="D14" s="45">
        <v>290.39999999999998</v>
      </c>
      <c r="E14">
        <v>399</v>
      </c>
      <c r="F14">
        <v>2904</v>
      </c>
      <c r="G14" s="14"/>
      <c r="I14" s="25" t="s">
        <v>127</v>
      </c>
      <c r="J14">
        <v>399</v>
      </c>
    </row>
    <row r="15" spans="1:11" x14ac:dyDescent="0.3">
      <c r="B15" s="12"/>
      <c r="C15" s="12"/>
      <c r="D15" s="12"/>
      <c r="E15" s="12"/>
      <c r="F15" s="12"/>
      <c r="G15" s="13"/>
      <c r="H15" s="14"/>
    </row>
    <row r="17" spans="1:11" x14ac:dyDescent="0.3">
      <c r="A17" s="114" t="s">
        <v>242</v>
      </c>
      <c r="B17" s="114"/>
      <c r="C17" s="114"/>
    </row>
    <row r="18" spans="1:11" ht="17.399999999999999" customHeight="1" x14ac:dyDescent="0.3">
      <c r="A18" s="114"/>
      <c r="B18" s="114"/>
      <c r="C18" s="114"/>
      <c r="D18" s="12"/>
      <c r="E18" s="12"/>
      <c r="F18" s="12"/>
      <c r="G18" s="12"/>
    </row>
    <row r="19" spans="1:11" x14ac:dyDescent="0.3">
      <c r="A19" s="24"/>
      <c r="B19" s="12"/>
      <c r="C19" s="12"/>
      <c r="D19" s="12"/>
      <c r="E19" s="12"/>
      <c r="F19" s="12"/>
      <c r="G19" s="12"/>
    </row>
    <row r="20" spans="1:11" s="55" customFormat="1" x14ac:dyDescent="0.3">
      <c r="A20" s="56" t="s">
        <v>241</v>
      </c>
      <c r="B20" s="57" t="s">
        <v>2</v>
      </c>
      <c r="C20" s="34" t="s">
        <v>240</v>
      </c>
      <c r="D20"/>
      <c r="E20"/>
      <c r="F20"/>
      <c r="G20" s="58"/>
      <c r="I20"/>
      <c r="J20"/>
      <c r="K20"/>
    </row>
    <row r="21" spans="1:11" x14ac:dyDescent="0.3">
      <c r="A21" s="12">
        <v>1</v>
      </c>
      <c r="B21" s="25" t="s">
        <v>118</v>
      </c>
      <c r="C21">
        <v>5</v>
      </c>
      <c r="G21" s="14"/>
    </row>
    <row r="22" spans="1:11" x14ac:dyDescent="0.3">
      <c r="A22" s="12">
        <v>2</v>
      </c>
      <c r="B22" s="25" t="s">
        <v>126</v>
      </c>
      <c r="C22">
        <v>5</v>
      </c>
      <c r="G22" s="14"/>
    </row>
    <row r="23" spans="1:11" x14ac:dyDescent="0.3">
      <c r="A23" s="12">
        <v>3</v>
      </c>
      <c r="B23" s="25" t="s">
        <v>43</v>
      </c>
      <c r="C23">
        <v>5</v>
      </c>
      <c r="G23" s="14"/>
    </row>
    <row r="24" spans="1:11" x14ac:dyDescent="0.3">
      <c r="A24" s="12">
        <v>4</v>
      </c>
      <c r="B24" s="25" t="s">
        <v>121</v>
      </c>
      <c r="C24">
        <v>5</v>
      </c>
      <c r="G24" s="14"/>
    </row>
    <row r="25" spans="1:11" x14ac:dyDescent="0.3">
      <c r="A25" s="12">
        <v>5</v>
      </c>
      <c r="B25" s="25" t="s">
        <v>82</v>
      </c>
      <c r="C25">
        <v>5</v>
      </c>
      <c r="G25" s="14"/>
    </row>
    <row r="26" spans="1:11" x14ac:dyDescent="0.3">
      <c r="A26" s="12">
        <v>6</v>
      </c>
      <c r="B26" s="25" t="s">
        <v>73</v>
      </c>
      <c r="C26">
        <v>5</v>
      </c>
      <c r="G26" s="14"/>
    </row>
    <row r="27" spans="1:11" x14ac:dyDescent="0.3">
      <c r="A27" s="12">
        <v>7</v>
      </c>
      <c r="B27" s="25" t="s">
        <v>64</v>
      </c>
      <c r="C27">
        <v>5</v>
      </c>
      <c r="G27" s="14"/>
    </row>
    <row r="28" spans="1:11" x14ac:dyDescent="0.3">
      <c r="A28" s="12">
        <v>8</v>
      </c>
      <c r="B28" s="25" t="s">
        <v>54</v>
      </c>
      <c r="C28">
        <v>3</v>
      </c>
      <c r="G28" s="14"/>
    </row>
    <row r="29" spans="1:11" x14ac:dyDescent="0.3">
      <c r="A29" s="12">
        <v>9</v>
      </c>
      <c r="B29" s="25" t="s">
        <v>140</v>
      </c>
      <c r="C29">
        <v>5</v>
      </c>
      <c r="G29" s="14"/>
    </row>
    <row r="30" spans="1:11" x14ac:dyDescent="0.3">
      <c r="A30" s="12">
        <v>10</v>
      </c>
      <c r="B30" s="25" t="s">
        <v>103</v>
      </c>
      <c r="C30">
        <v>5</v>
      </c>
      <c r="G30" s="14"/>
    </row>
    <row r="31" spans="1:11" x14ac:dyDescent="0.3">
      <c r="A31" s="12"/>
      <c r="B31" s="12"/>
      <c r="C31" s="12"/>
      <c r="D31" s="12"/>
      <c r="E31" s="12"/>
      <c r="F31" s="12"/>
      <c r="G31" s="12"/>
    </row>
    <row r="34" spans="1:2" ht="21" x14ac:dyDescent="0.4">
      <c r="A34" s="113" t="s">
        <v>268</v>
      </c>
      <c r="B34" s="113"/>
    </row>
  </sheetData>
  <mergeCells count="3">
    <mergeCell ref="A34:B34"/>
    <mergeCell ref="A1:D2"/>
    <mergeCell ref="A17:C18"/>
  </mergeCells>
  <conditionalFormatting sqref="D5:D14">
    <cfRule type="top10" dxfId="7" priority="4" rank="1"/>
  </conditionalFormatting>
  <conditionalFormatting sqref="D15:D16">
    <cfRule type="dataBar" priority="38">
      <dataBar>
        <cfvo type="min"/>
        <cfvo type="max"/>
        <color theme="3" tint="0.749992370372631"/>
      </dataBar>
      <extLst>
        <ext xmlns:x14="http://schemas.microsoft.com/office/spreadsheetml/2009/9/main" uri="{B025F937-C7B1-47D3-B67F-A62EFF666E3E}">
          <x14:id>{C9FFFA8B-4321-4A2F-90E7-C0EF175B0601}</x14:id>
        </ext>
      </extLst>
    </cfRule>
  </conditionalFormatting>
  <conditionalFormatting sqref="E5:E14">
    <cfRule type="top10" dxfId="6" priority="1" rank="1"/>
    <cfRule type="top10" dxfId="5" priority="2" rank="1"/>
    <cfRule type="top10" dxfId="4" priority="3" rank="1"/>
  </conditionalFormatting>
  <conditionalFormatting sqref="E15">
    <cfRule type="top10" dxfId="3" priority="39" rank="1"/>
  </conditionalFormatting>
  <conditionalFormatting sqref="F15">
    <cfRule type="top10" dxfId="2" priority="40" rank="1"/>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C9FFFA8B-4321-4A2F-90E7-C0EF175B0601}">
            <x14:dataBar minLength="0" maxLength="100" gradient="0">
              <x14:cfvo type="autoMin"/>
              <x14:cfvo type="autoMax"/>
              <x14:negativeFillColor rgb="FFFF0000"/>
              <x14:axisColor rgb="FF000000"/>
            </x14:dataBar>
          </x14:cfRule>
          <xm:sqref>D15:D16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7D53-DF41-4F0E-A705-85E31A3ADE6A}">
  <sheetPr>
    <tabColor theme="5" tint="-0.249977111117893"/>
  </sheetPr>
  <dimension ref="A1:X289"/>
  <sheetViews>
    <sheetView showGridLines="0" topLeftCell="K192" zoomScale="85" zoomScaleNormal="72" workbookViewId="0">
      <selection activeCell="B194" sqref="B194"/>
    </sheetView>
  </sheetViews>
  <sheetFormatPr defaultRowHeight="13.8" x14ac:dyDescent="0.25"/>
  <cols>
    <col min="1" max="1" width="36.6640625" style="12" bestFit="1" customWidth="1"/>
    <col min="2" max="2" width="21.109375" style="12" bestFit="1" customWidth="1"/>
    <col min="3" max="3" width="16.88671875" style="12" bestFit="1" customWidth="1"/>
    <col min="4" max="4" width="7.77734375" style="12" bestFit="1" customWidth="1"/>
    <col min="5" max="5" width="19.6640625" style="12" bestFit="1" customWidth="1"/>
    <col min="6" max="6" width="13" style="12" bestFit="1" customWidth="1"/>
    <col min="7" max="7" width="13.88671875" style="12" customWidth="1"/>
    <col min="8" max="8" width="13" style="12" bestFit="1" customWidth="1"/>
    <col min="9" max="10" width="8.88671875" style="12"/>
    <col min="11" max="11" width="14.77734375" style="12" bestFit="1" customWidth="1"/>
    <col min="12" max="12" width="7.88671875" style="12" bestFit="1" customWidth="1"/>
    <col min="13" max="13" width="17.21875" style="12" bestFit="1" customWidth="1"/>
    <col min="14" max="14" width="7.77734375" style="12" bestFit="1" customWidth="1"/>
    <col min="15" max="16" width="10.5546875" style="12" bestFit="1" customWidth="1"/>
    <col min="17" max="17" width="14.77734375" style="12" bestFit="1" customWidth="1"/>
    <col min="18" max="18" width="30.88671875" style="12" bestFit="1" customWidth="1"/>
    <col min="19" max="19" width="19.5546875" style="12" bestFit="1" customWidth="1"/>
    <col min="20" max="20" width="12.33203125" style="12" bestFit="1" customWidth="1"/>
    <col min="21" max="21" width="10.5546875" style="12" bestFit="1" customWidth="1"/>
    <col min="22" max="22" width="7.77734375" style="12" bestFit="1" customWidth="1"/>
    <col min="23" max="23" width="11.5546875" style="12" bestFit="1" customWidth="1"/>
    <col min="24" max="24" width="10.5546875" style="12" bestFit="1" customWidth="1"/>
    <col min="25" max="16384" width="8.88671875" style="12"/>
  </cols>
  <sheetData>
    <row r="1" spans="1:19" ht="17.399999999999999" x14ac:dyDescent="0.3">
      <c r="A1" s="36" t="s">
        <v>245</v>
      </c>
      <c r="B1" s="36"/>
      <c r="C1" s="36"/>
      <c r="D1" s="36"/>
    </row>
    <row r="2" spans="1:19" x14ac:dyDescent="0.25">
      <c r="A2" s="37"/>
      <c r="B2" s="37"/>
      <c r="C2" s="37"/>
      <c r="D2" s="37"/>
    </row>
    <row r="3" spans="1:19" ht="14.4" x14ac:dyDescent="0.3">
      <c r="A3" s="37"/>
      <c r="B3" s="37"/>
      <c r="C3" s="37"/>
      <c r="D3"/>
      <c r="E3"/>
      <c r="Q3"/>
      <c r="R3"/>
    </row>
    <row r="4" spans="1:19" x14ac:dyDescent="0.25">
      <c r="A4" s="130" t="s">
        <v>248</v>
      </c>
      <c r="B4" s="130"/>
      <c r="C4" s="130"/>
      <c r="D4" s="37"/>
      <c r="P4" s="121"/>
      <c r="Q4" s="122"/>
    </row>
    <row r="5" spans="1:19" s="43" customFormat="1" ht="14.4" x14ac:dyDescent="0.3">
      <c r="A5" s="121"/>
      <c r="B5" s="122"/>
      <c r="C5" s="41"/>
      <c r="D5" s="42"/>
      <c r="P5"/>
      <c r="Q5"/>
      <c r="R5" s="44"/>
      <c r="S5" s="44"/>
    </row>
    <row r="6" spans="1:19" s="26" customFormat="1" ht="14.4" x14ac:dyDescent="0.3">
      <c r="A6" s="33" t="s">
        <v>198</v>
      </c>
      <c r="B6" s="33" t="s">
        <v>285</v>
      </c>
      <c r="E6" s="38" t="s">
        <v>238</v>
      </c>
      <c r="F6" s="39" t="s">
        <v>198</v>
      </c>
      <c r="G6" s="39" t="s">
        <v>225</v>
      </c>
      <c r="P6"/>
      <c r="Q6"/>
      <c r="R6" s="29"/>
      <c r="S6" s="29"/>
    </row>
    <row r="7" spans="1:19" ht="14.4" x14ac:dyDescent="0.3">
      <c r="A7" s="25" t="s">
        <v>66</v>
      </c>
      <c r="B7">
        <v>4</v>
      </c>
      <c r="E7" s="12" cm="1">
        <f t="array" ref="E7:E16">_xlfn.SEQUENCE(10)</f>
        <v>1</v>
      </c>
      <c r="F7" s="12" t="str" cm="1">
        <f t="array" ref="F7:G16">_xlfn.SORTBY(A7:B16,B7:B16,-1)</f>
        <v>India</v>
      </c>
      <c r="G7" s="12">
        <v>10</v>
      </c>
      <c r="P7"/>
      <c r="Q7"/>
      <c r="R7"/>
      <c r="S7"/>
    </row>
    <row r="8" spans="1:19" ht="14.4" x14ac:dyDescent="0.3">
      <c r="A8" s="25" t="s">
        <v>84</v>
      </c>
      <c r="B8">
        <v>9</v>
      </c>
      <c r="E8" s="12">
        <v>2</v>
      </c>
      <c r="F8" s="12" t="str">
        <v>Australia</v>
      </c>
      <c r="G8" s="12">
        <v>9</v>
      </c>
      <c r="P8"/>
      <c r="Q8"/>
      <c r="R8"/>
      <c r="S8"/>
    </row>
    <row r="9" spans="1:19" ht="14.4" x14ac:dyDescent="0.3">
      <c r="A9" s="25" t="s">
        <v>67</v>
      </c>
      <c r="B9">
        <v>2</v>
      </c>
      <c r="E9" s="12">
        <v>3</v>
      </c>
      <c r="F9" s="12" t="str">
        <v>South Africa</v>
      </c>
      <c r="G9" s="12">
        <v>7</v>
      </c>
      <c r="P9"/>
      <c r="Q9"/>
      <c r="R9"/>
      <c r="S9"/>
    </row>
    <row r="10" spans="1:19" ht="14.4" x14ac:dyDescent="0.3">
      <c r="A10" s="25" t="s">
        <v>45</v>
      </c>
      <c r="B10">
        <v>3</v>
      </c>
      <c r="E10" s="12">
        <v>4</v>
      </c>
      <c r="F10" s="12" t="str">
        <v>New Zealand</v>
      </c>
      <c r="G10" s="12">
        <v>5</v>
      </c>
      <c r="P10"/>
      <c r="Q10"/>
      <c r="R10"/>
      <c r="S10"/>
    </row>
    <row r="11" spans="1:19" ht="14.4" x14ac:dyDescent="0.3">
      <c r="A11" s="25" t="s">
        <v>85</v>
      </c>
      <c r="B11">
        <v>10</v>
      </c>
      <c r="E11" s="12">
        <v>5</v>
      </c>
      <c r="F11" s="12" t="str">
        <v>Afghanistan</v>
      </c>
      <c r="G11" s="12">
        <v>4</v>
      </c>
      <c r="P11"/>
      <c r="Q11"/>
      <c r="R11"/>
      <c r="S11"/>
    </row>
    <row r="12" spans="1:19" ht="14.4" x14ac:dyDescent="0.3">
      <c r="A12" s="25" t="s">
        <v>57</v>
      </c>
      <c r="B12">
        <v>2</v>
      </c>
      <c r="E12" s="12">
        <v>6</v>
      </c>
      <c r="F12" s="12" t="str">
        <v>Pakistan</v>
      </c>
      <c r="G12" s="12">
        <v>4</v>
      </c>
      <c r="P12"/>
      <c r="Q12"/>
      <c r="R12"/>
      <c r="S12"/>
    </row>
    <row r="13" spans="1:19" ht="14.4" x14ac:dyDescent="0.3">
      <c r="A13" s="25" t="s">
        <v>200</v>
      </c>
      <c r="B13">
        <v>5</v>
      </c>
      <c r="E13" s="12">
        <v>7</v>
      </c>
      <c r="F13" s="12" t="str">
        <v>England</v>
      </c>
      <c r="G13" s="12">
        <v>3</v>
      </c>
      <c r="P13"/>
      <c r="Q13"/>
      <c r="R13"/>
      <c r="S13"/>
    </row>
    <row r="14" spans="1:19" ht="14.4" x14ac:dyDescent="0.3">
      <c r="A14" s="25" t="s">
        <v>56</v>
      </c>
      <c r="B14">
        <v>4</v>
      </c>
      <c r="E14" s="12">
        <v>8</v>
      </c>
      <c r="F14" s="12" t="str">
        <v>Bangladesh</v>
      </c>
      <c r="G14" s="12">
        <v>2</v>
      </c>
      <c r="P14"/>
      <c r="Q14"/>
      <c r="R14"/>
      <c r="S14"/>
    </row>
    <row r="15" spans="1:19" ht="14.4" x14ac:dyDescent="0.3">
      <c r="A15" s="25" t="s">
        <v>75</v>
      </c>
      <c r="B15">
        <v>7</v>
      </c>
      <c r="E15" s="12">
        <v>9</v>
      </c>
      <c r="F15" s="12" t="str">
        <v>Netherlands</v>
      </c>
      <c r="G15" s="12">
        <v>2</v>
      </c>
      <c r="P15"/>
      <c r="Q15"/>
      <c r="R15"/>
      <c r="S15"/>
    </row>
    <row r="16" spans="1:19" ht="14.4" x14ac:dyDescent="0.3">
      <c r="A16" s="25" t="s">
        <v>76</v>
      </c>
      <c r="B16">
        <v>2</v>
      </c>
      <c r="E16" s="12">
        <v>10</v>
      </c>
      <c r="F16" s="12" t="str">
        <v>Sri Lanka</v>
      </c>
      <c r="G16" s="12">
        <v>2</v>
      </c>
      <c r="P16"/>
      <c r="Q16"/>
      <c r="R16"/>
      <c r="S16"/>
    </row>
    <row r="17" spans="1:19" ht="14.4" x14ac:dyDescent="0.3">
      <c r="A17"/>
      <c r="B17"/>
      <c r="Q17"/>
      <c r="R17"/>
      <c r="S17"/>
    </row>
    <row r="18" spans="1:19" ht="14.4" x14ac:dyDescent="0.3">
      <c r="Q18"/>
      <c r="R18"/>
      <c r="S18"/>
    </row>
    <row r="19" spans="1:19" ht="14.4" x14ac:dyDescent="0.3">
      <c r="Q19"/>
      <c r="R19"/>
      <c r="S19"/>
    </row>
    <row r="20" spans="1:19" ht="14.4" x14ac:dyDescent="0.3">
      <c r="A20" s="129" t="s">
        <v>246</v>
      </c>
      <c r="B20" s="129"/>
      <c r="C20" s="17"/>
      <c r="D20" s="17"/>
      <c r="Q20"/>
      <c r="R20"/>
      <c r="S20"/>
    </row>
    <row r="21" spans="1:19" s="28" customFormat="1" ht="14.4" x14ac:dyDescent="0.3">
      <c r="A21" s="27" t="s">
        <v>198</v>
      </c>
      <c r="B21" s="103" t="s">
        <v>306</v>
      </c>
      <c r="C21" s="103" t="s">
        <v>307</v>
      </c>
      <c r="D21" s="34" t="s">
        <v>233</v>
      </c>
      <c r="E21" s="38" t="s">
        <v>238</v>
      </c>
      <c r="F21" s="39" t="s">
        <v>198</v>
      </c>
      <c r="G21" s="39" t="s">
        <v>225</v>
      </c>
      <c r="Q21"/>
      <c r="R21"/>
      <c r="S21"/>
    </row>
    <row r="22" spans="1:19" ht="14.4" x14ac:dyDescent="0.3">
      <c r="A22" s="19" t="s">
        <v>66</v>
      </c>
      <c r="B22" s="12">
        <v>4</v>
      </c>
      <c r="C22" s="12">
        <v>9</v>
      </c>
      <c r="D22" s="65">
        <f>IFERROR(B22/C22,0)</f>
        <v>0.44444444444444442</v>
      </c>
      <c r="E22" s="12" cm="1">
        <f t="array" ref="E22:E31">_xlfn.SEQUENCE(10)</f>
        <v>1</v>
      </c>
      <c r="F22" s="12" t="str">
        <f>A22</f>
        <v>Afghanistan</v>
      </c>
      <c r="G22" s="21">
        <f>IFERROR(_xlfn.XLOOKUP(F22,A22:A31,D22:D31),0)</f>
        <v>0.44444444444444442</v>
      </c>
      <c r="Q22"/>
      <c r="R22"/>
      <c r="S22"/>
    </row>
    <row r="23" spans="1:19" ht="14.4" x14ac:dyDescent="0.3">
      <c r="A23" s="19" t="s">
        <v>84</v>
      </c>
      <c r="B23" s="12">
        <v>9</v>
      </c>
      <c r="C23" s="12">
        <v>11</v>
      </c>
      <c r="D23" s="65">
        <f t="shared" ref="D23:D31" si="0">IFERROR(B23/C23,0)</f>
        <v>0.81818181818181823</v>
      </c>
      <c r="E23" s="12">
        <v>2</v>
      </c>
      <c r="F23" s="12" t="str">
        <f t="shared" ref="F23:F31" si="1">A23</f>
        <v>Australia</v>
      </c>
      <c r="G23" s="21">
        <f t="shared" ref="G23:G31" si="2">IFERROR(_xlfn.XLOOKUP(F23,A23:A32,D23:D32),0)</f>
        <v>0.81818181818181823</v>
      </c>
    </row>
    <row r="24" spans="1:19" ht="14.4" x14ac:dyDescent="0.3">
      <c r="A24" s="19" t="s">
        <v>67</v>
      </c>
      <c r="B24" s="12">
        <v>2</v>
      </c>
      <c r="C24" s="12">
        <v>9</v>
      </c>
      <c r="D24" s="65">
        <f t="shared" si="0"/>
        <v>0.22222222222222221</v>
      </c>
      <c r="E24" s="12">
        <v>3</v>
      </c>
      <c r="F24" s="12" t="str">
        <f t="shared" si="1"/>
        <v>Bangladesh</v>
      </c>
      <c r="G24" s="21">
        <f t="shared" si="2"/>
        <v>0.22222222222222221</v>
      </c>
    </row>
    <row r="25" spans="1:19" ht="14.4" x14ac:dyDescent="0.3">
      <c r="A25" s="19" t="s">
        <v>45</v>
      </c>
      <c r="B25" s="12">
        <v>3</v>
      </c>
      <c r="C25" s="12">
        <v>9</v>
      </c>
      <c r="D25" s="65">
        <f t="shared" si="0"/>
        <v>0.33333333333333331</v>
      </c>
      <c r="E25" s="12">
        <v>4</v>
      </c>
      <c r="F25" s="12" t="str">
        <f t="shared" si="1"/>
        <v>England</v>
      </c>
      <c r="G25" s="21">
        <f t="shared" si="2"/>
        <v>0.33333333333333331</v>
      </c>
    </row>
    <row r="26" spans="1:19" ht="14.4" x14ac:dyDescent="0.3">
      <c r="A26" s="19" t="s">
        <v>85</v>
      </c>
      <c r="B26" s="12">
        <v>10</v>
      </c>
      <c r="C26" s="12">
        <v>11</v>
      </c>
      <c r="D26" s="65">
        <f t="shared" si="0"/>
        <v>0.90909090909090906</v>
      </c>
      <c r="E26" s="12">
        <v>5</v>
      </c>
      <c r="F26" s="12" t="str">
        <f t="shared" si="1"/>
        <v>India</v>
      </c>
      <c r="G26" s="21">
        <f t="shared" si="2"/>
        <v>0.90909090909090906</v>
      </c>
    </row>
    <row r="27" spans="1:19" ht="14.4" x14ac:dyDescent="0.3">
      <c r="A27" s="19" t="s">
        <v>57</v>
      </c>
      <c r="B27" s="12">
        <v>2</v>
      </c>
      <c r="C27" s="12">
        <v>9</v>
      </c>
      <c r="D27" s="65">
        <f t="shared" si="0"/>
        <v>0.22222222222222221</v>
      </c>
      <c r="E27" s="12">
        <v>6</v>
      </c>
      <c r="F27" s="12" t="str">
        <f t="shared" si="1"/>
        <v>Netherlands</v>
      </c>
      <c r="G27" s="21">
        <f t="shared" si="2"/>
        <v>0.22222222222222221</v>
      </c>
    </row>
    <row r="28" spans="1:19" ht="14.4" x14ac:dyDescent="0.3">
      <c r="A28" s="19" t="s">
        <v>200</v>
      </c>
      <c r="B28" s="12">
        <v>5</v>
      </c>
      <c r="C28" s="12">
        <v>10</v>
      </c>
      <c r="D28" s="65">
        <f t="shared" si="0"/>
        <v>0.5</v>
      </c>
      <c r="E28" s="12">
        <v>7</v>
      </c>
      <c r="F28" s="12" t="str">
        <f t="shared" si="1"/>
        <v>New Zealand</v>
      </c>
      <c r="G28" s="21">
        <f t="shared" si="2"/>
        <v>0.5</v>
      </c>
    </row>
    <row r="29" spans="1:19" ht="14.4" x14ac:dyDescent="0.3">
      <c r="A29" s="19" t="s">
        <v>56</v>
      </c>
      <c r="B29" s="12">
        <v>4</v>
      </c>
      <c r="C29" s="12">
        <v>9</v>
      </c>
      <c r="D29" s="65">
        <f t="shared" si="0"/>
        <v>0.44444444444444442</v>
      </c>
      <c r="E29" s="12">
        <v>8</v>
      </c>
      <c r="F29" s="12" t="str">
        <f t="shared" si="1"/>
        <v>Pakistan</v>
      </c>
      <c r="G29" s="21">
        <f t="shared" si="2"/>
        <v>0.44444444444444442</v>
      </c>
    </row>
    <row r="30" spans="1:19" ht="14.4" x14ac:dyDescent="0.3">
      <c r="A30" s="19" t="s">
        <v>75</v>
      </c>
      <c r="B30" s="12">
        <v>7</v>
      </c>
      <c r="C30" s="12">
        <v>10</v>
      </c>
      <c r="D30" s="65">
        <f t="shared" si="0"/>
        <v>0.7</v>
      </c>
      <c r="E30" s="12">
        <v>9</v>
      </c>
      <c r="F30" s="12" t="str">
        <f t="shared" si="1"/>
        <v>South Africa</v>
      </c>
      <c r="G30" s="21">
        <f t="shared" si="2"/>
        <v>0.7</v>
      </c>
    </row>
    <row r="31" spans="1:19" ht="14.4" x14ac:dyDescent="0.3">
      <c r="A31" s="19" t="s">
        <v>76</v>
      </c>
      <c r="B31" s="12">
        <v>2</v>
      </c>
      <c r="C31" s="12">
        <v>9</v>
      </c>
      <c r="D31" s="65">
        <f t="shared" si="0"/>
        <v>0.22222222222222221</v>
      </c>
      <c r="E31" s="12">
        <v>10</v>
      </c>
      <c r="F31" s="12" t="str">
        <f t="shared" si="1"/>
        <v>Sri Lanka</v>
      </c>
      <c r="G31" s="21">
        <f t="shared" si="2"/>
        <v>0.22222222222222221</v>
      </c>
    </row>
    <row r="33" spans="1:12" x14ac:dyDescent="0.25">
      <c r="H33" s="12" t="s">
        <v>347</v>
      </c>
    </row>
    <row r="36" spans="1:12" x14ac:dyDescent="0.25">
      <c r="A36" s="129" t="s">
        <v>299</v>
      </c>
      <c r="B36" s="129"/>
      <c r="C36" s="129"/>
      <c r="D36" s="129"/>
    </row>
    <row r="37" spans="1:12" s="28" customFormat="1" ht="14.4" x14ac:dyDescent="0.3">
      <c r="A37" s="34" t="s">
        <v>198</v>
      </c>
      <c r="B37" s="34" t="s">
        <v>300</v>
      </c>
      <c r="C37"/>
      <c r="D37"/>
      <c r="E37" s="39" t="s">
        <v>238</v>
      </c>
      <c r="F37" s="39" t="s">
        <v>198</v>
      </c>
      <c r="G37" s="39" t="s">
        <v>247</v>
      </c>
      <c r="J37"/>
      <c r="K37"/>
      <c r="L37"/>
    </row>
    <row r="38" spans="1:12" ht="14.4" x14ac:dyDescent="0.3">
      <c r="A38" s="25" t="s">
        <v>66</v>
      </c>
      <c r="B38">
        <v>9</v>
      </c>
      <c r="C38"/>
      <c r="D38"/>
      <c r="E38" s="12" cm="1">
        <f t="array" ref="E38:E47">_xlfn.SEQUENCE(10)</f>
        <v>1</v>
      </c>
      <c r="F38" s="12" t="str" cm="1">
        <f t="array" ref="F38:G47">_xlfn.SORTBY(A38:B47,B38:B47,-1)</f>
        <v>Australia</v>
      </c>
      <c r="G38" s="12">
        <v>11</v>
      </c>
      <c r="J38"/>
      <c r="K38"/>
      <c r="L38"/>
    </row>
    <row r="39" spans="1:12" ht="14.4" x14ac:dyDescent="0.3">
      <c r="A39" s="25" t="s">
        <v>84</v>
      </c>
      <c r="B39">
        <v>11</v>
      </c>
      <c r="C39"/>
      <c r="D39"/>
      <c r="E39" s="12">
        <v>2</v>
      </c>
      <c r="F39" s="12" t="str">
        <v>India</v>
      </c>
      <c r="G39" s="12">
        <v>11</v>
      </c>
      <c r="J39"/>
      <c r="K39"/>
      <c r="L39"/>
    </row>
    <row r="40" spans="1:12" ht="14.4" x14ac:dyDescent="0.3">
      <c r="A40" s="25" t="s">
        <v>67</v>
      </c>
      <c r="B40">
        <v>9</v>
      </c>
      <c r="C40"/>
      <c r="D40"/>
      <c r="E40" s="12">
        <v>3</v>
      </c>
      <c r="F40" s="12" t="str">
        <v>New Zealand</v>
      </c>
      <c r="G40" s="12">
        <v>10</v>
      </c>
      <c r="J40"/>
      <c r="K40"/>
      <c r="L40"/>
    </row>
    <row r="41" spans="1:12" ht="14.4" x14ac:dyDescent="0.3">
      <c r="A41" s="25" t="s">
        <v>45</v>
      </c>
      <c r="B41">
        <v>9</v>
      </c>
      <c r="C41"/>
      <c r="D41"/>
      <c r="E41" s="12">
        <v>4</v>
      </c>
      <c r="F41" s="12" t="str">
        <v>South Africa</v>
      </c>
      <c r="G41" s="12">
        <v>10</v>
      </c>
      <c r="J41"/>
      <c r="K41"/>
      <c r="L41"/>
    </row>
    <row r="42" spans="1:12" ht="14.4" x14ac:dyDescent="0.3">
      <c r="A42" s="25" t="s">
        <v>85</v>
      </c>
      <c r="B42">
        <v>11</v>
      </c>
      <c r="C42"/>
      <c r="D42"/>
      <c r="E42" s="12">
        <v>5</v>
      </c>
      <c r="F42" s="12" t="str">
        <v>Afghanistan</v>
      </c>
      <c r="G42" s="12">
        <v>9</v>
      </c>
      <c r="J42"/>
      <c r="K42"/>
      <c r="L42"/>
    </row>
    <row r="43" spans="1:12" ht="14.4" x14ac:dyDescent="0.3">
      <c r="A43" s="25" t="s">
        <v>57</v>
      </c>
      <c r="B43">
        <v>9</v>
      </c>
      <c r="C43"/>
      <c r="D43"/>
      <c r="E43" s="12">
        <v>6</v>
      </c>
      <c r="F43" s="12" t="str">
        <v>Bangladesh</v>
      </c>
      <c r="G43" s="12">
        <v>9</v>
      </c>
      <c r="J43"/>
      <c r="K43"/>
      <c r="L43"/>
    </row>
    <row r="44" spans="1:12" ht="14.4" x14ac:dyDescent="0.3">
      <c r="A44" s="25" t="s">
        <v>200</v>
      </c>
      <c r="B44">
        <v>10</v>
      </c>
      <c r="C44"/>
      <c r="D44"/>
      <c r="E44" s="12">
        <v>7</v>
      </c>
      <c r="F44" s="12" t="str">
        <v>England</v>
      </c>
      <c r="G44" s="12">
        <v>9</v>
      </c>
      <c r="J44"/>
      <c r="K44"/>
      <c r="L44"/>
    </row>
    <row r="45" spans="1:12" ht="14.4" x14ac:dyDescent="0.3">
      <c r="A45" s="25" t="s">
        <v>56</v>
      </c>
      <c r="B45">
        <v>9</v>
      </c>
      <c r="C45"/>
      <c r="D45"/>
      <c r="E45" s="12">
        <v>8</v>
      </c>
      <c r="F45" s="12" t="str">
        <v>Netherlands</v>
      </c>
      <c r="G45" s="12">
        <v>9</v>
      </c>
      <c r="J45"/>
      <c r="K45"/>
      <c r="L45"/>
    </row>
    <row r="46" spans="1:12" ht="14.4" x14ac:dyDescent="0.3">
      <c r="A46" s="25" t="s">
        <v>75</v>
      </c>
      <c r="B46">
        <v>10</v>
      </c>
      <c r="C46"/>
      <c r="D46"/>
      <c r="E46" s="12">
        <v>9</v>
      </c>
      <c r="F46" s="12" t="str">
        <v>Pakistan</v>
      </c>
      <c r="G46" s="12">
        <v>9</v>
      </c>
      <c r="J46"/>
      <c r="K46"/>
      <c r="L46"/>
    </row>
    <row r="47" spans="1:12" ht="14.4" x14ac:dyDescent="0.3">
      <c r="A47" s="25" t="s">
        <v>76</v>
      </c>
      <c r="B47">
        <v>9</v>
      </c>
      <c r="C47"/>
      <c r="D47"/>
      <c r="E47" s="12">
        <v>10</v>
      </c>
      <c r="F47" s="12" t="str">
        <v>Sri Lanka</v>
      </c>
      <c r="G47" s="12">
        <v>9</v>
      </c>
      <c r="J47"/>
      <c r="K47"/>
      <c r="L47"/>
    </row>
    <row r="48" spans="1:12" ht="14.4" x14ac:dyDescent="0.3">
      <c r="A48"/>
      <c r="B48"/>
      <c r="C48"/>
      <c r="D48"/>
      <c r="E48"/>
    </row>
    <row r="51" spans="1:7" x14ac:dyDescent="0.25">
      <c r="A51" s="91" t="s">
        <v>249</v>
      </c>
      <c r="B51" s="91"/>
      <c r="C51" s="19"/>
    </row>
    <row r="52" spans="1:7" x14ac:dyDescent="0.25">
      <c r="A52" s="131" t="s">
        <v>250</v>
      </c>
      <c r="B52" s="131"/>
      <c r="C52" s="131"/>
    </row>
    <row r="53" spans="1:7" s="28" customFormat="1" x14ac:dyDescent="0.3">
      <c r="A53" s="30" t="s">
        <v>198</v>
      </c>
      <c r="B53" s="30" t="s">
        <v>228</v>
      </c>
      <c r="E53" s="39" t="s">
        <v>238</v>
      </c>
      <c r="F53" s="39" t="s">
        <v>198</v>
      </c>
      <c r="G53" s="39" t="s">
        <v>228</v>
      </c>
    </row>
    <row r="54" spans="1:7" x14ac:dyDescent="0.25">
      <c r="A54" s="19" t="s">
        <v>66</v>
      </c>
      <c r="B54" s="12">
        <v>291</v>
      </c>
      <c r="E54" s="12" cm="1">
        <f t="array" ref="E54:E63">_xlfn.SEQUENCE(10)</f>
        <v>1</v>
      </c>
      <c r="F54" s="12" t="str" cm="1">
        <f t="array" ref="F54:G63">_xlfn.SORTBY(A54:B63,B54:B63,-1)</f>
        <v>South Africa</v>
      </c>
      <c r="G54" s="12">
        <v>428</v>
      </c>
    </row>
    <row r="55" spans="1:7" x14ac:dyDescent="0.25">
      <c r="A55" s="19" t="s">
        <v>84</v>
      </c>
      <c r="B55" s="12">
        <v>399</v>
      </c>
      <c r="E55" s="12">
        <v>2</v>
      </c>
      <c r="F55" s="12" t="str">
        <v>India</v>
      </c>
      <c r="G55" s="12">
        <v>410</v>
      </c>
    </row>
    <row r="56" spans="1:7" x14ac:dyDescent="0.25">
      <c r="A56" s="19" t="s">
        <v>67</v>
      </c>
      <c r="B56" s="12">
        <v>307</v>
      </c>
      <c r="E56" s="12">
        <v>3</v>
      </c>
      <c r="F56" s="12" t="str">
        <v>New Zealand</v>
      </c>
      <c r="G56" s="12">
        <v>401</v>
      </c>
    </row>
    <row r="57" spans="1:7" x14ac:dyDescent="0.25">
      <c r="A57" s="19" t="s">
        <v>45</v>
      </c>
      <c r="B57" s="12">
        <v>364</v>
      </c>
      <c r="E57" s="12">
        <v>4</v>
      </c>
      <c r="F57" s="12" t="str">
        <v>Australia</v>
      </c>
      <c r="G57" s="12">
        <v>399</v>
      </c>
    </row>
    <row r="58" spans="1:7" x14ac:dyDescent="0.25">
      <c r="A58" s="19" t="s">
        <v>85</v>
      </c>
      <c r="B58" s="12">
        <v>410</v>
      </c>
      <c r="E58" s="12">
        <v>5</v>
      </c>
      <c r="F58" s="12" t="str">
        <v>England</v>
      </c>
      <c r="G58" s="12">
        <v>364</v>
      </c>
    </row>
    <row r="59" spans="1:7" x14ac:dyDescent="0.25">
      <c r="A59" s="19" t="s">
        <v>57</v>
      </c>
      <c r="B59" s="12">
        <v>339</v>
      </c>
      <c r="E59" s="12">
        <v>6</v>
      </c>
      <c r="F59" s="12" t="str">
        <v>Pakistan</v>
      </c>
      <c r="G59" s="12">
        <v>345</v>
      </c>
    </row>
    <row r="60" spans="1:7" x14ac:dyDescent="0.25">
      <c r="A60" s="19" t="s">
        <v>200</v>
      </c>
      <c r="B60" s="12">
        <v>401</v>
      </c>
      <c r="E60" s="12">
        <v>7</v>
      </c>
      <c r="F60" s="12" t="str">
        <v>Sri Lanka</v>
      </c>
      <c r="G60" s="12">
        <v>344</v>
      </c>
    </row>
    <row r="61" spans="1:7" x14ac:dyDescent="0.25">
      <c r="A61" s="19" t="s">
        <v>56</v>
      </c>
      <c r="B61" s="12">
        <v>345</v>
      </c>
      <c r="E61" s="12">
        <v>8</v>
      </c>
      <c r="F61" s="12" t="str">
        <v>Netherlands</v>
      </c>
      <c r="G61" s="12">
        <v>339</v>
      </c>
    </row>
    <row r="62" spans="1:7" x14ac:dyDescent="0.25">
      <c r="A62" s="19" t="s">
        <v>75</v>
      </c>
      <c r="B62" s="12">
        <v>428</v>
      </c>
      <c r="E62" s="12">
        <v>9</v>
      </c>
      <c r="F62" s="12" t="str">
        <v>Bangladesh</v>
      </c>
      <c r="G62" s="12">
        <v>307</v>
      </c>
    </row>
    <row r="63" spans="1:7" x14ac:dyDescent="0.25">
      <c r="A63" s="19" t="s">
        <v>76</v>
      </c>
      <c r="B63" s="12">
        <v>344</v>
      </c>
      <c r="E63" s="12">
        <v>10</v>
      </c>
      <c r="F63" s="12" t="str">
        <v>Afghanistan</v>
      </c>
      <c r="G63" s="12">
        <v>291</v>
      </c>
    </row>
    <row r="66" spans="1:7" x14ac:dyDescent="0.25">
      <c r="A66" s="129" t="s">
        <v>251</v>
      </c>
      <c r="B66" s="129"/>
    </row>
    <row r="67" spans="1:7" s="28" customFormat="1" x14ac:dyDescent="0.3">
      <c r="A67" s="27" t="s">
        <v>198</v>
      </c>
      <c r="B67" s="27" t="s">
        <v>229</v>
      </c>
      <c r="E67" s="39" t="s">
        <v>238</v>
      </c>
      <c r="F67" s="39" t="s">
        <v>198</v>
      </c>
      <c r="G67" s="39" t="s">
        <v>229</v>
      </c>
    </row>
    <row r="68" spans="1:7" x14ac:dyDescent="0.25">
      <c r="A68" s="19" t="s">
        <v>66</v>
      </c>
      <c r="B68" s="20">
        <v>232.55555555555554</v>
      </c>
      <c r="E68" s="12" cm="1">
        <f t="array" ref="E68:E77">_xlfn.SEQUENCE(10)</f>
        <v>1</v>
      </c>
      <c r="F68" s="12" t="str" cm="1">
        <f t="array" ref="F68:G77">_xlfn.SORTBY(A68:B77,B68:B77,-1)</f>
        <v>South Africa</v>
      </c>
      <c r="G68" s="20">
        <v>289.7</v>
      </c>
    </row>
    <row r="69" spans="1:7" x14ac:dyDescent="0.25">
      <c r="A69" s="19" t="s">
        <v>84</v>
      </c>
      <c r="B69" s="20">
        <v>280.54545454545456</v>
      </c>
      <c r="E69" s="12">
        <v>2</v>
      </c>
      <c r="F69" s="12" t="str">
        <v>India</v>
      </c>
      <c r="G69" s="20">
        <v>287.27272727272725</v>
      </c>
    </row>
    <row r="70" spans="1:7" x14ac:dyDescent="0.25">
      <c r="A70" s="19" t="s">
        <v>67</v>
      </c>
      <c r="B70" s="20">
        <v>238</v>
      </c>
      <c r="E70" s="12">
        <v>3</v>
      </c>
      <c r="F70" s="12" t="str">
        <v>New Zealand</v>
      </c>
      <c r="G70" s="20">
        <v>286.3</v>
      </c>
    </row>
    <row r="71" spans="1:7" x14ac:dyDescent="0.25">
      <c r="A71" s="19" t="s">
        <v>45</v>
      </c>
      <c r="B71" s="20">
        <v>221.33333333333334</v>
      </c>
      <c r="E71" s="12">
        <v>4</v>
      </c>
      <c r="F71" s="12" t="str">
        <v>Australia</v>
      </c>
      <c r="G71" s="20">
        <v>280.54545454545456</v>
      </c>
    </row>
    <row r="72" spans="1:7" x14ac:dyDescent="0.25">
      <c r="A72" s="19" t="s">
        <v>85</v>
      </c>
      <c r="B72" s="20">
        <v>287.27272727272725</v>
      </c>
      <c r="E72" s="12">
        <v>5</v>
      </c>
      <c r="F72" s="12" t="str">
        <v>Pakistan</v>
      </c>
      <c r="G72" s="20">
        <v>268.88888888888891</v>
      </c>
    </row>
    <row r="73" spans="1:7" x14ac:dyDescent="0.25">
      <c r="A73" s="19" t="s">
        <v>57</v>
      </c>
      <c r="B73" s="20">
        <v>215.22222222222223</v>
      </c>
      <c r="E73" s="12">
        <v>6</v>
      </c>
      <c r="F73" s="12" t="str">
        <v>Bangladesh</v>
      </c>
      <c r="G73" s="20">
        <v>238</v>
      </c>
    </row>
    <row r="74" spans="1:7" x14ac:dyDescent="0.25">
      <c r="A74" s="19" t="s">
        <v>200</v>
      </c>
      <c r="B74" s="20">
        <v>286.3</v>
      </c>
      <c r="E74" s="12">
        <v>7</v>
      </c>
      <c r="F74" s="12" t="str">
        <v>Afghanistan</v>
      </c>
      <c r="G74" s="20">
        <v>232.55555555555554</v>
      </c>
    </row>
    <row r="75" spans="1:7" x14ac:dyDescent="0.25">
      <c r="A75" s="19" t="s">
        <v>56</v>
      </c>
      <c r="B75" s="20">
        <v>268.88888888888891</v>
      </c>
      <c r="E75" s="12">
        <v>8</v>
      </c>
      <c r="F75" s="12" t="str">
        <v>Sri Lanka</v>
      </c>
      <c r="G75" s="20">
        <v>227.66666666666666</v>
      </c>
    </row>
    <row r="76" spans="1:7" x14ac:dyDescent="0.25">
      <c r="A76" s="19" t="s">
        <v>75</v>
      </c>
      <c r="B76" s="20">
        <v>289.7</v>
      </c>
      <c r="E76" s="12">
        <v>9</v>
      </c>
      <c r="F76" s="12" t="str">
        <v>England</v>
      </c>
      <c r="G76" s="20">
        <v>221.33333333333334</v>
      </c>
    </row>
    <row r="77" spans="1:7" x14ac:dyDescent="0.25">
      <c r="A77" s="19" t="s">
        <v>76</v>
      </c>
      <c r="B77" s="20">
        <v>227.66666666666666</v>
      </c>
      <c r="E77" s="12">
        <v>10</v>
      </c>
      <c r="F77" s="12" t="str">
        <v>Netherlands</v>
      </c>
      <c r="G77" s="20">
        <v>215.22222222222223</v>
      </c>
    </row>
    <row r="81" spans="1:8" x14ac:dyDescent="0.25">
      <c r="A81" s="129" t="s">
        <v>252</v>
      </c>
      <c r="B81" s="129"/>
    </row>
    <row r="82" spans="1:8" s="28" customFormat="1" x14ac:dyDescent="0.3">
      <c r="A82" s="30" t="s">
        <v>198</v>
      </c>
      <c r="B82" s="30" t="s">
        <v>209</v>
      </c>
      <c r="C82" s="30" t="s">
        <v>210</v>
      </c>
      <c r="E82" s="39" t="s">
        <v>238</v>
      </c>
      <c r="F82" s="39" t="s">
        <v>198</v>
      </c>
      <c r="G82" s="39" t="s">
        <v>209</v>
      </c>
      <c r="H82" s="39" t="s">
        <v>210</v>
      </c>
    </row>
    <row r="83" spans="1:8" x14ac:dyDescent="0.25">
      <c r="A83" s="19" t="s">
        <v>66</v>
      </c>
      <c r="B83" s="12">
        <v>178</v>
      </c>
      <c r="C83" s="12">
        <v>42</v>
      </c>
      <c r="E83" s="12" cm="1">
        <f t="array" ref="E83:E92">_xlfn.SEQUENCE(10)</f>
        <v>1</v>
      </c>
      <c r="F83" s="12" t="str" cm="1">
        <f t="array" ref="F83:H92">_xlfn.SORTBY(A83:C92,B83:B92,-1)</f>
        <v>Australia</v>
      </c>
      <c r="G83" s="12">
        <v>287</v>
      </c>
      <c r="H83" s="12">
        <v>97</v>
      </c>
    </row>
    <row r="84" spans="1:8" x14ac:dyDescent="0.25">
      <c r="A84" s="19" t="s">
        <v>84</v>
      </c>
      <c r="B84" s="12">
        <v>287</v>
      </c>
      <c r="C84" s="12">
        <v>97</v>
      </c>
      <c r="E84" s="12">
        <v>2</v>
      </c>
      <c r="F84" s="12" t="str">
        <v>India</v>
      </c>
      <c r="G84" s="12">
        <v>277</v>
      </c>
      <c r="H84" s="12">
        <v>92</v>
      </c>
    </row>
    <row r="85" spans="1:8" x14ac:dyDescent="0.25">
      <c r="A85" s="19" t="s">
        <v>67</v>
      </c>
      <c r="B85" s="12">
        <v>188</v>
      </c>
      <c r="C85" s="12">
        <v>43</v>
      </c>
      <c r="E85" s="12">
        <v>3</v>
      </c>
      <c r="F85" s="12" t="str">
        <v>New Zealand</v>
      </c>
      <c r="G85" s="12">
        <v>266</v>
      </c>
      <c r="H85" s="12">
        <v>82</v>
      </c>
    </row>
    <row r="86" spans="1:8" x14ac:dyDescent="0.25">
      <c r="A86" s="19" t="s">
        <v>45</v>
      </c>
      <c r="B86" s="12">
        <v>208</v>
      </c>
      <c r="C86" s="12">
        <v>49</v>
      </c>
      <c r="E86" s="12">
        <v>4</v>
      </c>
      <c r="F86" s="12" t="str">
        <v>South Africa</v>
      </c>
      <c r="G86" s="12">
        <v>242</v>
      </c>
      <c r="H86" s="12">
        <v>99</v>
      </c>
    </row>
    <row r="87" spans="1:8" x14ac:dyDescent="0.25">
      <c r="A87" s="19" t="s">
        <v>85</v>
      </c>
      <c r="B87" s="12">
        <v>277</v>
      </c>
      <c r="C87" s="12">
        <v>92</v>
      </c>
      <c r="E87" s="12">
        <v>5</v>
      </c>
      <c r="F87" s="12" t="str">
        <v>Pakistan</v>
      </c>
      <c r="G87" s="12">
        <v>228</v>
      </c>
      <c r="H87" s="12">
        <v>62</v>
      </c>
    </row>
    <row r="88" spans="1:8" x14ac:dyDescent="0.25">
      <c r="A88" s="19" t="s">
        <v>57</v>
      </c>
      <c r="B88" s="12">
        <v>164</v>
      </c>
      <c r="C88" s="12">
        <v>33</v>
      </c>
      <c r="E88" s="12">
        <v>6</v>
      </c>
      <c r="F88" s="12" t="str">
        <v>England</v>
      </c>
      <c r="G88" s="12">
        <v>208</v>
      </c>
      <c r="H88" s="12">
        <v>49</v>
      </c>
    </row>
    <row r="89" spans="1:8" x14ac:dyDescent="0.25">
      <c r="A89" s="19" t="s">
        <v>200</v>
      </c>
      <c r="B89" s="12">
        <v>266</v>
      </c>
      <c r="C89" s="12">
        <v>82</v>
      </c>
      <c r="E89" s="12">
        <v>7</v>
      </c>
      <c r="F89" s="12" t="str">
        <v>Sri Lanka</v>
      </c>
      <c r="G89" s="12">
        <v>203</v>
      </c>
      <c r="H89" s="12">
        <v>45</v>
      </c>
    </row>
    <row r="90" spans="1:8" x14ac:dyDescent="0.25">
      <c r="A90" s="19" t="s">
        <v>56</v>
      </c>
      <c r="B90" s="12">
        <v>228</v>
      </c>
      <c r="C90" s="12">
        <v>62</v>
      </c>
      <c r="E90" s="12">
        <v>8</v>
      </c>
      <c r="F90" s="12" t="str">
        <v>Bangladesh</v>
      </c>
      <c r="G90" s="12">
        <v>188</v>
      </c>
      <c r="H90" s="12">
        <v>43</v>
      </c>
    </row>
    <row r="91" spans="1:8" x14ac:dyDescent="0.25">
      <c r="A91" s="19" t="s">
        <v>75</v>
      </c>
      <c r="B91" s="12">
        <v>242</v>
      </c>
      <c r="C91" s="12">
        <v>99</v>
      </c>
      <c r="E91" s="12">
        <v>9</v>
      </c>
      <c r="F91" s="12" t="str">
        <v>Afghanistan</v>
      </c>
      <c r="G91" s="12">
        <v>178</v>
      </c>
      <c r="H91" s="12">
        <v>42</v>
      </c>
    </row>
    <row r="92" spans="1:8" x14ac:dyDescent="0.25">
      <c r="A92" s="19" t="s">
        <v>76</v>
      </c>
      <c r="B92" s="12">
        <v>203</v>
      </c>
      <c r="C92" s="12">
        <v>45</v>
      </c>
      <c r="E92" s="12">
        <v>10</v>
      </c>
      <c r="F92" s="12" t="str">
        <v>Netherlands</v>
      </c>
      <c r="G92" s="12">
        <v>164</v>
      </c>
      <c r="H92" s="12">
        <v>33</v>
      </c>
    </row>
    <row r="93" spans="1:8" ht="14.4" x14ac:dyDescent="0.3">
      <c r="A93"/>
      <c r="B93"/>
      <c r="C93"/>
    </row>
    <row r="98" spans="1:7" x14ac:dyDescent="0.25">
      <c r="A98" s="129" t="s">
        <v>253</v>
      </c>
      <c r="B98" s="129"/>
    </row>
    <row r="99" spans="1:7" s="31" customFormat="1" x14ac:dyDescent="0.3">
      <c r="A99" s="27" t="s">
        <v>198</v>
      </c>
      <c r="B99" s="27" t="s">
        <v>254</v>
      </c>
      <c r="E99" s="39" t="s">
        <v>238</v>
      </c>
      <c r="F99" s="39" t="s">
        <v>198</v>
      </c>
      <c r="G99" s="39" t="s">
        <v>254</v>
      </c>
    </row>
    <row r="100" spans="1:7" x14ac:dyDescent="0.25">
      <c r="A100" s="19" t="s">
        <v>66</v>
      </c>
      <c r="B100" s="14">
        <v>5</v>
      </c>
      <c r="E100" s="12" cm="1">
        <f t="array" ref="E100:E109">_xlfn.SEQUENCE(10)</f>
        <v>1</v>
      </c>
      <c r="F100" s="12" t="str" cm="1">
        <f t="array" ref="F100:G109">_xlfn.SORTBY(A100:B109,B100:B109,-1)</f>
        <v>India</v>
      </c>
      <c r="G100" s="14">
        <v>6.373636363636364</v>
      </c>
    </row>
    <row r="101" spans="1:7" x14ac:dyDescent="0.25">
      <c r="A101" s="19" t="s">
        <v>84</v>
      </c>
      <c r="B101" s="14">
        <v>5.9899999999999984</v>
      </c>
      <c r="E101" s="12">
        <v>2</v>
      </c>
      <c r="F101" s="12" t="str">
        <v>New Zealand</v>
      </c>
      <c r="G101" s="14">
        <v>6.1949999999999985</v>
      </c>
    </row>
    <row r="102" spans="1:7" x14ac:dyDescent="0.25">
      <c r="A102" s="19" t="s">
        <v>67</v>
      </c>
      <c r="B102" s="14">
        <v>5.4277777777777771</v>
      </c>
      <c r="E102" s="12">
        <v>3</v>
      </c>
      <c r="F102" s="12" t="str">
        <v>South Africa</v>
      </c>
      <c r="G102" s="14">
        <v>6.01</v>
      </c>
    </row>
    <row r="103" spans="1:7" x14ac:dyDescent="0.25">
      <c r="A103" s="19" t="s">
        <v>45</v>
      </c>
      <c r="B103" s="14">
        <v>5.677777777777778</v>
      </c>
      <c r="E103" s="12">
        <v>4</v>
      </c>
      <c r="F103" s="12" t="str">
        <v>Australia</v>
      </c>
      <c r="G103" s="14">
        <v>5.9899999999999984</v>
      </c>
    </row>
    <row r="104" spans="1:7" x14ac:dyDescent="0.25">
      <c r="A104" s="19" t="s">
        <v>85</v>
      </c>
      <c r="B104" s="14">
        <v>6.373636363636364</v>
      </c>
      <c r="E104" s="12">
        <v>5</v>
      </c>
      <c r="F104" s="12" t="str">
        <v>Pakistan</v>
      </c>
      <c r="G104" s="14">
        <v>5.9422222222222221</v>
      </c>
    </row>
    <row r="105" spans="1:7" x14ac:dyDescent="0.25">
      <c r="A105" s="19" t="s">
        <v>57</v>
      </c>
      <c r="B105" s="14">
        <v>5.1244444444444452</v>
      </c>
      <c r="E105" s="12">
        <v>6</v>
      </c>
      <c r="F105" s="12" t="str">
        <v>Sri Lanka</v>
      </c>
      <c r="G105" s="14">
        <v>5.6966666666666672</v>
      </c>
    </row>
    <row r="106" spans="1:7" x14ac:dyDescent="0.25">
      <c r="A106" s="19" t="s">
        <v>200</v>
      </c>
      <c r="B106" s="14">
        <v>6.1949999999999985</v>
      </c>
      <c r="E106" s="12">
        <v>7</v>
      </c>
      <c r="F106" s="12" t="str">
        <v>England</v>
      </c>
      <c r="G106" s="14">
        <v>5.677777777777778</v>
      </c>
    </row>
    <row r="107" spans="1:7" x14ac:dyDescent="0.25">
      <c r="A107" s="19" t="s">
        <v>56</v>
      </c>
      <c r="B107" s="14">
        <v>5.9422222222222221</v>
      </c>
      <c r="E107" s="12">
        <v>8</v>
      </c>
      <c r="F107" s="12" t="str">
        <v>Bangladesh</v>
      </c>
      <c r="G107" s="14">
        <v>5.4277777777777771</v>
      </c>
    </row>
    <row r="108" spans="1:7" x14ac:dyDescent="0.25">
      <c r="A108" s="19" t="s">
        <v>75</v>
      </c>
      <c r="B108" s="14">
        <v>6.01</v>
      </c>
      <c r="E108" s="12">
        <v>9</v>
      </c>
      <c r="F108" s="12" t="str">
        <v>Netherlands</v>
      </c>
      <c r="G108" s="14">
        <v>5.1244444444444452</v>
      </c>
    </row>
    <row r="109" spans="1:7" x14ac:dyDescent="0.25">
      <c r="A109" s="19" t="s">
        <v>76</v>
      </c>
      <c r="B109" s="14">
        <v>5.6966666666666672</v>
      </c>
      <c r="E109" s="12">
        <v>10</v>
      </c>
      <c r="F109" s="12" t="str">
        <v>Afghanistan</v>
      </c>
      <c r="G109" s="14">
        <v>5</v>
      </c>
    </row>
    <row r="113" spans="1:7" x14ac:dyDescent="0.25">
      <c r="A113" s="129" t="s">
        <v>255</v>
      </c>
      <c r="B113" s="129"/>
    </row>
    <row r="114" spans="1:7" x14ac:dyDescent="0.25">
      <c r="A114" s="129" t="s">
        <v>256</v>
      </c>
      <c r="B114" s="129"/>
    </row>
    <row r="115" spans="1:7" s="28" customFormat="1" ht="14.4" x14ac:dyDescent="0.3">
      <c r="A115" s="34" t="s">
        <v>198</v>
      </c>
      <c r="B115" s="34" t="s">
        <v>290</v>
      </c>
      <c r="E115" s="39" t="s">
        <v>238</v>
      </c>
      <c r="F115" s="39" t="s">
        <v>258</v>
      </c>
      <c r="G115" s="39" t="s">
        <v>259</v>
      </c>
    </row>
    <row r="116" spans="1:7" ht="14.4" x14ac:dyDescent="0.3">
      <c r="A116" s="25" t="s">
        <v>66</v>
      </c>
      <c r="B116" s="60">
        <v>54</v>
      </c>
      <c r="E116" s="12" cm="1">
        <f t="array" ref="E116:E125">_xlfn.SEQUENCE(10)</f>
        <v>1</v>
      </c>
      <c r="F116" s="12" t="str" cm="1">
        <f t="array" ref="F116:G125">_xlfn.SORTBY(A116:B125,B116:B125,-1)</f>
        <v>India</v>
      </c>
      <c r="G116" s="12">
        <v>100</v>
      </c>
    </row>
    <row r="117" spans="1:7" ht="14.4" x14ac:dyDescent="0.3">
      <c r="A117" s="25" t="s">
        <v>84</v>
      </c>
      <c r="B117" s="60">
        <v>87</v>
      </c>
      <c r="E117" s="12">
        <v>2</v>
      </c>
      <c r="F117" s="12" t="str">
        <v>South Africa</v>
      </c>
      <c r="G117" s="12">
        <v>90</v>
      </c>
    </row>
    <row r="118" spans="1:7" ht="14.4" x14ac:dyDescent="0.3">
      <c r="A118" s="25" t="s">
        <v>67</v>
      </c>
      <c r="B118" s="60">
        <v>67</v>
      </c>
      <c r="E118" s="12">
        <v>3</v>
      </c>
      <c r="F118" s="12" t="str">
        <v>Australia</v>
      </c>
      <c r="G118" s="12">
        <v>87</v>
      </c>
    </row>
    <row r="119" spans="1:7" ht="14.4" x14ac:dyDescent="0.3">
      <c r="A119" s="25" t="s">
        <v>45</v>
      </c>
      <c r="B119" s="60">
        <v>67</v>
      </c>
      <c r="E119" s="12">
        <v>4</v>
      </c>
      <c r="F119" s="12" t="str">
        <v>Netherlands</v>
      </c>
      <c r="G119" s="12">
        <v>74</v>
      </c>
    </row>
    <row r="120" spans="1:7" ht="14.4" x14ac:dyDescent="0.3">
      <c r="A120" s="25" t="s">
        <v>85</v>
      </c>
      <c r="B120" s="60">
        <v>100</v>
      </c>
      <c r="E120" s="12">
        <v>5</v>
      </c>
      <c r="F120" s="12" t="str">
        <v>New Zealand</v>
      </c>
      <c r="G120" s="12">
        <v>68</v>
      </c>
    </row>
    <row r="121" spans="1:7" ht="14.4" x14ac:dyDescent="0.3">
      <c r="A121" s="25" t="s">
        <v>57</v>
      </c>
      <c r="B121" s="60">
        <v>74</v>
      </c>
      <c r="E121" s="12">
        <v>6</v>
      </c>
      <c r="F121" s="12" t="str">
        <v>Bangladesh</v>
      </c>
      <c r="G121" s="12">
        <v>67</v>
      </c>
    </row>
    <row r="122" spans="1:7" ht="14.4" x14ac:dyDescent="0.3">
      <c r="A122" s="25" t="s">
        <v>200</v>
      </c>
      <c r="B122" s="60">
        <v>68</v>
      </c>
      <c r="E122" s="12">
        <v>7</v>
      </c>
      <c r="F122" s="12" t="str">
        <v>England</v>
      </c>
      <c r="G122" s="12">
        <v>67</v>
      </c>
    </row>
    <row r="123" spans="1:7" ht="14.4" x14ac:dyDescent="0.3">
      <c r="A123" s="25" t="s">
        <v>56</v>
      </c>
      <c r="B123" s="60">
        <v>61</v>
      </c>
      <c r="E123" s="12">
        <v>8</v>
      </c>
      <c r="F123" s="12" t="str">
        <v>Sri Lanka</v>
      </c>
      <c r="G123" s="12">
        <v>62</v>
      </c>
    </row>
    <row r="124" spans="1:7" ht="14.4" x14ac:dyDescent="0.3">
      <c r="A124" s="25" t="s">
        <v>75</v>
      </c>
      <c r="B124" s="60">
        <v>90</v>
      </c>
      <c r="E124" s="12">
        <v>9</v>
      </c>
      <c r="F124" s="12" t="str">
        <v>Pakistan</v>
      </c>
      <c r="G124" s="12">
        <v>61</v>
      </c>
    </row>
    <row r="125" spans="1:7" ht="14.4" x14ac:dyDescent="0.3">
      <c r="A125" s="25" t="s">
        <v>76</v>
      </c>
      <c r="B125" s="60">
        <v>62</v>
      </c>
      <c r="E125" s="12">
        <v>10</v>
      </c>
      <c r="F125" s="12" t="str">
        <v>Afghanistan</v>
      </c>
      <c r="G125" s="12">
        <v>54</v>
      </c>
    </row>
    <row r="126" spans="1:7" ht="14.4" x14ac:dyDescent="0.3">
      <c r="A126"/>
      <c r="B126"/>
    </row>
    <row r="129" spans="1:7" x14ac:dyDescent="0.25">
      <c r="A129" s="129" t="s">
        <v>348</v>
      </c>
      <c r="B129" s="129"/>
      <c r="C129" s="129"/>
    </row>
    <row r="130" spans="1:7" s="28" customFormat="1" ht="14.4" x14ac:dyDescent="0.3">
      <c r="A130" s="34" t="s">
        <v>198</v>
      </c>
      <c r="B130" s="34" t="s">
        <v>289</v>
      </c>
      <c r="E130" s="39" t="s">
        <v>238</v>
      </c>
      <c r="F130" s="39" t="s">
        <v>258</v>
      </c>
      <c r="G130" s="39" t="s">
        <v>349</v>
      </c>
    </row>
    <row r="131" spans="1:7" ht="14.4" x14ac:dyDescent="0.3">
      <c r="A131" s="25" t="s">
        <v>66</v>
      </c>
      <c r="B131">
        <v>68</v>
      </c>
      <c r="E131" s="12" cm="1">
        <f t="array" ref="E131:E140">_xlfn.SEQUENCE(10)</f>
        <v>1</v>
      </c>
      <c r="F131" s="12" t="str" cm="1">
        <f t="array" ref="F131:G140">_xlfn.SORTBY(A131:B140,B131:B140,-1)</f>
        <v>Australia</v>
      </c>
      <c r="G131" s="20">
        <v>88</v>
      </c>
    </row>
    <row r="132" spans="1:7" ht="14.4" x14ac:dyDescent="0.3">
      <c r="A132" s="25" t="s">
        <v>84</v>
      </c>
      <c r="B132">
        <v>88</v>
      </c>
      <c r="E132" s="12">
        <v>2</v>
      </c>
      <c r="F132" s="12" t="str">
        <v>England</v>
      </c>
      <c r="G132" s="20">
        <v>88</v>
      </c>
    </row>
    <row r="133" spans="1:7" ht="14.4" x14ac:dyDescent="0.3">
      <c r="A133" s="25" t="s">
        <v>67</v>
      </c>
      <c r="B133">
        <v>63</v>
      </c>
      <c r="E133" s="12">
        <v>3</v>
      </c>
      <c r="F133" s="12" t="str">
        <v>Netherlands</v>
      </c>
      <c r="G133" s="20">
        <v>80</v>
      </c>
    </row>
    <row r="134" spans="1:7" ht="14.4" x14ac:dyDescent="0.3">
      <c r="A134" s="25" t="s">
        <v>45</v>
      </c>
      <c r="B134">
        <v>88</v>
      </c>
      <c r="E134" s="12">
        <v>4</v>
      </c>
      <c r="F134" s="12" t="str">
        <v>South Africa</v>
      </c>
      <c r="G134" s="20">
        <v>72</v>
      </c>
    </row>
    <row r="135" spans="1:7" ht="14.4" x14ac:dyDescent="0.3">
      <c r="A135" s="25" t="s">
        <v>85</v>
      </c>
      <c r="B135">
        <v>58</v>
      </c>
      <c r="E135" s="12">
        <v>5</v>
      </c>
      <c r="F135" s="12" t="str">
        <v>New Zealand</v>
      </c>
      <c r="G135" s="20">
        <v>71</v>
      </c>
    </row>
    <row r="136" spans="1:7" ht="14.4" x14ac:dyDescent="0.3">
      <c r="A136" s="25" t="s">
        <v>57</v>
      </c>
      <c r="B136">
        <v>80</v>
      </c>
      <c r="E136" s="12">
        <v>6</v>
      </c>
      <c r="F136" s="12" t="str">
        <v>Pakistan</v>
      </c>
      <c r="G136" s="20">
        <v>71</v>
      </c>
    </row>
    <row r="137" spans="1:7" ht="14.4" x14ac:dyDescent="0.3">
      <c r="A137" s="25" t="s">
        <v>200</v>
      </c>
      <c r="B137">
        <v>71</v>
      </c>
      <c r="E137" s="12">
        <v>7</v>
      </c>
      <c r="F137" s="12" t="str">
        <v>Sri Lanka</v>
      </c>
      <c r="G137" s="20">
        <v>71</v>
      </c>
    </row>
    <row r="138" spans="1:7" ht="14.4" x14ac:dyDescent="0.3">
      <c r="A138" s="25" t="s">
        <v>56</v>
      </c>
      <c r="B138">
        <v>71</v>
      </c>
      <c r="E138" s="12">
        <v>8</v>
      </c>
      <c r="F138" s="12" t="str">
        <v>Afghanistan</v>
      </c>
      <c r="G138" s="20">
        <v>68</v>
      </c>
    </row>
    <row r="139" spans="1:7" ht="14.4" x14ac:dyDescent="0.3">
      <c r="A139" s="25" t="s">
        <v>75</v>
      </c>
      <c r="B139">
        <v>72</v>
      </c>
      <c r="E139" s="12">
        <v>9</v>
      </c>
      <c r="F139" s="12" t="str">
        <v>Bangladesh</v>
      </c>
      <c r="G139" s="20">
        <v>63</v>
      </c>
    </row>
    <row r="140" spans="1:7" ht="14.4" x14ac:dyDescent="0.3">
      <c r="A140" s="25" t="s">
        <v>76</v>
      </c>
      <c r="B140">
        <v>71</v>
      </c>
      <c r="E140" s="12">
        <v>10</v>
      </c>
      <c r="F140" s="12" t="str">
        <v>India</v>
      </c>
      <c r="G140" s="20">
        <v>58</v>
      </c>
    </row>
    <row r="141" spans="1:7" ht="14.4" x14ac:dyDescent="0.3">
      <c r="A141"/>
      <c r="B141"/>
    </row>
    <row r="147" spans="1:7" x14ac:dyDescent="0.25">
      <c r="A147" s="129" t="s">
        <v>260</v>
      </c>
      <c r="B147" s="129"/>
      <c r="C147" s="129"/>
      <c r="E147" s="39" t="s">
        <v>238</v>
      </c>
      <c r="F147" s="39" t="s">
        <v>258</v>
      </c>
      <c r="G147" s="39" t="s">
        <v>261</v>
      </c>
    </row>
    <row r="148" spans="1:7" s="28" customFormat="1" ht="14.4" x14ac:dyDescent="0.3">
      <c r="A148" s="33" t="s">
        <v>198</v>
      </c>
      <c r="B148" s="33" t="s">
        <v>208</v>
      </c>
      <c r="C148" s="29"/>
      <c r="E148" s="28" cm="1">
        <f t="array" ref="E148:E157">_xlfn.SEQUENCE(10)</f>
        <v>1</v>
      </c>
      <c r="F148" s="28" t="str" cm="1">
        <f t="array" ref="F148:G157">_xlfn.SORTBY(A149:B158,B149:B158,-1)</f>
        <v>India</v>
      </c>
      <c r="G148" s="28">
        <v>26</v>
      </c>
    </row>
    <row r="149" spans="1:7" ht="14.4" x14ac:dyDescent="0.3">
      <c r="A149" s="25" t="s">
        <v>66</v>
      </c>
      <c r="B149">
        <v>13</v>
      </c>
      <c r="C149"/>
      <c r="E149" s="12">
        <v>2</v>
      </c>
      <c r="F149" s="12" t="str">
        <v>South Africa</v>
      </c>
      <c r="G149" s="12">
        <v>20</v>
      </c>
    </row>
    <row r="150" spans="1:7" ht="14.4" x14ac:dyDescent="0.3">
      <c r="A150" s="25" t="s">
        <v>84</v>
      </c>
      <c r="B150">
        <v>13</v>
      </c>
      <c r="C150"/>
      <c r="E150" s="12">
        <v>3</v>
      </c>
      <c r="F150" s="12" t="str">
        <v>New Zealand</v>
      </c>
      <c r="G150" s="12">
        <v>17</v>
      </c>
    </row>
    <row r="151" spans="1:7" ht="14.4" x14ac:dyDescent="0.3">
      <c r="A151" s="25" t="s">
        <v>67</v>
      </c>
      <c r="B151">
        <v>13</v>
      </c>
      <c r="C151"/>
      <c r="E151" s="12">
        <v>4</v>
      </c>
      <c r="F151" s="12" t="str">
        <v>England</v>
      </c>
      <c r="G151" s="12">
        <v>15</v>
      </c>
    </row>
    <row r="152" spans="1:7" ht="14.4" x14ac:dyDescent="0.3">
      <c r="A152" s="25" t="s">
        <v>45</v>
      </c>
      <c r="B152">
        <v>15</v>
      </c>
      <c r="C152"/>
      <c r="E152" s="12">
        <v>5</v>
      </c>
      <c r="F152" s="12" t="str">
        <v>Afghanistan</v>
      </c>
      <c r="G152" s="12">
        <v>13</v>
      </c>
    </row>
    <row r="153" spans="1:7" ht="14.4" x14ac:dyDescent="0.3">
      <c r="A153" s="25" t="s">
        <v>85</v>
      </c>
      <c r="B153">
        <v>26</v>
      </c>
      <c r="C153"/>
      <c r="E153" s="12">
        <v>6</v>
      </c>
      <c r="F153" s="12" t="str">
        <v>Australia</v>
      </c>
      <c r="G153" s="12">
        <v>13</v>
      </c>
    </row>
    <row r="154" spans="1:7" ht="14.4" x14ac:dyDescent="0.3">
      <c r="A154" s="25" t="s">
        <v>57</v>
      </c>
      <c r="B154">
        <v>11</v>
      </c>
      <c r="C154"/>
      <c r="E154" s="12">
        <v>7</v>
      </c>
      <c r="F154" s="12" t="str">
        <v>Bangladesh</v>
      </c>
      <c r="G154" s="12">
        <v>13</v>
      </c>
    </row>
    <row r="155" spans="1:7" ht="14.4" x14ac:dyDescent="0.3">
      <c r="A155" s="25" t="s">
        <v>200</v>
      </c>
      <c r="B155">
        <v>17</v>
      </c>
      <c r="C155"/>
      <c r="E155" s="12">
        <v>8</v>
      </c>
      <c r="F155" s="12" t="str">
        <v>Sri Lanka</v>
      </c>
      <c r="G155" s="12">
        <v>12</v>
      </c>
    </row>
    <row r="156" spans="1:7" ht="14.4" x14ac:dyDescent="0.3">
      <c r="A156" s="25" t="s">
        <v>56</v>
      </c>
      <c r="B156">
        <v>7</v>
      </c>
      <c r="C156"/>
      <c r="E156" s="12">
        <v>9</v>
      </c>
      <c r="F156" s="12" t="str">
        <v>Netherlands</v>
      </c>
      <c r="G156" s="12">
        <v>11</v>
      </c>
    </row>
    <row r="157" spans="1:7" ht="14.4" x14ac:dyDescent="0.3">
      <c r="A157" s="25" t="s">
        <v>75</v>
      </c>
      <c r="B157">
        <v>20</v>
      </c>
      <c r="C157"/>
      <c r="E157" s="12">
        <v>10</v>
      </c>
      <c r="F157" s="12" t="str">
        <v>Pakistan</v>
      </c>
      <c r="G157" s="12">
        <v>7</v>
      </c>
    </row>
    <row r="158" spans="1:7" ht="14.4" x14ac:dyDescent="0.3">
      <c r="A158" s="25" t="s">
        <v>76</v>
      </c>
      <c r="B158">
        <v>12</v>
      </c>
      <c r="C158"/>
    </row>
    <row r="159" spans="1:7" ht="14.4" x14ac:dyDescent="0.3">
      <c r="A159"/>
      <c r="B159"/>
      <c r="C159"/>
    </row>
    <row r="160" spans="1:7" ht="14.4" x14ac:dyDescent="0.3">
      <c r="A160"/>
      <c r="B160"/>
      <c r="C160"/>
    </row>
    <row r="161" spans="1:17" ht="14.4" x14ac:dyDescent="0.3">
      <c r="A161"/>
      <c r="B161"/>
      <c r="C161"/>
    </row>
    <row r="162" spans="1:17" ht="14.4" x14ac:dyDescent="0.3">
      <c r="A162" s="120" t="s">
        <v>262</v>
      </c>
      <c r="B162" s="120"/>
      <c r="C162"/>
    </row>
    <row r="163" spans="1:17" ht="14.4" x14ac:dyDescent="0.3">
      <c r="A163" s="119" t="s">
        <v>263</v>
      </c>
      <c r="B163" s="119"/>
      <c r="C163"/>
    </row>
    <row r="164" spans="1:17" s="28" customFormat="1" ht="14.4" x14ac:dyDescent="0.3">
      <c r="A164" s="34" t="s">
        <v>263</v>
      </c>
      <c r="B164" s="34" t="s">
        <v>7</v>
      </c>
      <c r="C164" s="29"/>
    </row>
    <row r="165" spans="1:17" ht="14.4" x14ac:dyDescent="0.3">
      <c r="A165" s="25" t="s">
        <v>86</v>
      </c>
      <c r="B165">
        <v>22</v>
      </c>
      <c r="C165"/>
    </row>
    <row r="166" spans="1:17" ht="14.4" x14ac:dyDescent="0.3">
      <c r="A166" s="25" t="s">
        <v>47</v>
      </c>
      <c r="B166">
        <v>26</v>
      </c>
      <c r="C166"/>
    </row>
    <row r="167" spans="1:17" ht="14.4" x14ac:dyDescent="0.3">
      <c r="A167"/>
      <c r="B167"/>
      <c r="C167"/>
    </row>
    <row r="168" spans="1:17" ht="14.4" x14ac:dyDescent="0.3">
      <c r="C168"/>
    </row>
    <row r="169" spans="1:17" ht="14.4" x14ac:dyDescent="0.3">
      <c r="C169"/>
    </row>
    <row r="170" spans="1:17" ht="14.4" x14ac:dyDescent="0.3">
      <c r="C170"/>
      <c r="M170" s="123"/>
      <c r="N170" s="123"/>
      <c r="O170" s="123"/>
    </row>
    <row r="171" spans="1:17" ht="14.4" x14ac:dyDescent="0.3">
      <c r="C171"/>
      <c r="M171"/>
      <c r="N171"/>
      <c r="O171"/>
      <c r="P171"/>
      <c r="Q171"/>
    </row>
    <row r="172" spans="1:17" ht="14.4" x14ac:dyDescent="0.3">
      <c r="A172"/>
      <c r="B172"/>
      <c r="C172"/>
      <c r="M172"/>
      <c r="N172"/>
      <c r="O172"/>
      <c r="P172"/>
      <c r="Q172"/>
    </row>
    <row r="173" spans="1:17" ht="14.4" x14ac:dyDescent="0.3">
      <c r="A173"/>
      <c r="B173"/>
      <c r="C173"/>
      <c r="M173"/>
      <c r="N173"/>
      <c r="O173"/>
      <c r="P173"/>
      <c r="Q173"/>
    </row>
    <row r="174" spans="1:17" ht="14.4" x14ac:dyDescent="0.3">
      <c r="A174"/>
      <c r="B174"/>
      <c r="C174"/>
      <c r="M174"/>
      <c r="N174"/>
      <c r="O174"/>
      <c r="P174"/>
      <c r="Q174"/>
    </row>
    <row r="175" spans="1:17" ht="14.4" x14ac:dyDescent="0.3">
      <c r="A175"/>
      <c r="B175"/>
      <c r="C175"/>
      <c r="M175"/>
      <c r="N175"/>
      <c r="O175"/>
      <c r="P175"/>
      <c r="Q175"/>
    </row>
    <row r="176" spans="1:17" ht="14.4" customHeight="1" x14ac:dyDescent="0.3">
      <c r="A176" s="119" t="s">
        <v>264</v>
      </c>
      <c r="B176" s="119"/>
      <c r="C176" s="119"/>
      <c r="M176"/>
      <c r="N176"/>
      <c r="O176"/>
      <c r="P176"/>
      <c r="Q176"/>
    </row>
    <row r="177" spans="1:17" s="28" customFormat="1" ht="14.4" x14ac:dyDescent="0.3">
      <c r="A177" s="33" t="s">
        <v>198</v>
      </c>
      <c r="B177" s="33" t="s">
        <v>265</v>
      </c>
      <c r="C177" s="33" t="s">
        <v>266</v>
      </c>
      <c r="M177"/>
      <c r="N177"/>
      <c r="O177"/>
      <c r="P177"/>
      <c r="Q177"/>
    </row>
    <row r="178" spans="1:17" ht="14.4" x14ac:dyDescent="0.3">
      <c r="A178" s="25" t="s">
        <v>66</v>
      </c>
      <c r="B178">
        <v>5</v>
      </c>
      <c r="C178">
        <v>1</v>
      </c>
      <c r="M178"/>
      <c r="N178"/>
      <c r="O178"/>
      <c r="P178"/>
      <c r="Q178"/>
    </row>
    <row r="179" spans="1:17" ht="14.4" x14ac:dyDescent="0.3">
      <c r="A179" s="25" t="s">
        <v>84</v>
      </c>
      <c r="B179">
        <v>5</v>
      </c>
      <c r="C179">
        <v>3</v>
      </c>
      <c r="M179"/>
      <c r="N179"/>
      <c r="O179"/>
      <c r="P179"/>
      <c r="Q179"/>
    </row>
    <row r="180" spans="1:17" ht="14.4" x14ac:dyDescent="0.3">
      <c r="A180" s="25" t="s">
        <v>67</v>
      </c>
      <c r="B180">
        <v>5</v>
      </c>
      <c r="C180">
        <v>2</v>
      </c>
      <c r="M180"/>
      <c r="N180"/>
      <c r="O180"/>
      <c r="P180"/>
      <c r="Q180"/>
    </row>
    <row r="181" spans="1:17" ht="14.4" x14ac:dyDescent="0.3">
      <c r="A181" s="25" t="s">
        <v>45</v>
      </c>
      <c r="B181">
        <v>7</v>
      </c>
      <c r="C181">
        <v>2</v>
      </c>
      <c r="M181"/>
      <c r="N181"/>
      <c r="O181"/>
      <c r="P181"/>
      <c r="Q181"/>
    </row>
    <row r="182" spans="1:17" ht="14.4" x14ac:dyDescent="0.3">
      <c r="A182" s="25" t="s">
        <v>85</v>
      </c>
      <c r="B182">
        <v>5</v>
      </c>
      <c r="C182">
        <v>5</v>
      </c>
      <c r="M182"/>
      <c r="N182"/>
      <c r="O182"/>
      <c r="P182"/>
      <c r="Q182"/>
    </row>
    <row r="183" spans="1:17" ht="14.4" x14ac:dyDescent="0.3">
      <c r="A183" s="25" t="s">
        <v>57</v>
      </c>
      <c r="B183">
        <v>5</v>
      </c>
      <c r="C183">
        <v>1</v>
      </c>
      <c r="M183"/>
      <c r="N183"/>
      <c r="O183"/>
      <c r="P183"/>
      <c r="Q183"/>
    </row>
    <row r="184" spans="1:17" ht="14.4" x14ac:dyDescent="0.3">
      <c r="A184" s="25" t="s">
        <v>200</v>
      </c>
      <c r="B184">
        <v>5</v>
      </c>
      <c r="C184">
        <v>3</v>
      </c>
    </row>
    <row r="185" spans="1:17" ht="14.4" x14ac:dyDescent="0.3">
      <c r="A185" s="25" t="s">
        <v>56</v>
      </c>
      <c r="B185">
        <v>4</v>
      </c>
      <c r="C185">
        <v>1</v>
      </c>
    </row>
    <row r="186" spans="1:17" ht="14.4" x14ac:dyDescent="0.3">
      <c r="A186" s="25" t="s">
        <v>75</v>
      </c>
      <c r="B186">
        <v>3</v>
      </c>
      <c r="C186">
        <v>1</v>
      </c>
    </row>
    <row r="187" spans="1:17" ht="14.4" x14ac:dyDescent="0.3">
      <c r="A187" s="25" t="s">
        <v>76</v>
      </c>
      <c r="B187">
        <v>4</v>
      </c>
      <c r="C187">
        <v>0</v>
      </c>
    </row>
    <row r="188" spans="1:17" ht="14.4" x14ac:dyDescent="0.3">
      <c r="A188" s="25"/>
      <c r="B188"/>
      <c r="C188"/>
    </row>
    <row r="189" spans="1:17" ht="14.4" x14ac:dyDescent="0.3">
      <c r="A189" s="25"/>
      <c r="B189"/>
      <c r="C189"/>
    </row>
    <row r="190" spans="1:17" ht="14.4" x14ac:dyDescent="0.3">
      <c r="A190" s="71" t="s">
        <v>198</v>
      </c>
      <c r="B190" s="71" t="s">
        <v>308</v>
      </c>
      <c r="C190" s="71" t="s">
        <v>232</v>
      </c>
      <c r="D190" s="71" t="s">
        <v>309</v>
      </c>
      <c r="E190" s="39" t="s">
        <v>238</v>
      </c>
      <c r="F190" s="39" t="s">
        <v>258</v>
      </c>
      <c r="G190" s="39" t="s">
        <v>261</v>
      </c>
    </row>
    <row r="191" spans="1:17" ht="14.4" x14ac:dyDescent="0.3">
      <c r="A191" s="25" t="s">
        <v>66</v>
      </c>
      <c r="B191">
        <v>1</v>
      </c>
      <c r="C191">
        <v>5</v>
      </c>
      <c r="D191" s="72">
        <f>IFERROR(B191/C191,0)</f>
        <v>0.2</v>
      </c>
      <c r="E191" s="12" cm="1">
        <f t="array" ref="E191:E200">_xlfn.SEQUENCE(10)</f>
        <v>1</v>
      </c>
      <c r="F191" s="12" t="str">
        <f>IFERROR(A191,0)</f>
        <v>Afghanistan</v>
      </c>
      <c r="G191" s="73">
        <f>IFERROR(D191,0)</f>
        <v>0.2</v>
      </c>
    </row>
    <row r="192" spans="1:17" ht="14.4" x14ac:dyDescent="0.3">
      <c r="A192" s="25" t="s">
        <v>84</v>
      </c>
      <c r="B192">
        <v>3</v>
      </c>
      <c r="C192">
        <v>5</v>
      </c>
      <c r="D192" s="72">
        <f t="shared" ref="D192:D200" si="3">IFERROR(B192/C192,0)</f>
        <v>0.6</v>
      </c>
      <c r="E192" s="12">
        <v>2</v>
      </c>
      <c r="F192" s="12" t="str">
        <f t="shared" ref="F192:F200" si="4">IFERROR(A192,0)</f>
        <v>Australia</v>
      </c>
      <c r="G192" s="73">
        <f t="shared" ref="G192:G200" si="5">IFERROR(D192,0)</f>
        <v>0.6</v>
      </c>
    </row>
    <row r="193" spans="1:24" ht="14.4" x14ac:dyDescent="0.3">
      <c r="A193" s="25" t="s">
        <v>67</v>
      </c>
      <c r="B193">
        <v>2</v>
      </c>
      <c r="C193">
        <v>5</v>
      </c>
      <c r="D193" s="72">
        <f t="shared" si="3"/>
        <v>0.4</v>
      </c>
      <c r="E193" s="12">
        <v>3</v>
      </c>
      <c r="F193" s="12" t="str">
        <f t="shared" si="4"/>
        <v>Bangladesh</v>
      </c>
      <c r="G193" s="73">
        <f t="shared" si="5"/>
        <v>0.4</v>
      </c>
      <c r="K193" s="128"/>
      <c r="L193" s="128"/>
      <c r="M193" s="128"/>
      <c r="N193" s="128"/>
      <c r="O193" s="128"/>
      <c r="P193" s="128"/>
      <c r="Q193" s="128"/>
      <c r="R193" s="128"/>
      <c r="S193" s="128"/>
      <c r="T193" s="128"/>
      <c r="U193" s="128"/>
      <c r="V193" s="128"/>
    </row>
    <row r="194" spans="1:24" ht="14.4" x14ac:dyDescent="0.3">
      <c r="A194" s="25" t="s">
        <v>45</v>
      </c>
      <c r="B194">
        <v>2</v>
      </c>
      <c r="C194">
        <v>7</v>
      </c>
      <c r="D194" s="72">
        <f t="shared" si="3"/>
        <v>0.2857142857142857</v>
      </c>
      <c r="E194">
        <v>4</v>
      </c>
      <c r="F194" s="12" t="str">
        <f t="shared" si="4"/>
        <v>England</v>
      </c>
      <c r="G194" s="73">
        <f t="shared" si="5"/>
        <v>0.2857142857142857</v>
      </c>
      <c r="K194" s="123"/>
      <c r="L194" s="123"/>
      <c r="M194" s="123"/>
      <c r="N194" s="123"/>
      <c r="O194" s="123"/>
      <c r="P194" s="123"/>
      <c r="Q194" s="123"/>
      <c r="R194" s="123"/>
      <c r="S194" s="123"/>
      <c r="T194" s="123"/>
      <c r="U194" s="123"/>
      <c r="V194" s="123"/>
    </row>
    <row r="195" spans="1:24" ht="14.4" x14ac:dyDescent="0.3">
      <c r="A195" s="25" t="s">
        <v>85</v>
      </c>
      <c r="B195">
        <v>5</v>
      </c>
      <c r="C195">
        <v>5</v>
      </c>
      <c r="D195" s="72">
        <f t="shared" si="3"/>
        <v>1</v>
      </c>
      <c r="E195">
        <v>5</v>
      </c>
      <c r="F195" s="12" t="str">
        <f t="shared" si="4"/>
        <v>India</v>
      </c>
      <c r="G195" s="73">
        <f t="shared" si="5"/>
        <v>1</v>
      </c>
      <c r="K195" s="115"/>
      <c r="L195" s="115"/>
      <c r="M195" s="115"/>
      <c r="N195" s="115"/>
      <c r="O195" s="115"/>
      <c r="P195" s="117"/>
      <c r="Q195" s="117"/>
      <c r="R195" s="117"/>
      <c r="S195" s="117"/>
      <c r="T195" s="117"/>
      <c r="U195" s="118"/>
      <c r="V195" s="118"/>
    </row>
    <row r="196" spans="1:24" ht="14.4" x14ac:dyDescent="0.3">
      <c r="A196" s="25" t="s">
        <v>57</v>
      </c>
      <c r="B196">
        <v>1</v>
      </c>
      <c r="C196">
        <v>5</v>
      </c>
      <c r="D196" s="72">
        <f t="shared" si="3"/>
        <v>0.2</v>
      </c>
      <c r="E196">
        <v>6</v>
      </c>
      <c r="F196" s="12" t="str">
        <f t="shared" si="4"/>
        <v>Netherlands</v>
      </c>
      <c r="G196" s="73">
        <f t="shared" si="5"/>
        <v>0.2</v>
      </c>
      <c r="K196" s="115"/>
      <c r="L196" s="115"/>
      <c r="M196" s="115"/>
      <c r="N196" s="115"/>
      <c r="O196" s="115"/>
      <c r="P196" s="117"/>
      <c r="Q196" s="117"/>
      <c r="R196" s="117"/>
      <c r="S196" s="117"/>
      <c r="T196" s="117"/>
      <c r="U196" s="118"/>
      <c r="V196" s="118"/>
    </row>
    <row r="197" spans="1:24" ht="14.4" x14ac:dyDescent="0.3">
      <c r="A197" s="25" t="s">
        <v>200</v>
      </c>
      <c r="B197">
        <v>3</v>
      </c>
      <c r="C197">
        <v>5</v>
      </c>
      <c r="D197" s="72">
        <f t="shared" si="3"/>
        <v>0.6</v>
      </c>
      <c r="E197">
        <v>7</v>
      </c>
      <c r="F197" s="12" t="str">
        <f t="shared" si="4"/>
        <v>New Zealand</v>
      </c>
      <c r="G197" s="73">
        <f t="shared" si="5"/>
        <v>0.6</v>
      </c>
      <c r="K197" s="66"/>
      <c r="L197" s="66"/>
      <c r="M197" s="66"/>
      <c r="N197" s="66"/>
      <c r="O197" s="66"/>
      <c r="P197" s="67"/>
      <c r="Q197" s="67"/>
      <c r="R197" s="67"/>
      <c r="S197" s="67"/>
      <c r="T197" s="67"/>
      <c r="U197" s="68"/>
      <c r="V197" s="68"/>
    </row>
    <row r="198" spans="1:24" ht="14.4" x14ac:dyDescent="0.3">
      <c r="A198" s="25" t="s">
        <v>56</v>
      </c>
      <c r="B198">
        <v>1</v>
      </c>
      <c r="C198">
        <v>4</v>
      </c>
      <c r="D198" s="72">
        <f t="shared" si="3"/>
        <v>0.25</v>
      </c>
      <c r="E198">
        <v>8</v>
      </c>
      <c r="F198" s="12" t="str">
        <f t="shared" si="4"/>
        <v>Pakistan</v>
      </c>
      <c r="G198" s="73">
        <f t="shared" si="5"/>
        <v>0.25</v>
      </c>
      <c r="K198" s="116"/>
      <c r="L198" s="116"/>
      <c r="M198" s="116"/>
      <c r="N198" s="116"/>
      <c r="O198" s="116"/>
      <c r="P198" s="125"/>
      <c r="Q198" s="125"/>
      <c r="R198" s="125"/>
      <c r="S198" s="125"/>
      <c r="T198" s="125"/>
      <c r="U198" s="126"/>
      <c r="V198" s="126"/>
    </row>
    <row r="199" spans="1:24" ht="14.4" x14ac:dyDescent="0.3">
      <c r="A199" s="25" t="s">
        <v>75</v>
      </c>
      <c r="B199">
        <v>1</v>
      </c>
      <c r="C199">
        <v>3</v>
      </c>
      <c r="D199" s="72">
        <f t="shared" si="3"/>
        <v>0.33333333333333331</v>
      </c>
      <c r="E199" s="12">
        <v>9</v>
      </c>
      <c r="F199" s="12" t="str">
        <f t="shared" si="4"/>
        <v>South Africa</v>
      </c>
      <c r="G199" s="73">
        <f t="shared" si="5"/>
        <v>0.33333333333333331</v>
      </c>
      <c r="K199" s="64"/>
      <c r="L199" s="64"/>
      <c r="M199" s="64"/>
      <c r="N199" s="64"/>
      <c r="O199" s="64"/>
      <c r="P199" s="64"/>
      <c r="Q199" s="64"/>
      <c r="R199" s="64"/>
      <c r="S199" s="64"/>
      <c r="T199" s="64"/>
      <c r="U199" s="64"/>
      <c r="V199" s="64"/>
    </row>
    <row r="200" spans="1:24" ht="14.4" x14ac:dyDescent="0.3">
      <c r="A200" s="25" t="s">
        <v>76</v>
      </c>
      <c r="B200">
        <v>0</v>
      </c>
      <c r="C200">
        <v>4</v>
      </c>
      <c r="D200" s="72">
        <f t="shared" si="3"/>
        <v>0</v>
      </c>
      <c r="E200" s="12">
        <v>10</v>
      </c>
      <c r="F200" s="12" t="str">
        <f t="shared" si="4"/>
        <v>Sri Lanka</v>
      </c>
      <c r="G200" s="73">
        <f t="shared" si="5"/>
        <v>0</v>
      </c>
      <c r="K200" s="127"/>
      <c r="L200" s="127"/>
      <c r="M200" s="127"/>
      <c r="N200" s="127"/>
      <c r="O200" s="127"/>
      <c r="P200" s="127"/>
      <c r="Q200" s="127"/>
      <c r="R200" s="127"/>
      <c r="S200" s="127"/>
      <c r="T200" s="127"/>
      <c r="U200" s="127"/>
      <c r="V200" s="127"/>
    </row>
    <row r="201" spans="1:24" ht="14.4" x14ac:dyDescent="0.3">
      <c r="A201"/>
      <c r="B201"/>
      <c r="C201"/>
      <c r="K201" s="123"/>
      <c r="L201" s="123"/>
      <c r="M201" s="123"/>
      <c r="N201" s="123"/>
      <c r="O201" s="123"/>
      <c r="P201" s="123"/>
      <c r="Q201" s="123"/>
      <c r="R201" s="123"/>
      <c r="S201" s="123"/>
      <c r="T201" s="123"/>
      <c r="U201" s="123"/>
      <c r="V201" s="123"/>
    </row>
    <row r="202" spans="1:24" x14ac:dyDescent="0.25">
      <c r="K202" s="123"/>
      <c r="L202" s="123"/>
      <c r="M202" s="123"/>
      <c r="N202" s="123"/>
      <c r="O202" s="123"/>
      <c r="P202" s="123"/>
      <c r="Q202" s="123"/>
      <c r="R202" s="123"/>
      <c r="S202" s="123"/>
      <c r="T202" s="123"/>
      <c r="U202" s="123"/>
      <c r="V202" s="123"/>
    </row>
    <row r="203" spans="1:24" x14ac:dyDescent="0.25">
      <c r="K203" s="123"/>
      <c r="L203" s="123"/>
      <c r="M203" s="123"/>
      <c r="N203" s="123"/>
      <c r="O203" s="123"/>
      <c r="P203" s="123"/>
      <c r="Q203" s="123"/>
      <c r="R203" s="123"/>
      <c r="S203" s="123"/>
      <c r="T203" s="123"/>
      <c r="U203" s="123"/>
      <c r="V203" s="123"/>
    </row>
    <row r="204" spans="1:24" ht="14.4" customHeight="1" x14ac:dyDescent="0.3">
      <c r="K204" s="124"/>
      <c r="L204" s="124"/>
      <c r="M204" s="124"/>
      <c r="N204" s="124"/>
      <c r="O204" s="124"/>
      <c r="P204" s="124"/>
      <c r="Q204" s="124"/>
      <c r="R204" s="124"/>
      <c r="S204" s="124"/>
      <c r="T204" s="124"/>
      <c r="U204" s="124"/>
      <c r="V204" s="124"/>
      <c r="W204"/>
      <c r="X204"/>
    </row>
    <row r="205" spans="1:24" ht="14.4" customHeight="1" x14ac:dyDescent="0.3">
      <c r="A205" s="120" t="s">
        <v>267</v>
      </c>
      <c r="B205" s="120"/>
      <c r="C205"/>
      <c r="K205" s="124"/>
      <c r="L205" s="124"/>
      <c r="M205" s="124"/>
      <c r="N205" s="124"/>
      <c r="O205" s="124"/>
      <c r="P205" s="124"/>
      <c r="Q205" s="124"/>
      <c r="R205" s="124"/>
      <c r="S205" s="124"/>
      <c r="T205" s="124"/>
      <c r="U205" s="124"/>
      <c r="V205" s="124"/>
      <c r="W205"/>
      <c r="X205"/>
    </row>
    <row r="206" spans="1:24" ht="14.4" customHeight="1" x14ac:dyDescent="0.3">
      <c r="A206" s="119" t="s">
        <v>269</v>
      </c>
      <c r="B206" s="119"/>
      <c r="C206" s="119"/>
      <c r="K206" s="64"/>
      <c r="L206" s="64"/>
      <c r="M206" s="64"/>
      <c r="N206" s="64"/>
      <c r="O206" s="64"/>
      <c r="P206" s="64"/>
      <c r="Q206" s="64"/>
      <c r="R206" s="64"/>
      <c r="S206" s="64"/>
      <c r="T206" s="64"/>
      <c r="U206" s="64"/>
      <c r="V206" s="64"/>
      <c r="W206"/>
      <c r="X206"/>
    </row>
    <row r="207" spans="1:24" s="28" customFormat="1" ht="14.4" customHeight="1" x14ac:dyDescent="0.3">
      <c r="A207" s="33" t="s">
        <v>292</v>
      </c>
      <c r="B207" s="33" t="s">
        <v>291</v>
      </c>
      <c r="C207" s="33"/>
      <c r="D207" s="33"/>
      <c r="K207" s="64"/>
      <c r="L207" s="64"/>
      <c r="M207" s="64"/>
      <c r="N207" s="64"/>
      <c r="O207" s="64"/>
      <c r="P207" s="64"/>
      <c r="Q207" s="64"/>
      <c r="R207" s="64"/>
      <c r="S207" s="64"/>
      <c r="T207" s="64"/>
      <c r="U207" s="64"/>
      <c r="V207" s="64"/>
      <c r="W207"/>
      <c r="X207"/>
    </row>
    <row r="208" spans="1:24" ht="14.4" x14ac:dyDescent="0.3">
      <c r="A208" s="33" t="s">
        <v>198</v>
      </c>
      <c r="B208" s="33" t="s">
        <v>202</v>
      </c>
      <c r="C208" s="33" t="s">
        <v>204</v>
      </c>
      <c r="D208" s="33" t="s">
        <v>201</v>
      </c>
      <c r="K208"/>
      <c r="L208"/>
      <c r="M208"/>
      <c r="N208"/>
      <c r="O208"/>
      <c r="P208"/>
      <c r="Q208"/>
      <c r="R208"/>
      <c r="S208"/>
      <c r="T208"/>
      <c r="U208"/>
      <c r="V208"/>
      <c r="W208"/>
      <c r="X208"/>
    </row>
    <row r="209" spans="1:24" ht="14.4" x14ac:dyDescent="0.3">
      <c r="A209" s="25" t="s">
        <v>66</v>
      </c>
      <c r="B209">
        <v>1</v>
      </c>
      <c r="C209"/>
      <c r="D209">
        <v>3</v>
      </c>
      <c r="O209"/>
      <c r="P209"/>
      <c r="Q209"/>
      <c r="R209"/>
      <c r="S209"/>
      <c r="T209"/>
      <c r="U209"/>
      <c r="V209"/>
      <c r="W209"/>
      <c r="X209"/>
    </row>
    <row r="210" spans="1:24" ht="14.4" x14ac:dyDescent="0.3">
      <c r="A210" s="25" t="s">
        <v>84</v>
      </c>
      <c r="B210">
        <v>4</v>
      </c>
      <c r="C210"/>
      <c r="D210">
        <v>5</v>
      </c>
      <c r="O210"/>
      <c r="P210"/>
      <c r="Q210"/>
      <c r="R210"/>
      <c r="S210"/>
      <c r="T210"/>
      <c r="U210"/>
      <c r="V210"/>
      <c r="W210"/>
      <c r="X210"/>
    </row>
    <row r="211" spans="1:24" ht="14.4" x14ac:dyDescent="0.3">
      <c r="A211" s="25" t="s">
        <v>67</v>
      </c>
      <c r="B211">
        <v>0</v>
      </c>
      <c r="C211"/>
      <c r="D211">
        <v>2</v>
      </c>
      <c r="O211"/>
      <c r="P211"/>
      <c r="Q211"/>
      <c r="R211"/>
      <c r="S211"/>
      <c r="T211"/>
      <c r="U211"/>
      <c r="V211"/>
      <c r="W211"/>
      <c r="X211"/>
    </row>
    <row r="212" spans="1:24" ht="14.4" x14ac:dyDescent="0.3">
      <c r="A212" s="25" t="s">
        <v>45</v>
      </c>
      <c r="B212">
        <v>3</v>
      </c>
      <c r="C212"/>
      <c r="D212">
        <v>0</v>
      </c>
      <c r="O212"/>
      <c r="P212"/>
      <c r="Q212"/>
      <c r="R212"/>
      <c r="S212"/>
      <c r="T212"/>
      <c r="U212"/>
      <c r="V212"/>
      <c r="W212"/>
      <c r="X212"/>
    </row>
    <row r="213" spans="1:24" ht="14.4" x14ac:dyDescent="0.3">
      <c r="A213" s="25" t="s">
        <v>85</v>
      </c>
      <c r="B213">
        <v>5</v>
      </c>
      <c r="C213"/>
      <c r="D213">
        <v>5</v>
      </c>
      <c r="O213"/>
      <c r="P213"/>
      <c r="Q213"/>
      <c r="R213"/>
      <c r="S213"/>
      <c r="T213"/>
      <c r="U213"/>
      <c r="V213"/>
      <c r="W213"/>
      <c r="X213"/>
    </row>
    <row r="214" spans="1:24" ht="14.4" x14ac:dyDescent="0.3">
      <c r="A214" s="25" t="s">
        <v>57</v>
      </c>
      <c r="B214">
        <v>2</v>
      </c>
      <c r="C214"/>
      <c r="D214">
        <v>0</v>
      </c>
      <c r="O214"/>
      <c r="P214"/>
      <c r="Q214"/>
      <c r="R214"/>
      <c r="S214"/>
      <c r="T214"/>
      <c r="U214"/>
      <c r="V214"/>
      <c r="W214"/>
      <c r="X214"/>
    </row>
    <row r="215" spans="1:24" ht="14.4" x14ac:dyDescent="0.3">
      <c r="A215" s="25" t="s">
        <v>200</v>
      </c>
      <c r="B215">
        <v>2</v>
      </c>
      <c r="C215">
        <v>0</v>
      </c>
      <c r="D215">
        <v>3</v>
      </c>
      <c r="O215"/>
      <c r="P215"/>
      <c r="Q215"/>
      <c r="R215"/>
      <c r="S215"/>
      <c r="T215"/>
      <c r="U215"/>
      <c r="V215"/>
      <c r="W215"/>
      <c r="X215"/>
    </row>
    <row r="216" spans="1:24" ht="14.4" x14ac:dyDescent="0.3">
      <c r="A216" s="25" t="s">
        <v>56</v>
      </c>
      <c r="B216">
        <v>1</v>
      </c>
      <c r="C216">
        <v>1</v>
      </c>
      <c r="D216">
        <v>2</v>
      </c>
      <c r="K216"/>
      <c r="L216"/>
      <c r="M216"/>
      <c r="N216"/>
      <c r="O216"/>
      <c r="P216"/>
      <c r="Q216"/>
      <c r="R216"/>
      <c r="S216"/>
      <c r="T216"/>
      <c r="U216"/>
      <c r="V216"/>
      <c r="W216"/>
      <c r="X216"/>
    </row>
    <row r="217" spans="1:24" ht="14.4" x14ac:dyDescent="0.3">
      <c r="A217" s="25" t="s">
        <v>75</v>
      </c>
      <c r="B217">
        <v>5</v>
      </c>
      <c r="C217"/>
      <c r="D217">
        <v>2</v>
      </c>
      <c r="K217"/>
      <c r="L217"/>
      <c r="M217"/>
      <c r="N217"/>
      <c r="O217"/>
      <c r="P217"/>
      <c r="Q217"/>
      <c r="R217"/>
      <c r="S217"/>
      <c r="T217"/>
      <c r="U217"/>
      <c r="V217"/>
      <c r="W217"/>
      <c r="X217"/>
    </row>
    <row r="218" spans="1:24" ht="14.4" x14ac:dyDescent="0.3">
      <c r="A218" s="25" t="s">
        <v>76</v>
      </c>
      <c r="B218">
        <v>0</v>
      </c>
      <c r="C218"/>
      <c r="D218">
        <v>2</v>
      </c>
      <c r="K218"/>
      <c r="L218"/>
      <c r="M218"/>
      <c r="N218"/>
      <c r="O218"/>
      <c r="P218"/>
    </row>
    <row r="219" spans="1:24" ht="14.4" x14ac:dyDescent="0.3">
      <c r="A219"/>
      <c r="B219"/>
      <c r="C219"/>
      <c r="K219"/>
      <c r="L219"/>
      <c r="M219"/>
      <c r="N219"/>
      <c r="O219"/>
      <c r="P219"/>
    </row>
    <row r="220" spans="1:24" ht="14.4" x14ac:dyDescent="0.3">
      <c r="A220"/>
      <c r="B220"/>
      <c r="C220"/>
      <c r="K220"/>
      <c r="L220"/>
      <c r="M220"/>
      <c r="N220"/>
      <c r="O220"/>
      <c r="P220"/>
    </row>
    <row r="221" spans="1:24" ht="14.4" x14ac:dyDescent="0.3">
      <c r="A221"/>
      <c r="B221"/>
      <c r="C221"/>
      <c r="K221"/>
      <c r="L221"/>
      <c r="M221"/>
      <c r="N221"/>
      <c r="O221"/>
      <c r="P221"/>
    </row>
    <row r="222" spans="1:24" ht="14.4" x14ac:dyDescent="0.3">
      <c r="A222" s="131" t="s">
        <v>270</v>
      </c>
      <c r="B222" s="131"/>
      <c r="C222" s="131"/>
      <c r="D222" s="131"/>
      <c r="K222"/>
      <c r="L222"/>
      <c r="M222"/>
      <c r="N222"/>
      <c r="O222"/>
      <c r="P222"/>
    </row>
    <row r="223" spans="1:24" ht="14.4" x14ac:dyDescent="0.3">
      <c r="A223" s="34" t="s">
        <v>294</v>
      </c>
      <c r="B223" s="34" t="s">
        <v>277</v>
      </c>
      <c r="C223"/>
      <c r="K223"/>
      <c r="L223" s="63"/>
      <c r="M223" s="63"/>
      <c r="N223"/>
      <c r="O223"/>
      <c r="P223"/>
    </row>
    <row r="224" spans="1:24" ht="14.4" x14ac:dyDescent="0.3">
      <c r="A224" s="25" t="s">
        <v>275</v>
      </c>
      <c r="B224">
        <v>3</v>
      </c>
      <c r="C224"/>
      <c r="K224"/>
      <c r="L224" s="29"/>
      <c r="M224"/>
      <c r="N224"/>
      <c r="O224"/>
      <c r="P224"/>
    </row>
    <row r="225" spans="1:16" ht="14.4" x14ac:dyDescent="0.3">
      <c r="A225" s="25" t="s">
        <v>271</v>
      </c>
      <c r="B225">
        <v>8</v>
      </c>
      <c r="K225"/>
      <c r="L225" s="29"/>
      <c r="M225"/>
      <c r="N225"/>
      <c r="O225"/>
      <c r="P225"/>
    </row>
    <row r="226" spans="1:16" ht="14.4" x14ac:dyDescent="0.3">
      <c r="A226" s="25" t="s">
        <v>272</v>
      </c>
      <c r="B226">
        <v>5</v>
      </c>
      <c r="K226"/>
      <c r="L226" s="29"/>
      <c r="M226"/>
      <c r="N226"/>
      <c r="O226"/>
      <c r="P226"/>
    </row>
    <row r="227" spans="1:16" ht="14.4" x14ac:dyDescent="0.3">
      <c r="A227" s="25" t="s">
        <v>273</v>
      </c>
      <c r="B227">
        <v>3</v>
      </c>
      <c r="K227"/>
      <c r="L227" s="29"/>
      <c r="M227"/>
      <c r="N227"/>
      <c r="O227"/>
      <c r="P227"/>
    </row>
    <row r="228" spans="1:16" ht="14.4" x14ac:dyDescent="0.3">
      <c r="A228" s="25" t="s">
        <v>274</v>
      </c>
      <c r="B228">
        <v>4</v>
      </c>
      <c r="K228"/>
      <c r="L228" s="29"/>
      <c r="M228"/>
      <c r="N228"/>
      <c r="O228"/>
      <c r="P228"/>
    </row>
    <row r="229" spans="1:16" ht="14.4" x14ac:dyDescent="0.3">
      <c r="A229"/>
      <c r="B229"/>
      <c r="K229"/>
      <c r="L229"/>
      <c r="M229"/>
      <c r="N229"/>
      <c r="O229"/>
      <c r="P229"/>
    </row>
    <row r="230" spans="1:16" ht="14.4" x14ac:dyDescent="0.3">
      <c r="A230"/>
      <c r="B230"/>
      <c r="K230"/>
      <c r="L230"/>
      <c r="M230"/>
      <c r="N230"/>
      <c r="O230"/>
      <c r="P230"/>
    </row>
    <row r="231" spans="1:16" ht="14.4" x14ac:dyDescent="0.3">
      <c r="A231"/>
      <c r="B231"/>
      <c r="K231"/>
      <c r="L231"/>
      <c r="M231"/>
      <c r="N231"/>
      <c r="O231"/>
      <c r="P231"/>
    </row>
    <row r="232" spans="1:16" ht="14.4" x14ac:dyDescent="0.3">
      <c r="A232"/>
      <c r="B232"/>
      <c r="K232"/>
      <c r="L232"/>
      <c r="M232"/>
      <c r="N232"/>
      <c r="O232"/>
      <c r="P232"/>
    </row>
    <row r="233" spans="1:16" ht="14.4" x14ac:dyDescent="0.3">
      <c r="A233"/>
      <c r="B233"/>
      <c r="K233"/>
      <c r="L233"/>
      <c r="M233"/>
      <c r="N233"/>
      <c r="O233"/>
      <c r="P233"/>
    </row>
    <row r="234" spans="1:16" ht="14.4" x14ac:dyDescent="0.3">
      <c r="A234"/>
      <c r="B234"/>
      <c r="K234"/>
      <c r="L234"/>
      <c r="M234"/>
      <c r="N234"/>
      <c r="O234"/>
      <c r="P234"/>
    </row>
    <row r="235" spans="1:16" ht="14.4" x14ac:dyDescent="0.3">
      <c r="A235"/>
      <c r="B235"/>
      <c r="K235"/>
      <c r="L235"/>
      <c r="M235"/>
      <c r="N235"/>
      <c r="O235"/>
      <c r="P235"/>
    </row>
    <row r="236" spans="1:16" ht="14.4" x14ac:dyDescent="0.3">
      <c r="A236"/>
      <c r="B236"/>
      <c r="K236"/>
      <c r="L236"/>
      <c r="M236"/>
      <c r="N236"/>
      <c r="O236"/>
      <c r="P236"/>
    </row>
    <row r="237" spans="1:16" ht="14.4" x14ac:dyDescent="0.3">
      <c r="A237" s="129" t="s">
        <v>276</v>
      </c>
      <c r="B237" s="129"/>
      <c r="C237" s="129"/>
      <c r="D237" s="129"/>
      <c r="K237"/>
      <c r="L237" s="63"/>
      <c r="M237" s="63"/>
      <c r="N237"/>
      <c r="O237"/>
      <c r="P237"/>
    </row>
    <row r="238" spans="1:16" ht="14.4" x14ac:dyDescent="0.3">
      <c r="A238" s="34" t="s">
        <v>293</v>
      </c>
      <c r="B238" s="34" t="s">
        <v>277</v>
      </c>
      <c r="C238"/>
      <c r="K238"/>
      <c r="L238" s="35"/>
      <c r="M238"/>
      <c r="N238"/>
      <c r="O238"/>
      <c r="P238"/>
    </row>
    <row r="239" spans="1:16" ht="14.4" x14ac:dyDescent="0.3">
      <c r="A239" s="25" t="s">
        <v>295</v>
      </c>
      <c r="B239">
        <v>4</v>
      </c>
      <c r="C239"/>
      <c r="K239"/>
      <c r="L239" s="35"/>
      <c r="M239"/>
    </row>
    <row r="240" spans="1:16" ht="14.4" x14ac:dyDescent="0.3">
      <c r="A240" s="25" t="s">
        <v>296</v>
      </c>
      <c r="B240">
        <v>9</v>
      </c>
      <c r="C240"/>
      <c r="K240"/>
      <c r="L240" s="35"/>
      <c r="M240"/>
    </row>
    <row r="241" spans="1:12" ht="14.4" x14ac:dyDescent="0.3">
      <c r="A241" s="25" t="s">
        <v>297</v>
      </c>
      <c r="B241">
        <v>11</v>
      </c>
      <c r="C241"/>
      <c r="K241"/>
      <c r="L241"/>
    </row>
    <row r="242" spans="1:12" ht="14.4" x14ac:dyDescent="0.3">
      <c r="A242"/>
      <c r="B242"/>
      <c r="C242"/>
      <c r="K242"/>
      <c r="L242"/>
    </row>
    <row r="243" spans="1:12" ht="14.4" x14ac:dyDescent="0.3">
      <c r="A243"/>
      <c r="B243"/>
      <c r="C243"/>
      <c r="K243"/>
      <c r="L243"/>
    </row>
    <row r="244" spans="1:12" ht="14.4" x14ac:dyDescent="0.3">
      <c r="A244"/>
      <c r="B244"/>
      <c r="C244"/>
      <c r="K244"/>
      <c r="L244"/>
    </row>
    <row r="245" spans="1:12" ht="14.4" x14ac:dyDescent="0.3">
      <c r="A245"/>
      <c r="B245"/>
      <c r="C245"/>
      <c r="K245"/>
      <c r="L245"/>
    </row>
    <row r="246" spans="1:12" ht="14.4" x14ac:dyDescent="0.3">
      <c r="A246"/>
      <c r="B246"/>
      <c r="C246"/>
      <c r="K246"/>
      <c r="L246"/>
    </row>
    <row r="247" spans="1:12" ht="14.4" x14ac:dyDescent="0.3">
      <c r="A247"/>
      <c r="B247"/>
      <c r="C247"/>
    </row>
    <row r="248" spans="1:12" ht="14.4" x14ac:dyDescent="0.3">
      <c r="A248"/>
      <c r="B248"/>
      <c r="C248"/>
    </row>
    <row r="249" spans="1:12" ht="14.4" x14ac:dyDescent="0.3">
      <c r="A249"/>
      <c r="B249"/>
      <c r="C249"/>
    </row>
    <row r="250" spans="1:12" ht="14.4" x14ac:dyDescent="0.3">
      <c r="A250"/>
      <c r="B250"/>
      <c r="C250"/>
    </row>
    <row r="251" spans="1:12" ht="14.4" x14ac:dyDescent="0.3">
      <c r="A251"/>
      <c r="B251"/>
      <c r="C251"/>
    </row>
    <row r="252" spans="1:12" ht="14.4" x14ac:dyDescent="0.3">
      <c r="A252"/>
      <c r="B252"/>
      <c r="C252"/>
    </row>
    <row r="253" spans="1:12" ht="14.4" x14ac:dyDescent="0.3">
      <c r="A253"/>
      <c r="B253"/>
      <c r="C253"/>
    </row>
    <row r="254" spans="1:12" ht="14.4" x14ac:dyDescent="0.3">
      <c r="A254"/>
      <c r="B254"/>
      <c r="C254"/>
    </row>
    <row r="255" spans="1:12" ht="14.4" x14ac:dyDescent="0.3">
      <c r="A255"/>
      <c r="B255"/>
      <c r="C255"/>
    </row>
    <row r="256" spans="1:12" ht="14.4" x14ac:dyDescent="0.3">
      <c r="A256"/>
      <c r="B256"/>
    </row>
    <row r="257" spans="1:2" ht="14.4" x14ac:dyDescent="0.3">
      <c r="A257"/>
      <c r="B257"/>
    </row>
    <row r="258" spans="1:2" ht="14.4" x14ac:dyDescent="0.3">
      <c r="A258"/>
      <c r="B258"/>
    </row>
    <row r="259" spans="1:2" ht="14.4" x14ac:dyDescent="0.3">
      <c r="A259"/>
      <c r="B259"/>
    </row>
    <row r="260" spans="1:2" ht="14.4" x14ac:dyDescent="0.3">
      <c r="A260"/>
      <c r="B260"/>
    </row>
    <row r="261" spans="1:2" ht="14.4" x14ac:dyDescent="0.3">
      <c r="A261"/>
      <c r="B261"/>
    </row>
    <row r="262" spans="1:2" ht="14.4" x14ac:dyDescent="0.3">
      <c r="A262"/>
      <c r="B262"/>
    </row>
    <row r="263" spans="1:2" ht="14.4" x14ac:dyDescent="0.3">
      <c r="A263"/>
      <c r="B263"/>
    </row>
    <row r="264" spans="1:2" ht="14.4" x14ac:dyDescent="0.3">
      <c r="A264"/>
      <c r="B264"/>
    </row>
    <row r="265" spans="1:2" ht="14.4" x14ac:dyDescent="0.3">
      <c r="A265"/>
      <c r="B265"/>
    </row>
    <row r="266" spans="1:2" ht="14.4" x14ac:dyDescent="0.3">
      <c r="A266"/>
      <c r="B266"/>
    </row>
    <row r="267" spans="1:2" ht="14.4" x14ac:dyDescent="0.3">
      <c r="A267"/>
      <c r="B267"/>
    </row>
    <row r="268" spans="1:2" ht="14.4" x14ac:dyDescent="0.3">
      <c r="A268"/>
      <c r="B268"/>
    </row>
    <row r="269" spans="1:2" ht="14.4" x14ac:dyDescent="0.3">
      <c r="A269"/>
      <c r="B269"/>
    </row>
    <row r="270" spans="1:2" ht="14.4" x14ac:dyDescent="0.3">
      <c r="A270"/>
      <c r="B270"/>
    </row>
    <row r="271" spans="1:2" ht="14.4" x14ac:dyDescent="0.3">
      <c r="A271"/>
      <c r="B271"/>
    </row>
    <row r="272" spans="1:2" ht="14.4" x14ac:dyDescent="0.3">
      <c r="A272"/>
      <c r="B272"/>
    </row>
    <row r="273" spans="1:2" ht="14.4" x14ac:dyDescent="0.3">
      <c r="A273"/>
      <c r="B273"/>
    </row>
    <row r="274" spans="1:2" ht="14.4" x14ac:dyDescent="0.3">
      <c r="A274"/>
      <c r="B274"/>
    </row>
    <row r="275" spans="1:2" ht="14.4" x14ac:dyDescent="0.3">
      <c r="A275"/>
      <c r="B275"/>
    </row>
    <row r="276" spans="1:2" ht="14.4" x14ac:dyDescent="0.3">
      <c r="A276"/>
      <c r="B276"/>
    </row>
    <row r="277" spans="1:2" ht="14.4" x14ac:dyDescent="0.3">
      <c r="A277"/>
      <c r="B277"/>
    </row>
    <row r="278" spans="1:2" ht="14.4" x14ac:dyDescent="0.3">
      <c r="A278"/>
      <c r="B278"/>
    </row>
    <row r="279" spans="1:2" ht="14.4" x14ac:dyDescent="0.3">
      <c r="A279"/>
      <c r="B279"/>
    </row>
    <row r="280" spans="1:2" ht="14.4" x14ac:dyDescent="0.3">
      <c r="A280"/>
      <c r="B280"/>
    </row>
    <row r="281" spans="1:2" ht="14.4" x14ac:dyDescent="0.3">
      <c r="A281"/>
      <c r="B281"/>
    </row>
    <row r="282" spans="1:2" ht="14.4" x14ac:dyDescent="0.3">
      <c r="A282"/>
      <c r="B282"/>
    </row>
    <row r="283" spans="1:2" ht="14.4" x14ac:dyDescent="0.3">
      <c r="A283"/>
      <c r="B283"/>
    </row>
    <row r="284" spans="1:2" ht="14.4" x14ac:dyDescent="0.3">
      <c r="A284"/>
      <c r="B284"/>
    </row>
    <row r="285" spans="1:2" ht="14.4" x14ac:dyDescent="0.3">
      <c r="A285"/>
      <c r="B285"/>
    </row>
    <row r="286" spans="1:2" ht="14.4" x14ac:dyDescent="0.3">
      <c r="A286"/>
      <c r="B286"/>
    </row>
    <row r="287" spans="1:2" ht="14.4" x14ac:dyDescent="0.3">
      <c r="A287"/>
      <c r="B287"/>
    </row>
    <row r="288" spans="1:2" ht="14.4" x14ac:dyDescent="0.3">
      <c r="A288"/>
      <c r="B288"/>
    </row>
    <row r="289" spans="1:2" ht="14.4" x14ac:dyDescent="0.3">
      <c r="A289"/>
      <c r="B289"/>
    </row>
  </sheetData>
  <mergeCells count="41">
    <mergeCell ref="A237:D237"/>
    <mergeCell ref="A4:C4"/>
    <mergeCell ref="A20:B20"/>
    <mergeCell ref="A52:C52"/>
    <mergeCell ref="A5:B5"/>
    <mergeCell ref="A66:B66"/>
    <mergeCell ref="A81:B81"/>
    <mergeCell ref="A98:B98"/>
    <mergeCell ref="A113:B113"/>
    <mergeCell ref="A114:B114"/>
    <mergeCell ref="A129:C129"/>
    <mergeCell ref="A147:C147"/>
    <mergeCell ref="A162:B162"/>
    <mergeCell ref="A163:B163"/>
    <mergeCell ref="A36:D36"/>
    <mergeCell ref="A222:D222"/>
    <mergeCell ref="A176:C176"/>
    <mergeCell ref="A205:B205"/>
    <mergeCell ref="A206:C206"/>
    <mergeCell ref="P4:Q4"/>
    <mergeCell ref="M170:O170"/>
    <mergeCell ref="K204:V205"/>
    <mergeCell ref="P198:Q198"/>
    <mergeCell ref="R198:T198"/>
    <mergeCell ref="U198:V198"/>
    <mergeCell ref="K200:V200"/>
    <mergeCell ref="K201:V203"/>
    <mergeCell ref="K193:V193"/>
    <mergeCell ref="K194:O194"/>
    <mergeCell ref="P194:Q194"/>
    <mergeCell ref="R194:T194"/>
    <mergeCell ref="U194:V194"/>
    <mergeCell ref="K195:O195"/>
    <mergeCell ref="K198:O198"/>
    <mergeCell ref="P195:Q195"/>
    <mergeCell ref="R195:T195"/>
    <mergeCell ref="U195:V195"/>
    <mergeCell ref="K196:O196"/>
    <mergeCell ref="P196:Q196"/>
    <mergeCell ref="R196:T196"/>
    <mergeCell ref="U196:V196"/>
  </mergeCells>
  <conditionalFormatting sqref="G7:G16">
    <cfRule type="dataBar" priority="14">
      <dataBar>
        <cfvo type="min"/>
        <cfvo type="max"/>
        <color theme="3" tint="0.749992370372631"/>
      </dataBar>
      <extLst>
        <ext xmlns:x14="http://schemas.microsoft.com/office/spreadsheetml/2009/9/main" uri="{B025F937-C7B1-47D3-B67F-A62EFF666E3E}">
          <x14:id>{7F62F573-A50C-4E72-A058-DF6D1FDC40AA}</x14:id>
        </ext>
      </extLst>
    </cfRule>
  </conditionalFormatting>
  <conditionalFormatting sqref="G22:G31">
    <cfRule type="dataBar" priority="10">
      <dataBar>
        <cfvo type="min"/>
        <cfvo type="max"/>
        <color theme="3" tint="0.749992370372631"/>
      </dataBar>
      <extLst>
        <ext xmlns:x14="http://schemas.microsoft.com/office/spreadsheetml/2009/9/main" uri="{B025F937-C7B1-47D3-B67F-A62EFF666E3E}">
          <x14:id>{5E17BEBF-9471-4C70-80C7-7D6A1E70E839}</x14:id>
        </ext>
      </extLst>
    </cfRule>
  </conditionalFormatting>
  <conditionalFormatting sqref="G54:G63">
    <cfRule type="dataBar" priority="8">
      <dataBar>
        <cfvo type="min"/>
        <cfvo type="max"/>
        <color theme="3" tint="0.749992370372631"/>
      </dataBar>
      <extLst>
        <ext xmlns:x14="http://schemas.microsoft.com/office/spreadsheetml/2009/9/main" uri="{B025F937-C7B1-47D3-B67F-A62EFF666E3E}">
          <x14:id>{90B3BE67-3E4B-4126-9BBE-2DAFD4457742}</x14:id>
        </ext>
      </extLst>
    </cfRule>
  </conditionalFormatting>
  <conditionalFormatting sqref="G68:G77">
    <cfRule type="dataBar" priority="11">
      <dataBar>
        <cfvo type="min"/>
        <cfvo type="max"/>
        <color theme="3" tint="0.749992370372631"/>
      </dataBar>
      <extLst>
        <ext xmlns:x14="http://schemas.microsoft.com/office/spreadsheetml/2009/9/main" uri="{B025F937-C7B1-47D3-B67F-A62EFF666E3E}">
          <x14:id>{6A0C1BE1-4683-4384-93DC-06C4EFD5296E}</x14:id>
        </ext>
      </extLst>
    </cfRule>
  </conditionalFormatting>
  <conditionalFormatting sqref="G100:G109">
    <cfRule type="dataBar" priority="7">
      <dataBar>
        <cfvo type="min"/>
        <cfvo type="max"/>
        <color theme="3" tint="0.749992370372631"/>
      </dataBar>
      <extLst>
        <ext xmlns:x14="http://schemas.microsoft.com/office/spreadsheetml/2009/9/main" uri="{B025F937-C7B1-47D3-B67F-A62EFF666E3E}">
          <x14:id>{D39E5CDD-0406-4354-B2B1-4C97E44563DB}</x14:id>
        </ext>
      </extLst>
    </cfRule>
  </conditionalFormatting>
  <conditionalFormatting sqref="G116:G125">
    <cfRule type="dataBar" priority="6">
      <dataBar>
        <cfvo type="min"/>
        <cfvo type="max"/>
        <color theme="3" tint="0.749992370372631"/>
      </dataBar>
      <extLst>
        <ext xmlns:x14="http://schemas.microsoft.com/office/spreadsheetml/2009/9/main" uri="{B025F937-C7B1-47D3-B67F-A62EFF666E3E}">
          <x14:id>{492FE716-8EDC-4E10-9B8A-E0C34452D067}</x14:id>
        </ext>
      </extLst>
    </cfRule>
  </conditionalFormatting>
  <conditionalFormatting sqref="G131:G140">
    <cfRule type="dataBar" priority="5">
      <dataBar>
        <cfvo type="min"/>
        <cfvo type="max"/>
        <color theme="3" tint="0.749992370372631"/>
      </dataBar>
      <extLst>
        <ext xmlns:x14="http://schemas.microsoft.com/office/spreadsheetml/2009/9/main" uri="{B025F937-C7B1-47D3-B67F-A62EFF666E3E}">
          <x14:id>{A8955405-D8C3-4BAA-B659-975D377A9BEA}</x14:id>
        </ext>
      </extLst>
    </cfRule>
  </conditionalFormatting>
  <conditionalFormatting sqref="G148:G157">
    <cfRule type="dataBar" priority="4">
      <dataBar>
        <cfvo type="min"/>
        <cfvo type="max"/>
        <color theme="3" tint="0.749992370372631"/>
      </dataBar>
      <extLst>
        <ext xmlns:x14="http://schemas.microsoft.com/office/spreadsheetml/2009/9/main" uri="{B025F937-C7B1-47D3-B67F-A62EFF666E3E}">
          <x14:id>{3914AD04-04E4-4F71-82B1-060FF53F50AF}</x14:id>
        </ext>
      </extLst>
    </cfRule>
  </conditionalFormatting>
  <conditionalFormatting sqref="L38:L47">
    <cfRule type="dataBar" priority="9">
      <dataBar>
        <cfvo type="min"/>
        <cfvo type="max"/>
        <color theme="3" tint="0.749992370372631"/>
      </dataBar>
      <extLst>
        <ext xmlns:x14="http://schemas.microsoft.com/office/spreadsheetml/2009/9/main" uri="{B025F937-C7B1-47D3-B67F-A62EFF666E3E}">
          <x14:id>{B42E47DD-5242-440D-B36F-D4629162A45F}</x14:id>
        </ext>
      </extLst>
    </cfRule>
  </conditionalFormatting>
  <conditionalFormatting sqref="U195:V197">
    <cfRule type="dataBar" priority="1">
      <dataBar>
        <cfvo type="num" val="0"/>
        <cfvo type="num" val="1"/>
        <color rgb="FF5B9BD5"/>
      </dataBar>
      <extLst>
        <ext xmlns:x14="http://schemas.microsoft.com/office/spreadsheetml/2009/9/main" uri="{B025F937-C7B1-47D3-B67F-A62EFF666E3E}">
          <x14:id>{66FBFF0C-DA41-4788-AC8B-E933ED8DB446}</x14:id>
        </ext>
      </extLst>
    </cfRule>
  </conditionalFormatting>
  <conditionalFormatting sqref="U198:V198">
    <cfRule type="cellIs" dxfId="1" priority="2" operator="greaterThanOrEqual">
      <formula>0.5</formula>
    </cfRule>
    <cfRule type="cellIs" dxfId="0" priority="3" operator="lessThan">
      <formula>0.5</formula>
    </cfRule>
  </conditionalFormatting>
  <pageMargins left="0.7" right="0.7" top="0.75" bottom="0.75" header="0.3" footer="0.3"/>
  <pageSetup orientation="portrait" r:id="rId17"/>
  <drawing r:id="rId18"/>
  <extLst>
    <ext xmlns:x14="http://schemas.microsoft.com/office/spreadsheetml/2009/9/main" uri="{78C0D931-6437-407d-A8EE-F0AAD7539E65}">
      <x14:conditionalFormattings>
        <x14:conditionalFormatting xmlns:xm="http://schemas.microsoft.com/office/excel/2006/main">
          <x14:cfRule type="dataBar" id="{7F62F573-A50C-4E72-A058-DF6D1FDC40AA}">
            <x14:dataBar minLength="0" maxLength="100" gradient="0">
              <x14:cfvo type="autoMin"/>
              <x14:cfvo type="autoMax"/>
              <x14:negativeFillColor rgb="FFFF0000"/>
              <x14:axisColor rgb="FF000000"/>
            </x14:dataBar>
          </x14:cfRule>
          <xm:sqref>G7:G16</xm:sqref>
        </x14:conditionalFormatting>
        <x14:conditionalFormatting xmlns:xm="http://schemas.microsoft.com/office/excel/2006/main">
          <x14:cfRule type="dataBar" id="{5E17BEBF-9471-4C70-80C7-7D6A1E70E839}">
            <x14:dataBar minLength="0" maxLength="100" gradient="0">
              <x14:cfvo type="autoMin"/>
              <x14:cfvo type="autoMax"/>
              <x14:negativeFillColor rgb="FFFF0000"/>
              <x14:axisColor rgb="FF000000"/>
            </x14:dataBar>
          </x14:cfRule>
          <xm:sqref>G22:G31</xm:sqref>
        </x14:conditionalFormatting>
        <x14:conditionalFormatting xmlns:xm="http://schemas.microsoft.com/office/excel/2006/main">
          <x14:cfRule type="dataBar" id="{90B3BE67-3E4B-4126-9BBE-2DAFD4457742}">
            <x14:dataBar minLength="0" maxLength="100" gradient="0">
              <x14:cfvo type="autoMin"/>
              <x14:cfvo type="autoMax"/>
              <x14:negativeFillColor rgb="FFFF0000"/>
              <x14:axisColor rgb="FF000000"/>
            </x14:dataBar>
          </x14:cfRule>
          <xm:sqref>G54:G63</xm:sqref>
        </x14:conditionalFormatting>
        <x14:conditionalFormatting xmlns:xm="http://schemas.microsoft.com/office/excel/2006/main">
          <x14:cfRule type="dataBar" id="{6A0C1BE1-4683-4384-93DC-06C4EFD5296E}">
            <x14:dataBar minLength="0" maxLength="100" gradient="0">
              <x14:cfvo type="autoMin"/>
              <x14:cfvo type="autoMax"/>
              <x14:negativeFillColor rgb="FFFF0000"/>
              <x14:axisColor rgb="FF000000"/>
            </x14:dataBar>
          </x14:cfRule>
          <xm:sqref>G68:G77</xm:sqref>
        </x14:conditionalFormatting>
        <x14:conditionalFormatting xmlns:xm="http://schemas.microsoft.com/office/excel/2006/main">
          <x14:cfRule type="dataBar" id="{D39E5CDD-0406-4354-B2B1-4C97E44563DB}">
            <x14:dataBar minLength="0" maxLength="100" gradient="0">
              <x14:cfvo type="autoMin"/>
              <x14:cfvo type="autoMax"/>
              <x14:negativeFillColor rgb="FFFF0000"/>
              <x14:axisColor rgb="FF000000"/>
            </x14:dataBar>
          </x14:cfRule>
          <xm:sqref>G100:G109</xm:sqref>
        </x14:conditionalFormatting>
        <x14:conditionalFormatting xmlns:xm="http://schemas.microsoft.com/office/excel/2006/main">
          <x14:cfRule type="dataBar" id="{492FE716-8EDC-4E10-9B8A-E0C34452D067}">
            <x14:dataBar minLength="0" maxLength="100" gradient="0">
              <x14:cfvo type="autoMin"/>
              <x14:cfvo type="autoMax"/>
              <x14:negativeFillColor rgb="FFFF0000"/>
              <x14:axisColor rgb="FF000000"/>
            </x14:dataBar>
          </x14:cfRule>
          <xm:sqref>G116:G125</xm:sqref>
        </x14:conditionalFormatting>
        <x14:conditionalFormatting xmlns:xm="http://schemas.microsoft.com/office/excel/2006/main">
          <x14:cfRule type="dataBar" id="{A8955405-D8C3-4BAA-B659-975D377A9BEA}">
            <x14:dataBar minLength="0" maxLength="100" gradient="0">
              <x14:cfvo type="autoMin"/>
              <x14:cfvo type="autoMax"/>
              <x14:negativeFillColor rgb="FFFF0000"/>
              <x14:axisColor rgb="FF000000"/>
            </x14:dataBar>
          </x14:cfRule>
          <xm:sqref>G131:G140</xm:sqref>
        </x14:conditionalFormatting>
        <x14:conditionalFormatting xmlns:xm="http://schemas.microsoft.com/office/excel/2006/main">
          <x14:cfRule type="dataBar" id="{3914AD04-04E4-4F71-82B1-060FF53F50AF}">
            <x14:dataBar minLength="0" maxLength="100" gradient="0">
              <x14:cfvo type="autoMin"/>
              <x14:cfvo type="autoMax"/>
              <x14:negativeFillColor rgb="FFFF0000"/>
              <x14:axisColor rgb="FF000000"/>
            </x14:dataBar>
          </x14:cfRule>
          <xm:sqref>G148:G157</xm:sqref>
        </x14:conditionalFormatting>
        <x14:conditionalFormatting xmlns:xm="http://schemas.microsoft.com/office/excel/2006/main">
          <x14:cfRule type="dataBar" id="{B42E47DD-5242-440D-B36F-D4629162A45F}">
            <x14:dataBar minLength="0" maxLength="100" gradient="0">
              <x14:cfvo type="autoMin"/>
              <x14:cfvo type="autoMax"/>
              <x14:negativeFillColor rgb="FFFF0000"/>
              <x14:axisColor rgb="FF000000"/>
            </x14:dataBar>
          </x14:cfRule>
          <xm:sqref>L38:L47</xm:sqref>
        </x14:conditionalFormatting>
        <x14:conditionalFormatting xmlns:xm="http://schemas.microsoft.com/office/excel/2006/main">
          <x14:cfRule type="dataBar" id="{66FBFF0C-DA41-4788-AC8B-E933ED8DB446}">
            <x14:dataBar axisPosition="none">
              <x14:cfvo type="num">
                <xm:f>0</xm:f>
              </x14:cfvo>
              <x14:cfvo type="num">
                <xm:f>1</xm:f>
              </x14:cfvo>
              <x14:negativeFillColor rgb="FF5B9BD5"/>
            </x14:dataBar>
          </x14:cfRule>
          <xm:sqref>U195:V197</xm:sqref>
        </x14:conditionalFormatting>
      </x14:conditionalFormattings>
    </ext>
    <ext xmlns:x14="http://schemas.microsoft.com/office/spreadsheetml/2009/9/main" uri="{A8765BA9-456A-4dab-B4F3-ACF838C121DE}">
      <x14:slicerList>
        <x14:slicer r:id="rId1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883C5-4CB2-407F-8C1F-725CA0E76643}">
  <sheetPr>
    <tabColor theme="8" tint="-0.249977111117893"/>
  </sheetPr>
  <dimension ref="A4:GZ201"/>
  <sheetViews>
    <sheetView showGridLines="0" tabSelected="1" zoomScale="55" zoomScaleNormal="55" workbookViewId="0">
      <selection activeCell="AQ19" sqref="AQ19"/>
    </sheetView>
  </sheetViews>
  <sheetFormatPr defaultRowHeight="14.4" x14ac:dyDescent="0.3"/>
  <cols>
    <col min="7" max="8" width="9.77734375" customWidth="1"/>
    <col min="9" max="9" width="8.109375" style="12" customWidth="1"/>
    <col min="10" max="10" width="7.6640625" customWidth="1"/>
    <col min="28" max="28" width="9.77734375" customWidth="1"/>
    <col min="29" max="29" width="8.88671875" customWidth="1"/>
    <col min="30" max="30" width="8.77734375" customWidth="1"/>
  </cols>
  <sheetData>
    <row r="4" spans="2:39" ht="14.4" customHeight="1" x14ac:dyDescent="0.3">
      <c r="E4" s="142" t="s">
        <v>317</v>
      </c>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row>
    <row r="5" spans="2:39" ht="14.4" customHeight="1" x14ac:dyDescent="0.3">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row>
    <row r="6" spans="2:39" ht="14.4" customHeight="1" x14ac:dyDescent="0.3">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row>
    <row r="7" spans="2:39" ht="14.4" customHeight="1" x14ac:dyDescent="0.3">
      <c r="E7" s="142"/>
      <c r="F7" s="142"/>
      <c r="G7" s="142"/>
      <c r="H7" s="142"/>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row>
    <row r="8" spans="2:39" ht="14.4" customHeight="1" x14ac:dyDescent="0.3">
      <c r="E8" s="142"/>
      <c r="F8" s="142"/>
      <c r="G8" s="142"/>
      <c r="H8" s="142"/>
      <c r="I8" s="142"/>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42"/>
    </row>
    <row r="9" spans="2:39" ht="20.399999999999999" customHeight="1" x14ac:dyDescent="0.4">
      <c r="E9" s="143" t="s">
        <v>278</v>
      </c>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row>
    <row r="10" spans="2:39" ht="20.399999999999999" customHeight="1" x14ac:dyDescent="0.4">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row>
    <row r="11" spans="2:39" ht="20.399999999999999" customHeight="1" x14ac:dyDescent="0.3">
      <c r="B11" s="78"/>
      <c r="C11" s="78"/>
      <c r="D11" s="78"/>
      <c r="E11" s="144"/>
      <c r="F11" s="144"/>
      <c r="G11" s="144"/>
      <c r="H11" s="144"/>
      <c r="I11" s="144"/>
      <c r="J11" s="144"/>
      <c r="K11" s="144"/>
      <c r="L11" s="144"/>
      <c r="M11" s="144"/>
      <c r="N11" s="144"/>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78"/>
      <c r="AL11" s="78"/>
      <c r="AM11" s="78"/>
    </row>
    <row r="12" spans="2:39" s="70" customFormat="1" ht="20.399999999999999" x14ac:dyDescent="0.3">
      <c r="B12" s="135" t="s">
        <v>279</v>
      </c>
      <c r="C12" s="135"/>
      <c r="D12" s="135"/>
      <c r="E12" s="135"/>
      <c r="F12" s="79"/>
      <c r="G12" s="135" t="s">
        <v>280</v>
      </c>
      <c r="H12" s="135"/>
      <c r="I12" s="135"/>
      <c r="J12" s="135"/>
      <c r="K12" s="79"/>
      <c r="L12" s="135" t="s">
        <v>227</v>
      </c>
      <c r="M12" s="135"/>
      <c r="N12" s="135"/>
      <c r="O12" s="135"/>
      <c r="P12" s="79"/>
      <c r="Q12" s="135" t="s">
        <v>281</v>
      </c>
      <c r="R12" s="135"/>
      <c r="S12" s="135"/>
      <c r="T12" s="135"/>
      <c r="U12" s="79"/>
      <c r="V12" s="135" t="s">
        <v>250</v>
      </c>
      <c r="W12" s="135"/>
      <c r="X12" s="135"/>
      <c r="Y12" s="135"/>
      <c r="Z12" s="79"/>
      <c r="AA12" s="135" t="s">
        <v>284</v>
      </c>
      <c r="AB12" s="135"/>
      <c r="AC12" s="135"/>
      <c r="AD12" s="135"/>
      <c r="AE12" s="79"/>
      <c r="AF12" s="135" t="s">
        <v>282</v>
      </c>
      <c r="AG12" s="135"/>
      <c r="AH12" s="135"/>
      <c r="AI12" s="79"/>
      <c r="AJ12" s="135" t="s">
        <v>283</v>
      </c>
      <c r="AK12" s="135"/>
      <c r="AL12" s="135"/>
      <c r="AM12" s="79"/>
    </row>
    <row r="13" spans="2:39" s="70" customFormat="1" ht="14.4" customHeight="1" thickBot="1" x14ac:dyDescent="0.35">
      <c r="B13" s="136"/>
      <c r="C13" s="136"/>
      <c r="D13" s="136"/>
      <c r="E13" s="136"/>
      <c r="F13" s="79"/>
      <c r="G13" s="136"/>
      <c r="H13" s="136"/>
      <c r="I13" s="136"/>
      <c r="J13" s="136"/>
      <c r="K13" s="79"/>
      <c r="L13" s="136"/>
      <c r="M13" s="136"/>
      <c r="N13" s="136"/>
      <c r="O13" s="136"/>
      <c r="P13" s="79"/>
      <c r="Q13" s="136"/>
      <c r="R13" s="136"/>
      <c r="S13" s="136"/>
      <c r="T13" s="136"/>
      <c r="U13" s="79"/>
      <c r="V13" s="136"/>
      <c r="W13" s="136"/>
      <c r="X13" s="136"/>
      <c r="Y13" s="136"/>
      <c r="Z13" s="79"/>
      <c r="AA13" s="136"/>
      <c r="AB13" s="136"/>
      <c r="AC13" s="136"/>
      <c r="AD13" s="136"/>
      <c r="AE13" s="79"/>
      <c r="AF13" s="136"/>
      <c r="AG13" s="136"/>
      <c r="AH13" s="136"/>
      <c r="AI13" s="79"/>
      <c r="AJ13" s="136"/>
      <c r="AK13" s="136"/>
      <c r="AL13" s="136"/>
      <c r="AM13" s="79"/>
    </row>
    <row r="14" spans="2:39" s="40" customFormat="1" ht="33.6" x14ac:dyDescent="0.3">
      <c r="B14" s="137">
        <f>COUNT(_xlfn.UNIQUE(Calculations!AA2:AA97))</f>
        <v>48</v>
      </c>
      <c r="C14" s="137"/>
      <c r="D14" s="137"/>
      <c r="E14" s="137"/>
      <c r="F14" s="80"/>
      <c r="G14" s="137">
        <f>COUNTA(_xlfn.UNIQUE(Calculations!E2:E49))</f>
        <v>10</v>
      </c>
      <c r="H14" s="137"/>
      <c r="I14" s="137"/>
      <c r="J14" s="137"/>
      <c r="K14" s="80"/>
      <c r="L14" s="138">
        <f>SUM(Calculations!L2:L49)</f>
        <v>24639</v>
      </c>
      <c r="M14" s="138"/>
      <c r="N14" s="138"/>
      <c r="O14" s="138"/>
      <c r="P14" s="80"/>
      <c r="Q14" s="137">
        <f>SUM(Calculations!M2:M49)</f>
        <v>730</v>
      </c>
      <c r="R14" s="137"/>
      <c r="S14" s="137"/>
      <c r="T14" s="137"/>
      <c r="U14" s="80"/>
      <c r="V14" s="137">
        <f>MAX(Calculations!AI2:AI97)</f>
        <v>428</v>
      </c>
      <c r="W14" s="137"/>
      <c r="X14" s="137"/>
      <c r="Y14" s="137"/>
      <c r="Z14" s="80"/>
      <c r="AA14" s="145">
        <f>AVERAGE(Calculations!AI2:AI97)</f>
        <v>256.65625</v>
      </c>
      <c r="AB14" s="145"/>
      <c r="AC14" s="145"/>
      <c r="AD14" s="145"/>
      <c r="AE14" s="80"/>
      <c r="AF14" s="137">
        <f>SUM(Calculations!N2:N49)</f>
        <v>2241</v>
      </c>
      <c r="AG14" s="137"/>
      <c r="AH14" s="137"/>
      <c r="AI14" s="80"/>
      <c r="AJ14" s="137">
        <f>SUM(Calculations!O2:O49)</f>
        <v>644</v>
      </c>
      <c r="AK14" s="137"/>
      <c r="AL14" s="137"/>
      <c r="AM14" s="80"/>
    </row>
    <row r="15" spans="2:39" s="40" customFormat="1" ht="33.6" x14ac:dyDescent="0.3">
      <c r="B15" s="137"/>
      <c r="C15" s="137"/>
      <c r="D15" s="137"/>
      <c r="E15" s="137"/>
      <c r="F15" s="80"/>
      <c r="G15" s="137"/>
      <c r="H15" s="137"/>
      <c r="I15" s="137"/>
      <c r="J15" s="137"/>
      <c r="K15" s="80"/>
      <c r="L15" s="138"/>
      <c r="M15" s="138"/>
      <c r="N15" s="138"/>
      <c r="O15" s="138"/>
      <c r="P15" s="80"/>
      <c r="Q15" s="137"/>
      <c r="R15" s="137"/>
      <c r="S15" s="137"/>
      <c r="T15" s="137"/>
      <c r="U15" s="80"/>
      <c r="V15" s="137"/>
      <c r="W15" s="137"/>
      <c r="X15" s="137"/>
      <c r="Y15" s="137"/>
      <c r="Z15" s="80"/>
      <c r="AA15" s="145"/>
      <c r="AB15" s="145"/>
      <c r="AC15" s="145"/>
      <c r="AD15" s="145"/>
      <c r="AE15" s="80"/>
      <c r="AF15" s="137"/>
      <c r="AG15" s="137"/>
      <c r="AH15" s="137"/>
      <c r="AI15" s="80"/>
      <c r="AJ15" s="137"/>
      <c r="AK15" s="137"/>
      <c r="AL15" s="137"/>
      <c r="AM15" s="80"/>
    </row>
    <row r="16" spans="2:39" s="40" customFormat="1" ht="33.6" x14ac:dyDescent="0.3">
      <c r="B16" s="139" t="s">
        <v>310</v>
      </c>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row>
    <row r="17" spans="1:208" s="40" customFormat="1" ht="33.6" x14ac:dyDescent="0.3">
      <c r="B17" s="140"/>
      <c r="C17" s="140"/>
      <c r="D17" s="140"/>
      <c r="E17" s="140"/>
      <c r="F17" s="140"/>
      <c r="G17" s="140"/>
      <c r="H17" s="140"/>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row>
    <row r="18" spans="1:208" s="80" customFormat="1" ht="33.6" x14ac:dyDescent="0.3">
      <c r="A18"/>
      <c r="B18" s="81"/>
      <c r="C18" s="81"/>
      <c r="D18" s="81"/>
      <c r="E18" s="81"/>
      <c r="I18" s="82"/>
      <c r="J18" s="81"/>
      <c r="L18" s="81"/>
      <c r="M18" s="81"/>
      <c r="N18" s="81"/>
      <c r="O18" s="81"/>
      <c r="Q18" s="81"/>
      <c r="R18" s="81"/>
      <c r="S18" s="81"/>
      <c r="T18" s="81"/>
      <c r="V18" s="81"/>
      <c r="W18" s="81"/>
      <c r="X18" s="81"/>
      <c r="Y18" s="81"/>
      <c r="AA18" s="81"/>
      <c r="AB18" s="81"/>
      <c r="AC18" s="81"/>
      <c r="AD18" s="81"/>
      <c r="AF18" s="81"/>
      <c r="AG18" s="81"/>
      <c r="AH18" s="81"/>
      <c r="AJ18" s="81"/>
      <c r="AK18" s="81"/>
      <c r="AL18" s="81"/>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row>
    <row r="19" spans="1:208" s="80" customFormat="1" ht="33.6" x14ac:dyDescent="0.3">
      <c r="A19"/>
      <c r="B19" s="81"/>
      <c r="C19" s="81"/>
      <c r="D19" s="81"/>
      <c r="E19" s="81"/>
      <c r="I19" s="82"/>
      <c r="J19" s="81"/>
      <c r="L19" s="81"/>
      <c r="M19" s="81"/>
      <c r="N19" s="81"/>
      <c r="O19" s="81"/>
      <c r="Q19" s="81"/>
      <c r="R19" s="81"/>
      <c r="S19" s="81"/>
      <c r="T19" s="81"/>
      <c r="V19" s="81"/>
      <c r="W19" s="81"/>
      <c r="X19" s="81"/>
      <c r="Y19" s="81"/>
      <c r="AA19" s="81"/>
      <c r="AB19" s="81"/>
      <c r="AC19" s="81"/>
      <c r="AD19" s="81"/>
      <c r="AF19" s="81"/>
      <c r="AG19" s="81"/>
      <c r="AH19" s="81"/>
      <c r="AJ19" s="81"/>
      <c r="AK19" s="81"/>
      <c r="AL19" s="81"/>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row>
    <row r="20" spans="1:208" s="80" customFormat="1" ht="33.6" x14ac:dyDescent="0.3">
      <c r="A20"/>
      <c r="B20" s="81"/>
      <c r="C20" s="81"/>
      <c r="D20" s="81"/>
      <c r="E20" s="81"/>
      <c r="I20" s="82"/>
      <c r="J20" s="81"/>
      <c r="L20" s="81"/>
      <c r="M20" s="81"/>
      <c r="N20" s="81"/>
      <c r="O20" s="81"/>
      <c r="Q20" s="81"/>
      <c r="R20" s="81"/>
      <c r="S20" s="81"/>
      <c r="T20" s="81"/>
      <c r="V20" s="81"/>
      <c r="W20" s="81"/>
      <c r="X20" s="81"/>
      <c r="Y20" s="81"/>
      <c r="AA20" s="81"/>
      <c r="AB20" s="81"/>
      <c r="AC20" s="81"/>
      <c r="AD20" s="81"/>
      <c r="AF20" s="81"/>
      <c r="AG20" s="81"/>
      <c r="AH20" s="81"/>
      <c r="AJ20" s="81"/>
      <c r="AK20" s="81"/>
      <c r="AL20" s="81"/>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row>
    <row r="21" spans="1:208" s="80" customFormat="1" ht="33.6" x14ac:dyDescent="0.3">
      <c r="A21"/>
      <c r="B21" s="81"/>
      <c r="C21" s="81"/>
      <c r="D21" s="81"/>
      <c r="E21" s="81"/>
      <c r="I21" s="82"/>
      <c r="J21" s="81"/>
      <c r="L21" s="81"/>
      <c r="M21" s="81"/>
      <c r="N21" s="81"/>
      <c r="O21" s="81"/>
      <c r="Q21" s="81"/>
      <c r="R21" s="81"/>
      <c r="S21" s="81"/>
      <c r="T21" s="81"/>
      <c r="V21" s="81"/>
      <c r="W21" s="81"/>
      <c r="X21" s="81"/>
      <c r="Y21" s="81"/>
      <c r="AA21" s="81"/>
      <c r="AB21" s="81"/>
      <c r="AC21" s="81"/>
      <c r="AD21" s="81"/>
      <c r="AF21" s="81"/>
      <c r="AG21" s="81"/>
      <c r="AH21" s="81"/>
      <c r="AJ21" s="81"/>
      <c r="AK21" s="81"/>
      <c r="AL21" s="8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row>
    <row r="22" spans="1:208" s="83" customFormat="1" ht="17.399999999999999" x14ac:dyDescent="0.3">
      <c r="A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row>
    <row r="23" spans="1:208" s="83" customFormat="1" ht="17.399999999999999" x14ac:dyDescent="0.3">
      <c r="A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row>
    <row r="24" spans="1:208" s="83" customFormat="1" ht="17.399999999999999" x14ac:dyDescent="0.3">
      <c r="A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row>
    <row r="25" spans="1:208" s="78" customFormat="1" x14ac:dyDescent="0.3">
      <c r="A25"/>
      <c r="I25" s="84"/>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row>
    <row r="26" spans="1:208" s="85" customFormat="1" x14ac:dyDescent="0.3">
      <c r="A26"/>
      <c r="I26" s="8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row>
    <row r="27" spans="1:208" s="85" customFormat="1" ht="21" customHeight="1" x14ac:dyDescent="0.3">
      <c r="A27"/>
      <c r="B27" s="133" t="s">
        <v>298</v>
      </c>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row>
    <row r="28" spans="1:208" s="85" customFormat="1" x14ac:dyDescent="0.3">
      <c r="A28"/>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row>
    <row r="29" spans="1:208" s="85" customFormat="1" x14ac:dyDescent="0.3">
      <c r="A29"/>
      <c r="I29" s="86"/>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row>
    <row r="30" spans="1:208" s="85" customFormat="1" x14ac:dyDescent="0.3">
      <c r="A30"/>
      <c r="I30" s="86"/>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row>
    <row r="31" spans="1:208" s="85" customFormat="1" x14ac:dyDescent="0.3">
      <c r="A31"/>
      <c r="I31" s="86"/>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row>
    <row r="32" spans="1:208" s="85" customFormat="1" x14ac:dyDescent="0.3">
      <c r="A32"/>
      <c r="I32" s="86"/>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row>
    <row r="33" spans="1:146" s="85" customFormat="1" x14ac:dyDescent="0.3">
      <c r="A33"/>
      <c r="I33" s="86"/>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row>
    <row r="34" spans="1:146" s="85" customFormat="1" x14ac:dyDescent="0.3">
      <c r="A34"/>
      <c r="I34" s="86"/>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row>
    <row r="35" spans="1:146" s="85" customFormat="1" x14ac:dyDescent="0.3">
      <c r="A35"/>
      <c r="I35" s="86"/>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row>
    <row r="36" spans="1:146" s="85" customFormat="1" x14ac:dyDescent="0.3">
      <c r="A36"/>
      <c r="I36" s="8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row>
    <row r="37" spans="1:146" s="85" customFormat="1" x14ac:dyDescent="0.3">
      <c r="A37"/>
      <c r="I37" s="86"/>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row>
    <row r="38" spans="1:146" s="85" customFormat="1" x14ac:dyDescent="0.3">
      <c r="A38"/>
      <c r="I38" s="86"/>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row>
    <row r="39" spans="1:146" s="85" customFormat="1" x14ac:dyDescent="0.3">
      <c r="A39"/>
      <c r="I39" s="86"/>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row>
    <row r="40" spans="1:146" s="85" customFormat="1" x14ac:dyDescent="0.3">
      <c r="A40"/>
      <c r="I40" s="86"/>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row>
    <row r="41" spans="1:146" s="85" customFormat="1" x14ac:dyDescent="0.3">
      <c r="A41"/>
      <c r="I41" s="86"/>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row>
    <row r="42" spans="1:146" s="85" customFormat="1" x14ac:dyDescent="0.3">
      <c r="A42"/>
      <c r="I42" s="86"/>
      <c r="Z42" s="85" t="s">
        <v>286</v>
      </c>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row>
    <row r="43" spans="1:146" s="85" customFormat="1" x14ac:dyDescent="0.3">
      <c r="A43"/>
      <c r="I43" s="86"/>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row>
    <row r="44" spans="1:146" s="85" customFormat="1" x14ac:dyDescent="0.3">
      <c r="A44"/>
      <c r="I44" s="86"/>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row>
    <row r="45" spans="1:146" s="85" customFormat="1" x14ac:dyDescent="0.3">
      <c r="A45"/>
      <c r="I45" s="86"/>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row>
    <row r="46" spans="1:146" s="85" customFormat="1" x14ac:dyDescent="0.3">
      <c r="A46"/>
      <c r="I46" s="8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row>
    <row r="47" spans="1:146" s="85" customFormat="1" x14ac:dyDescent="0.3">
      <c r="A47"/>
      <c r="I47" s="86"/>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row>
    <row r="48" spans="1:146" s="85" customFormat="1" ht="36.6" x14ac:dyDescent="0.7">
      <c r="A48"/>
      <c r="I48" s="86"/>
      <c r="X48" s="87"/>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row>
    <row r="49" spans="1:146" s="85" customFormat="1" x14ac:dyDescent="0.3">
      <c r="A49"/>
      <c r="I49" s="86"/>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row>
    <row r="50" spans="1:146" s="85" customFormat="1" x14ac:dyDescent="0.3">
      <c r="A50"/>
      <c r="I50" s="86"/>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row>
    <row r="51" spans="1:146" s="85" customFormat="1" x14ac:dyDescent="0.3">
      <c r="A51"/>
      <c r="I51" s="86"/>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row>
    <row r="52" spans="1:146" s="85" customFormat="1" x14ac:dyDescent="0.3">
      <c r="A52"/>
      <c r="I52" s="86"/>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row>
    <row r="53" spans="1:146" s="85" customFormat="1" x14ac:dyDescent="0.3">
      <c r="A53"/>
      <c r="I53" s="86"/>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row>
    <row r="54" spans="1:146" s="85" customFormat="1" ht="21" customHeight="1" x14ac:dyDescent="0.3">
      <c r="A54"/>
      <c r="B54" s="133" t="s">
        <v>301</v>
      </c>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row>
    <row r="55" spans="1:146" s="85" customFormat="1" x14ac:dyDescent="0.3">
      <c r="A55"/>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row>
    <row r="56" spans="1:146" s="85" customFormat="1" x14ac:dyDescent="0.3">
      <c r="A56"/>
      <c r="I56" s="8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row>
    <row r="57" spans="1:146" s="85" customFormat="1" x14ac:dyDescent="0.3">
      <c r="A57"/>
      <c r="I57" s="86"/>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row>
    <row r="58" spans="1:146" s="85" customFormat="1" x14ac:dyDescent="0.3">
      <c r="A58"/>
      <c r="I58" s="86"/>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row>
    <row r="59" spans="1:146" s="85" customFormat="1" x14ac:dyDescent="0.3">
      <c r="A59"/>
      <c r="I59" s="86"/>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row>
    <row r="60" spans="1:146" s="85" customFormat="1" x14ac:dyDescent="0.3">
      <c r="A60"/>
      <c r="I60" s="86"/>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row>
    <row r="61" spans="1:146" s="85" customFormat="1" x14ac:dyDescent="0.3">
      <c r="A61"/>
      <c r="I61" s="86"/>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row>
    <row r="62" spans="1:146" s="85" customFormat="1" x14ac:dyDescent="0.3">
      <c r="A62"/>
      <c r="I62" s="86"/>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row>
    <row r="63" spans="1:146" s="85" customFormat="1" x14ac:dyDescent="0.3">
      <c r="A63"/>
      <c r="I63" s="86"/>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row>
    <row r="64" spans="1:146" s="85" customFormat="1" x14ac:dyDescent="0.3">
      <c r="A64"/>
      <c r="I64" s="86"/>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row>
    <row r="65" spans="1:146" s="85" customFormat="1" x14ac:dyDescent="0.3">
      <c r="A65"/>
      <c r="I65" s="86"/>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row>
    <row r="66" spans="1:146" s="85" customFormat="1" x14ac:dyDescent="0.3">
      <c r="A66"/>
      <c r="I66" s="8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row>
    <row r="67" spans="1:146" s="85" customFormat="1" ht="17.399999999999999" x14ac:dyDescent="0.3">
      <c r="A67"/>
      <c r="I67" s="86"/>
      <c r="L67" s="141"/>
      <c r="M67" s="141"/>
      <c r="N67" s="141"/>
      <c r="O67" s="88"/>
      <c r="P67" s="141"/>
      <c r="Q67" s="141"/>
      <c r="R67" s="141"/>
      <c r="S67" s="88"/>
      <c r="T67" s="141"/>
      <c r="U67" s="141"/>
      <c r="V67" s="141"/>
      <c r="W67" s="88"/>
      <c r="X67" s="141"/>
      <c r="Y67" s="141"/>
      <c r="Z67" s="141"/>
      <c r="AA67" s="88"/>
      <c r="AB67" s="141"/>
      <c r="AC67" s="141"/>
      <c r="AD67" s="141"/>
      <c r="AE67" s="88"/>
      <c r="AF67" s="141"/>
      <c r="AG67" s="141"/>
      <c r="AH67" s="141"/>
      <c r="AI67" s="88"/>
      <c r="AJ67" s="141"/>
      <c r="AK67" s="141"/>
      <c r="AL67" s="141"/>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row>
    <row r="68" spans="1:146" s="85" customFormat="1" x14ac:dyDescent="0.3">
      <c r="A68"/>
      <c r="I68" s="86"/>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row>
    <row r="69" spans="1:146" s="85" customFormat="1" x14ac:dyDescent="0.3">
      <c r="A69"/>
      <c r="I69" s="86"/>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row>
    <row r="70" spans="1:146" s="85" customFormat="1" x14ac:dyDescent="0.3">
      <c r="A70"/>
      <c r="I70" s="86"/>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row>
    <row r="71" spans="1:146" s="85" customFormat="1" x14ac:dyDescent="0.3">
      <c r="A71"/>
      <c r="I71" s="86"/>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row>
    <row r="72" spans="1:146" s="85" customFormat="1" x14ac:dyDescent="0.3">
      <c r="A72"/>
      <c r="I72" s="86"/>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row>
    <row r="73" spans="1:146" s="85" customFormat="1" x14ac:dyDescent="0.3">
      <c r="A73"/>
      <c r="I73" s="86"/>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row>
    <row r="74" spans="1:146" s="85" customFormat="1" x14ac:dyDescent="0.3">
      <c r="A74"/>
      <c r="I74" s="86"/>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row>
    <row r="75" spans="1:146" s="85" customFormat="1" x14ac:dyDescent="0.3">
      <c r="A75"/>
      <c r="I75" s="86"/>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row>
    <row r="76" spans="1:146" s="85" customFormat="1" x14ac:dyDescent="0.3">
      <c r="A76"/>
      <c r="I76" s="8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row>
    <row r="77" spans="1:146" s="85" customFormat="1" x14ac:dyDescent="0.3">
      <c r="A77"/>
      <c r="I77" s="86"/>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row>
    <row r="78" spans="1:146" s="85" customFormat="1" x14ac:dyDescent="0.3">
      <c r="A78"/>
      <c r="I78" s="86"/>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row>
    <row r="79" spans="1:146" s="85" customFormat="1" x14ac:dyDescent="0.3">
      <c r="A79"/>
      <c r="I79" s="86"/>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row>
    <row r="80" spans="1:146" s="85" customFormat="1" x14ac:dyDescent="0.3">
      <c r="A80"/>
      <c r="I80" s="86"/>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row>
    <row r="81" spans="1:146" s="85" customFormat="1" x14ac:dyDescent="0.3">
      <c r="A81"/>
      <c r="I81" s="86"/>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row>
    <row r="82" spans="1:146" s="85" customFormat="1" ht="21" customHeight="1" x14ac:dyDescent="0.3">
      <c r="A82"/>
      <c r="B82" s="133" t="s">
        <v>302</v>
      </c>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row>
    <row r="83" spans="1:146" s="85" customFormat="1" x14ac:dyDescent="0.3">
      <c r="A8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row>
    <row r="84" spans="1:146" s="85" customFormat="1" x14ac:dyDescent="0.3">
      <c r="A84"/>
      <c r="I84" s="86"/>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row>
    <row r="85" spans="1:146" s="85" customFormat="1" x14ac:dyDescent="0.3">
      <c r="A85"/>
      <c r="I85" s="86"/>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row>
    <row r="86" spans="1:146" s="85" customFormat="1" x14ac:dyDescent="0.3">
      <c r="A86"/>
      <c r="I86" s="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row>
    <row r="87" spans="1:146" s="85" customFormat="1" x14ac:dyDescent="0.3">
      <c r="A87"/>
      <c r="I87" s="86"/>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row>
    <row r="88" spans="1:146" s="85" customFormat="1" x14ac:dyDescent="0.3">
      <c r="A88"/>
      <c r="I88" s="86"/>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row>
    <row r="89" spans="1:146" s="85" customFormat="1" x14ac:dyDescent="0.3">
      <c r="A89"/>
      <c r="I89" s="86"/>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row>
    <row r="90" spans="1:146" s="85" customFormat="1" x14ac:dyDescent="0.3">
      <c r="A90"/>
      <c r="I90" s="86"/>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row>
    <row r="91" spans="1:146" s="85" customFormat="1" x14ac:dyDescent="0.3">
      <c r="A91"/>
      <c r="I91" s="86"/>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row>
    <row r="92" spans="1:146" s="85" customFormat="1" x14ac:dyDescent="0.3">
      <c r="A92"/>
      <c r="I92" s="86"/>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row>
    <row r="93" spans="1:146" s="85" customFormat="1" x14ac:dyDescent="0.3">
      <c r="A93"/>
      <c r="I93" s="86"/>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row>
    <row r="94" spans="1:146" s="85" customFormat="1" x14ac:dyDescent="0.3">
      <c r="A94"/>
      <c r="I94" s="86"/>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row>
    <row r="95" spans="1:146" s="85" customFormat="1" x14ac:dyDescent="0.3">
      <c r="A95"/>
      <c r="I95" s="86"/>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row>
    <row r="96" spans="1:146" s="85" customFormat="1" x14ac:dyDescent="0.3">
      <c r="A96"/>
      <c r="I96" s="8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row>
    <row r="97" spans="1:146" s="85" customFormat="1" x14ac:dyDescent="0.3">
      <c r="A97"/>
      <c r="I97" s="86"/>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row>
    <row r="98" spans="1:146" s="85" customFormat="1" x14ac:dyDescent="0.3">
      <c r="A98"/>
      <c r="I98" s="86"/>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row>
    <row r="99" spans="1:146" s="85" customFormat="1" x14ac:dyDescent="0.3">
      <c r="A99"/>
      <c r="I99" s="86"/>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row>
    <row r="100" spans="1:146" s="85" customFormat="1" x14ac:dyDescent="0.3">
      <c r="A100"/>
      <c r="I100" s="86"/>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row>
    <row r="101" spans="1:146" s="85" customFormat="1" x14ac:dyDescent="0.3">
      <c r="A101"/>
      <c r="I101" s="86"/>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row>
    <row r="102" spans="1:146" s="85" customFormat="1" x14ac:dyDescent="0.3">
      <c r="A102"/>
      <c r="I102" s="86"/>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row>
    <row r="103" spans="1:146" s="85" customFormat="1" x14ac:dyDescent="0.3">
      <c r="A103"/>
      <c r="I103" s="86"/>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row>
    <row r="104" spans="1:146" s="85" customFormat="1" x14ac:dyDescent="0.3">
      <c r="A104"/>
      <c r="I104" s="86"/>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row>
    <row r="105" spans="1:146" s="85" customFormat="1" x14ac:dyDescent="0.3">
      <c r="A105"/>
      <c r="I105" s="86"/>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row>
    <row r="106" spans="1:146" s="85" customFormat="1" x14ac:dyDescent="0.3">
      <c r="A106"/>
      <c r="I106" s="8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row>
    <row r="107" spans="1:146" s="85" customFormat="1" x14ac:dyDescent="0.3">
      <c r="A107"/>
      <c r="I107" s="86"/>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row>
    <row r="108" spans="1:146" s="85" customFormat="1" x14ac:dyDescent="0.3">
      <c r="A108"/>
      <c r="I108" s="86"/>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row>
    <row r="109" spans="1:146" s="85" customFormat="1" x14ac:dyDescent="0.3">
      <c r="A109"/>
      <c r="I109" s="86"/>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row>
    <row r="110" spans="1:146" s="85" customFormat="1" ht="21" customHeight="1" x14ac:dyDescent="0.3">
      <c r="A110"/>
      <c r="B110" s="133" t="s">
        <v>303</v>
      </c>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row>
    <row r="111" spans="1:146" s="85" customFormat="1" x14ac:dyDescent="0.3">
      <c r="A111"/>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row>
    <row r="112" spans="1:146" s="85" customFormat="1" x14ac:dyDescent="0.3">
      <c r="A112"/>
      <c r="I112" s="86"/>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row>
    <row r="113" spans="1:146" s="85" customFormat="1" x14ac:dyDescent="0.3">
      <c r="A113"/>
      <c r="I113" s="86"/>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row>
    <row r="114" spans="1:146" s="85" customFormat="1" x14ac:dyDescent="0.3">
      <c r="A114"/>
      <c r="I114" s="86"/>
      <c r="AI114" s="134"/>
      <c r="AJ114" s="134"/>
      <c r="AK114" s="13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row>
    <row r="115" spans="1:146" s="85" customFormat="1" x14ac:dyDescent="0.3">
      <c r="A115"/>
      <c r="I115" s="86"/>
      <c r="AI115" s="134"/>
      <c r="AJ115" s="134"/>
      <c r="AK115" s="134"/>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row>
    <row r="116" spans="1:146" s="85" customFormat="1" x14ac:dyDescent="0.3">
      <c r="A116"/>
      <c r="I116" s="8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row>
    <row r="117" spans="1:146" s="85" customFormat="1" x14ac:dyDescent="0.3">
      <c r="A117"/>
      <c r="I117" s="86"/>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row>
    <row r="118" spans="1:146" s="85" customFormat="1" ht="14.4" customHeight="1" x14ac:dyDescent="0.3">
      <c r="A118"/>
      <c r="I118" s="86"/>
      <c r="AF118" s="134"/>
      <c r="AG118" s="134"/>
      <c r="AH118" s="134"/>
      <c r="AI118" s="134"/>
      <c r="AJ118" s="134"/>
      <c r="AK118" s="134"/>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row>
    <row r="119" spans="1:146" s="85" customFormat="1" ht="14.4" customHeight="1" x14ac:dyDescent="0.3">
      <c r="A119"/>
      <c r="I119" s="86"/>
      <c r="AF119" s="134"/>
      <c r="AG119" s="134"/>
      <c r="AH119" s="134"/>
      <c r="AI119" s="134"/>
      <c r="AJ119" s="134"/>
      <c r="AK119" s="134"/>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row>
    <row r="120" spans="1:146" s="85" customFormat="1" ht="14.4" customHeight="1" x14ac:dyDescent="0.3">
      <c r="A120"/>
      <c r="I120" s="86"/>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row>
    <row r="121" spans="1:146" s="85" customFormat="1" ht="14.4" customHeight="1" x14ac:dyDescent="0.3">
      <c r="A121"/>
      <c r="I121" s="86"/>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row>
    <row r="122" spans="1:146" s="85" customFormat="1" x14ac:dyDescent="0.3">
      <c r="A122"/>
      <c r="I122" s="86"/>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row>
    <row r="123" spans="1:146" s="85" customFormat="1" x14ac:dyDescent="0.3">
      <c r="A123"/>
      <c r="I123" s="86"/>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row>
    <row r="124" spans="1:146" s="85" customFormat="1" x14ac:dyDescent="0.3">
      <c r="A124"/>
      <c r="I124" s="86"/>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row>
    <row r="125" spans="1:146" s="85" customFormat="1" x14ac:dyDescent="0.3">
      <c r="A125"/>
      <c r="I125" s="86"/>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row>
    <row r="126" spans="1:146" s="85" customFormat="1" x14ac:dyDescent="0.3">
      <c r="A126"/>
      <c r="I126" s="8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row>
    <row r="127" spans="1:146" s="85" customFormat="1" x14ac:dyDescent="0.3">
      <c r="A127"/>
      <c r="I127" s="86"/>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row>
    <row r="128" spans="1:146" s="85" customFormat="1" x14ac:dyDescent="0.3">
      <c r="A128"/>
      <c r="I128" s="86"/>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row>
    <row r="129" spans="1:146" s="85" customFormat="1" x14ac:dyDescent="0.3">
      <c r="A129"/>
      <c r="I129" s="86"/>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row>
    <row r="130" spans="1:146" s="85" customFormat="1" x14ac:dyDescent="0.3">
      <c r="A130"/>
      <c r="I130" s="86"/>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row>
    <row r="131" spans="1:146" s="85" customFormat="1" x14ac:dyDescent="0.3">
      <c r="A131"/>
      <c r="I131" s="86"/>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row>
    <row r="132" spans="1:146" s="85" customFormat="1" x14ac:dyDescent="0.3">
      <c r="A132"/>
      <c r="I132" s="86"/>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row>
    <row r="133" spans="1:146" s="85" customFormat="1" x14ac:dyDescent="0.3">
      <c r="A133"/>
      <c r="I133" s="86"/>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row>
    <row r="134" spans="1:146" s="85" customFormat="1" x14ac:dyDescent="0.3">
      <c r="A134"/>
      <c r="I134" s="86"/>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row>
    <row r="135" spans="1:146" s="85" customFormat="1" x14ac:dyDescent="0.3">
      <c r="A135"/>
      <c r="I135" s="86"/>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row>
    <row r="136" spans="1:146" s="85" customFormat="1" x14ac:dyDescent="0.3">
      <c r="A136"/>
      <c r="I136" s="8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row>
    <row r="137" spans="1:146" s="85" customFormat="1" x14ac:dyDescent="0.3">
      <c r="A137"/>
      <c r="I137" s="86"/>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row>
    <row r="138" spans="1:146" s="85" customFormat="1" ht="21" customHeight="1" x14ac:dyDescent="0.3">
      <c r="A138"/>
      <c r="B138" s="133" t="s">
        <v>304</v>
      </c>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row>
    <row r="139" spans="1:146" s="85" customFormat="1" x14ac:dyDescent="0.3">
      <c r="A139"/>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row>
    <row r="140" spans="1:146" s="85" customFormat="1" x14ac:dyDescent="0.3">
      <c r="A140"/>
      <c r="I140" s="86"/>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row>
    <row r="141" spans="1:146" s="85" customFormat="1" x14ac:dyDescent="0.3">
      <c r="A141"/>
      <c r="I141" s="86"/>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row>
    <row r="142" spans="1:146" s="85" customFormat="1" x14ac:dyDescent="0.3">
      <c r="A142"/>
      <c r="I142" s="86"/>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row>
    <row r="143" spans="1:146" s="85" customFormat="1" x14ac:dyDescent="0.3">
      <c r="A143"/>
      <c r="I143" s="86"/>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row>
    <row r="144" spans="1:146" s="85" customFormat="1" x14ac:dyDescent="0.3">
      <c r="A144"/>
      <c r="I144" s="86"/>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row>
    <row r="145" spans="1:146" s="85" customFormat="1" x14ac:dyDescent="0.3">
      <c r="A145"/>
      <c r="I145" s="86"/>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row>
    <row r="146" spans="1:146" s="85" customFormat="1" x14ac:dyDescent="0.3">
      <c r="A146"/>
      <c r="I146" s="8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row>
    <row r="147" spans="1:146" s="85" customFormat="1" x14ac:dyDescent="0.3">
      <c r="A147"/>
      <c r="I147" s="86"/>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row>
    <row r="148" spans="1:146" s="85" customFormat="1" x14ac:dyDescent="0.3">
      <c r="A148"/>
      <c r="I148" s="86"/>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row>
    <row r="149" spans="1:146" s="85" customFormat="1" x14ac:dyDescent="0.3">
      <c r="A149"/>
      <c r="I149" s="86"/>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row>
    <row r="150" spans="1:146" s="85" customFormat="1" x14ac:dyDescent="0.3">
      <c r="A150"/>
      <c r="I150" s="86"/>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row>
    <row r="151" spans="1:146" s="85" customFormat="1" x14ac:dyDescent="0.3">
      <c r="A151"/>
      <c r="I151" s="86"/>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row>
    <row r="152" spans="1:146" s="85" customFormat="1" x14ac:dyDescent="0.3">
      <c r="A152"/>
      <c r="I152" s="86"/>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row>
    <row r="153" spans="1:146" s="85" customFormat="1" x14ac:dyDescent="0.3">
      <c r="A153"/>
      <c r="I153" s="86"/>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row>
    <row r="154" spans="1:146" s="85" customFormat="1" x14ac:dyDescent="0.3">
      <c r="A154"/>
      <c r="I154" s="86"/>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row>
    <row r="155" spans="1:146" s="85" customFormat="1" x14ac:dyDescent="0.3">
      <c r="A155"/>
      <c r="I155" s="86"/>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row>
    <row r="156" spans="1:146" s="85" customFormat="1" x14ac:dyDescent="0.3">
      <c r="A156"/>
      <c r="I156" s="8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row>
    <row r="157" spans="1:146" s="85" customFormat="1" x14ac:dyDescent="0.3">
      <c r="A157"/>
      <c r="I157" s="86"/>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row>
    <row r="158" spans="1:146" s="85" customFormat="1" x14ac:dyDescent="0.3">
      <c r="A158"/>
      <c r="I158" s="86"/>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row>
    <row r="159" spans="1:146" s="85" customFormat="1" x14ac:dyDescent="0.3">
      <c r="A159"/>
      <c r="I159" s="86"/>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row>
    <row r="160" spans="1:146" s="85" customFormat="1" x14ac:dyDescent="0.3">
      <c r="A160"/>
      <c r="I160" s="86"/>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row>
    <row r="161" spans="1:146" s="85" customFormat="1" x14ac:dyDescent="0.3">
      <c r="A161"/>
      <c r="I161" s="86"/>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row>
    <row r="162" spans="1:146" s="85" customFormat="1" x14ac:dyDescent="0.3">
      <c r="A162"/>
      <c r="I162" s="86"/>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row>
    <row r="163" spans="1:146" s="85" customFormat="1" x14ac:dyDescent="0.3">
      <c r="A163"/>
      <c r="I163" s="86"/>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row>
    <row r="164" spans="1:146" s="85" customFormat="1" x14ac:dyDescent="0.3">
      <c r="A164"/>
      <c r="I164" s="86"/>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row>
    <row r="165" spans="1:146" s="85" customFormat="1" x14ac:dyDescent="0.3">
      <c r="A165"/>
      <c r="I165" s="86"/>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row>
    <row r="166" spans="1:146" s="85" customFormat="1" ht="21" customHeight="1" x14ac:dyDescent="0.3">
      <c r="A166"/>
      <c r="B166" s="133" t="s">
        <v>305</v>
      </c>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row>
    <row r="167" spans="1:146" s="85" customFormat="1" x14ac:dyDescent="0.3">
      <c r="A167"/>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row>
    <row r="168" spans="1:146" s="85" customFormat="1" x14ac:dyDescent="0.3">
      <c r="A168"/>
      <c r="I168" s="86"/>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row>
    <row r="169" spans="1:146" s="85" customFormat="1" x14ac:dyDescent="0.3">
      <c r="A169"/>
      <c r="I169" s="86"/>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row>
    <row r="170" spans="1:146" s="85" customFormat="1" x14ac:dyDescent="0.3">
      <c r="A170"/>
      <c r="I170" s="86"/>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row>
    <row r="171" spans="1:146" s="85" customFormat="1" x14ac:dyDescent="0.3">
      <c r="A171"/>
      <c r="I171" s="86"/>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row>
    <row r="172" spans="1:146" s="85" customFormat="1" x14ac:dyDescent="0.3">
      <c r="A172"/>
      <c r="I172" s="86"/>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row>
    <row r="173" spans="1:146" s="85" customFormat="1" x14ac:dyDescent="0.3">
      <c r="A173"/>
      <c r="I173" s="86"/>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row>
    <row r="174" spans="1:146" s="85" customFormat="1" x14ac:dyDescent="0.3">
      <c r="A174"/>
      <c r="I174" s="86"/>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row>
    <row r="175" spans="1:146" s="85" customFormat="1" x14ac:dyDescent="0.3">
      <c r="A175"/>
      <c r="I175" s="86"/>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row>
    <row r="176" spans="1:146" s="85" customFormat="1" x14ac:dyDescent="0.3">
      <c r="A176"/>
      <c r="I176" s="8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row>
    <row r="177" spans="1:146" s="85" customFormat="1" x14ac:dyDescent="0.3">
      <c r="A177"/>
      <c r="I177" s="86"/>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row>
    <row r="178" spans="1:146" s="85" customFormat="1" x14ac:dyDescent="0.3">
      <c r="A178"/>
      <c r="I178" s="86"/>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row>
    <row r="179" spans="1:146" s="85" customFormat="1" x14ac:dyDescent="0.3">
      <c r="A179"/>
      <c r="I179" s="86"/>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row>
    <row r="180" spans="1:146" s="85" customFormat="1" x14ac:dyDescent="0.3">
      <c r="A180"/>
      <c r="I180" s="86"/>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row>
    <row r="181" spans="1:146" s="85" customFormat="1" x14ac:dyDescent="0.3">
      <c r="A181"/>
      <c r="I181" s="86"/>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row>
    <row r="182" spans="1:146" s="85" customFormat="1" x14ac:dyDescent="0.3">
      <c r="A182"/>
      <c r="I182" s="86"/>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row>
    <row r="183" spans="1:146" s="85" customFormat="1" x14ac:dyDescent="0.3">
      <c r="A183"/>
      <c r="I183" s="86"/>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row>
    <row r="184" spans="1:146" s="85" customFormat="1" x14ac:dyDescent="0.3">
      <c r="A184"/>
      <c r="I184" s="86"/>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row>
    <row r="185" spans="1:146" s="85" customFormat="1" x14ac:dyDescent="0.3">
      <c r="A185"/>
      <c r="I185" s="86"/>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row>
    <row r="186" spans="1:146" s="85" customFormat="1" x14ac:dyDescent="0.3">
      <c r="A186"/>
      <c r="I186" s="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row>
    <row r="187" spans="1:146" s="85" customFormat="1" x14ac:dyDescent="0.3">
      <c r="A187"/>
      <c r="I187" s="86"/>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row>
    <row r="188" spans="1:146" s="85" customFormat="1" x14ac:dyDescent="0.3">
      <c r="A188"/>
      <c r="I188" s="86"/>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row>
    <row r="189" spans="1:146" s="85" customFormat="1" x14ac:dyDescent="0.3">
      <c r="A189"/>
      <c r="I189" s="86"/>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row>
    <row r="190" spans="1:146" s="85" customFormat="1" x14ac:dyDescent="0.3">
      <c r="A190"/>
      <c r="I190" s="86"/>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row>
    <row r="191" spans="1:146" s="85" customFormat="1" x14ac:dyDescent="0.3">
      <c r="A191"/>
      <c r="I191" s="86"/>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row>
    <row r="192" spans="1:146" s="85" customFormat="1" x14ac:dyDescent="0.3">
      <c r="A192"/>
      <c r="I192" s="86"/>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row>
    <row r="193" spans="1:146" s="85" customFormat="1" x14ac:dyDescent="0.3">
      <c r="A193"/>
      <c r="I193" s="86"/>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row>
    <row r="194" spans="1:146" s="85" customFormat="1" x14ac:dyDescent="0.3">
      <c r="A194"/>
      <c r="I194" s="86"/>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row>
    <row r="195" spans="1:146" s="85" customFormat="1" x14ac:dyDescent="0.3">
      <c r="A195"/>
      <c r="I195" s="86"/>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row>
    <row r="196" spans="1:146" s="85" customFormat="1" ht="21" x14ac:dyDescent="0.4">
      <c r="A196"/>
      <c r="C196" s="132" t="s">
        <v>315</v>
      </c>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row>
    <row r="197" spans="1:146" s="85" customFormat="1" ht="21" x14ac:dyDescent="0.4">
      <c r="A197"/>
      <c r="C197" s="132" t="s">
        <v>313</v>
      </c>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row>
    <row r="198" spans="1:146" s="85" customFormat="1" ht="21" x14ac:dyDescent="0.4">
      <c r="A198"/>
      <c r="C198" s="132" t="s">
        <v>314</v>
      </c>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row>
    <row r="199" spans="1:146" s="85" customFormat="1" ht="21" x14ac:dyDescent="0.4">
      <c r="A199"/>
      <c r="C199" s="132" t="s">
        <v>316</v>
      </c>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89"/>
      <c r="AG199" s="89"/>
      <c r="AH199" s="89"/>
      <c r="AI199" s="89"/>
      <c r="AJ199" s="89"/>
      <c r="AK199" s="89"/>
      <c r="AL199" s="89"/>
    </row>
    <row r="200" spans="1:146" s="85" customFormat="1" x14ac:dyDescent="0.3">
      <c r="A200"/>
      <c r="I200" s="86"/>
    </row>
    <row r="201" spans="1:146" s="85" customFormat="1" x14ac:dyDescent="0.3">
      <c r="A201"/>
      <c r="I201" s="86"/>
    </row>
  </sheetData>
  <mergeCells count="40">
    <mergeCell ref="B16:AM17"/>
    <mergeCell ref="AF67:AH67"/>
    <mergeCell ref="AJ67:AL67"/>
    <mergeCell ref="E4:AJ8"/>
    <mergeCell ref="E9:AJ9"/>
    <mergeCell ref="E11:AJ11"/>
    <mergeCell ref="L67:N67"/>
    <mergeCell ref="P67:R67"/>
    <mergeCell ref="T67:V67"/>
    <mergeCell ref="X67:Z67"/>
    <mergeCell ref="AB67:AD67"/>
    <mergeCell ref="AA14:AD15"/>
    <mergeCell ref="AF14:AH15"/>
    <mergeCell ref="AJ14:AL15"/>
    <mergeCell ref="B27:AM28"/>
    <mergeCell ref="B54:AM55"/>
    <mergeCell ref="B14:E15"/>
    <mergeCell ref="G14:J15"/>
    <mergeCell ref="L14:O15"/>
    <mergeCell ref="Q14:T15"/>
    <mergeCell ref="V14:Y15"/>
    <mergeCell ref="AA12:AD13"/>
    <mergeCell ref="AF12:AH13"/>
    <mergeCell ref="AJ12:AL13"/>
    <mergeCell ref="B12:E13"/>
    <mergeCell ref="L12:O13"/>
    <mergeCell ref="G12:J13"/>
    <mergeCell ref="Q12:T13"/>
    <mergeCell ref="V12:Y13"/>
    <mergeCell ref="C196:AL196"/>
    <mergeCell ref="C197:AL197"/>
    <mergeCell ref="C198:AL198"/>
    <mergeCell ref="C199:AE199"/>
    <mergeCell ref="B82:AM83"/>
    <mergeCell ref="B110:AM111"/>
    <mergeCell ref="B138:AM139"/>
    <mergeCell ref="B166:AM167"/>
    <mergeCell ref="AF118:AH119"/>
    <mergeCell ref="AI118:AK119"/>
    <mergeCell ref="AI114:AK115"/>
  </mergeCells>
  <conditionalFormatting sqref="AL116:AM119">
    <cfRule type="dataBar" priority="1">
      <dataBar>
        <cfvo type="min"/>
        <cfvo type="max"/>
        <color theme="3" tint="0.499984740745262"/>
      </dataBar>
      <extLst>
        <ext xmlns:x14="http://schemas.microsoft.com/office/spreadsheetml/2009/9/main" uri="{B025F937-C7B1-47D3-B67F-A62EFF666E3E}">
          <x14:id>{8E23AF12-9E73-4F59-8172-6EC99E1135D7}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E23AF12-9E73-4F59-8172-6EC99E1135D7}">
            <x14:dataBar minLength="0" maxLength="100">
              <x14:cfvo type="autoMin"/>
              <x14:cfvo type="autoMax"/>
              <x14:negativeFillColor rgb="FFFF0000"/>
              <x14:axisColor rgb="FF000000"/>
            </x14:dataBar>
          </x14:cfRule>
          <xm:sqref>AL116:AM119</xm:sqref>
        </x14:conditionalFormatting>
      </x14:conditionalFormattings>
    </ex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5E64D-9367-49F8-AF7B-4CDAEE6AF58B}">
  <sheetPr>
    <tabColor theme="9" tint="0.79998168889431442"/>
  </sheetPr>
  <dimension ref="A2:F15"/>
  <sheetViews>
    <sheetView showGridLines="0" zoomScale="79" workbookViewId="0">
      <selection activeCell="C24" sqref="C24"/>
    </sheetView>
  </sheetViews>
  <sheetFormatPr defaultRowHeight="14.4" x14ac:dyDescent="0.3"/>
  <cols>
    <col min="1" max="1" width="57" customWidth="1"/>
    <col min="2" max="2" width="28.33203125" customWidth="1"/>
    <col min="3" max="3" width="19.5546875" customWidth="1"/>
    <col min="4" max="4" width="20.77734375" customWidth="1"/>
    <col min="5" max="5" width="17.109375" customWidth="1"/>
    <col min="6" max="6" width="43.88671875" customWidth="1"/>
  </cols>
  <sheetData>
    <row r="2" spans="1:6" ht="23.4" x14ac:dyDescent="0.3">
      <c r="A2" s="106" t="s">
        <v>346</v>
      </c>
      <c r="B2" s="107"/>
      <c r="C2" s="107"/>
      <c r="D2" s="107"/>
      <c r="E2" s="107"/>
      <c r="F2" s="107"/>
    </row>
    <row r="3" spans="1:6" x14ac:dyDescent="0.3">
      <c r="A3" s="108" t="s">
        <v>318</v>
      </c>
      <c r="B3" s="109"/>
      <c r="C3" s="109"/>
      <c r="D3" s="109"/>
      <c r="E3" s="109"/>
      <c r="F3" s="109"/>
    </row>
    <row r="4" spans="1:6" x14ac:dyDescent="0.3">
      <c r="A4" s="100"/>
      <c r="B4" s="101"/>
      <c r="C4" s="101"/>
      <c r="D4" s="101"/>
      <c r="E4" s="101"/>
      <c r="F4" s="101"/>
    </row>
    <row r="6" spans="1:6" s="93" customFormat="1" ht="42.6" thickBot="1" x14ac:dyDescent="0.45">
      <c r="A6" s="92" t="s">
        <v>319</v>
      </c>
      <c r="B6" s="92" t="s">
        <v>320</v>
      </c>
      <c r="C6" s="92" t="s">
        <v>321</v>
      </c>
      <c r="D6" s="92" t="s">
        <v>322</v>
      </c>
      <c r="E6" s="92" t="s">
        <v>323</v>
      </c>
      <c r="F6" s="92" t="s">
        <v>324</v>
      </c>
    </row>
    <row r="7" spans="1:6" ht="157.19999999999999" customHeight="1" x14ac:dyDescent="0.3">
      <c r="A7" s="94" t="s">
        <v>325</v>
      </c>
      <c r="B7" s="95" t="s">
        <v>326</v>
      </c>
      <c r="C7" s="94" t="s">
        <v>84</v>
      </c>
      <c r="D7" s="96" t="s">
        <v>327</v>
      </c>
      <c r="E7" s="96" t="s">
        <v>328</v>
      </c>
    </row>
    <row r="8" spans="1:6" ht="155.4" customHeight="1" x14ac:dyDescent="0.3">
      <c r="A8" s="97" t="s">
        <v>329</v>
      </c>
      <c r="B8" s="98" t="s">
        <v>330</v>
      </c>
      <c r="C8" s="97" t="s">
        <v>120</v>
      </c>
      <c r="D8" s="99" t="s">
        <v>331</v>
      </c>
      <c r="E8" s="99" t="s">
        <v>332</v>
      </c>
    </row>
    <row r="9" spans="1:6" ht="157.19999999999999" customHeight="1" x14ac:dyDescent="0.3">
      <c r="A9" s="94" t="s">
        <v>333</v>
      </c>
      <c r="B9" s="95" t="s">
        <v>334</v>
      </c>
      <c r="C9" s="94" t="s">
        <v>131</v>
      </c>
      <c r="D9" s="96" t="s">
        <v>335</v>
      </c>
      <c r="E9" s="96" t="s">
        <v>336</v>
      </c>
    </row>
    <row r="10" spans="1:6" ht="160.19999999999999" customHeight="1" x14ac:dyDescent="0.3">
      <c r="A10" s="97" t="s">
        <v>337</v>
      </c>
      <c r="B10" s="98" t="s">
        <v>338</v>
      </c>
      <c r="C10" s="97" t="s">
        <v>134</v>
      </c>
      <c r="D10" s="99" t="s">
        <v>339</v>
      </c>
      <c r="E10" s="99" t="s">
        <v>340</v>
      </c>
    </row>
    <row r="11" spans="1:6" ht="166.8" customHeight="1" x14ac:dyDescent="0.3">
      <c r="A11" s="94" t="s">
        <v>341</v>
      </c>
      <c r="B11" s="95" t="s">
        <v>342</v>
      </c>
      <c r="C11" s="94" t="s">
        <v>85</v>
      </c>
      <c r="D11" s="96" t="s">
        <v>343</v>
      </c>
      <c r="E11" s="96" t="s">
        <v>344</v>
      </c>
    </row>
    <row r="12" spans="1:6" x14ac:dyDescent="0.3">
      <c r="A12" s="104"/>
    </row>
    <row r="13" spans="1:6" ht="14.4" customHeight="1" x14ac:dyDescent="0.3">
      <c r="B13" s="104"/>
      <c r="C13" s="104"/>
    </row>
    <row r="15" spans="1:6" x14ac:dyDescent="0.3">
      <c r="A15" s="105" t="s">
        <v>345</v>
      </c>
      <c r="B15" s="105"/>
      <c r="C15" s="105"/>
      <c r="D15" s="105"/>
      <c r="E15" s="105"/>
    </row>
  </sheetData>
  <mergeCells count="3">
    <mergeCell ref="A15:E15"/>
    <mergeCell ref="A2:F2"/>
    <mergeCell ref="A3:F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8D5E66-DB09-40F7-A8C0-89C29B5DCF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CWC2023</vt:lpstr>
      <vt:lpstr>Calculations</vt:lpstr>
      <vt:lpstr>Player_Analysis</vt:lpstr>
      <vt:lpstr>Team_Analysis</vt:lpstr>
      <vt:lpstr>Venue_Analysis</vt:lpstr>
      <vt:lpstr>Analysis</vt:lpstr>
      <vt:lpstr>Dashboard</vt:lpstr>
      <vt:lpstr>🏆 TOURNAMENT HIGHLIGHTS</vt:lpstr>
      <vt:lpstr>fTeam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Jadhav</dc:creator>
  <cp:lastModifiedBy>Om Jadhav</cp:lastModifiedBy>
  <dcterms:created xsi:type="dcterms:W3CDTF">2026-10-03T08:50:39Z</dcterms:created>
  <dcterms:modified xsi:type="dcterms:W3CDTF">2026-10-10T06:35:31Z</dcterms:modified>
</cp:coreProperties>
</file>