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Dashboard BI\"/>
    </mc:Choice>
  </mc:AlternateContent>
  <xr:revisionPtr revIDLastSave="0" documentId="13_ncr:1_{473895ED-67CD-4F16-A91F-662430828EE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018" sheetId="1" r:id="rId1"/>
    <sheet name="Monitoring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'2018'!$A$4:$B$101</definedName>
    <definedName name="index">[1]data!$BB$1:$BB$94</definedName>
    <definedName name="KBI_KBT">[1]data!$E$2:$G$20</definedName>
    <definedName name="_xlnm.Print_Area" localSheetId="0">'2018'!$A$1:$BB$101</definedName>
    <definedName name="_xlnm.Print_Area" localSheetId="1">Monitoring!$A$2:$S$113</definedName>
    <definedName name="_xlnm.Print_Titles" localSheetId="1">Monitoring!$4:$8</definedName>
    <definedName name="real_rku_01.jan">[2]real!$B$3:$S$18</definedName>
    <definedName name="real_rku_02.feb">[2]real!$V$3:$AM$18</definedName>
    <definedName name="real_rku_03.mar">[2]real!$AP$3:$BG$18</definedName>
    <definedName name="real_rku_04.apr">[2]real!$BJ$3:$CA$18</definedName>
    <definedName name="real_rku_05.mei">[2]real!$CD$3:$CU$18</definedName>
    <definedName name="real_rku_06.jun">[2]real!$CX$3:$DO$18</definedName>
    <definedName name="real_rku_07.jul">[2]real!$DR$3:$EI$18</definedName>
    <definedName name="real_rku_08.ags">[2]real!$EL$3:$FC$18</definedName>
    <definedName name="real_rku_09.sep">[2]real!$FF$3:$FW$18</definedName>
    <definedName name="real_rku_10.okt">[2]real!$FZ$3:$GQ$18</definedName>
    <definedName name="real_rku_11.nov">[2]real!$GT$3:$HK$18</definedName>
    <definedName name="real_rku_12.des">[2]real!$HN$3:$IE$18</definedName>
    <definedName name="real_rku_2013">[2]real!$MX$3:$NO$18</definedName>
    <definedName name="real_rku_jan_ags">[2]real!$BJ$21:$CA$36</definedName>
    <definedName name="real_rku_jan_apr">[2]real!$B$21:$S$36</definedName>
    <definedName name="real_rku_jan_jul">[2]real!$AP$21:$BG$36</definedName>
    <definedName name="real_rku_jan_mei">[2]real!$V$21:$AM$36</definedName>
    <definedName name="real_rku_jan_nov">[2]real!$DR$21:$EI$36</definedName>
    <definedName name="real_rku_jan_okt">[2]real!$CX$21:$DO$36</definedName>
    <definedName name="real_rku_jan_sep">[2]real!$CD$21:$CU$36</definedName>
    <definedName name="real_rku_SM_I">[2]real!$LJ$3:$MA$18</definedName>
    <definedName name="real_rku_SM_II">[2]real!$MD$3:$MU$18</definedName>
    <definedName name="real_rku_TW_I">[2]real!$IH$3:$IY$18</definedName>
    <definedName name="real_rku_TW_II">[2]real!$JB$3:$JS$18</definedName>
    <definedName name="real_rku_TW_III">[2]real!$JV$3:$KM$18</definedName>
    <definedName name="real_rku_TW_IV">[2]real!$KP$3:$LG$18</definedName>
    <definedName name="rku_01.jan">[2]data!$B$3:$S$18</definedName>
    <definedName name="rku_02.feb">[2]data!$V$3:$AM$18</definedName>
    <definedName name="rku_03.mar">[2]data!$AP$3:$BG$18</definedName>
    <definedName name="rku_04.apr">[2]data!$BJ$3:$CA$18</definedName>
    <definedName name="rku_05.mei">[2]data!$CD$3:$CU$18</definedName>
    <definedName name="rku_06.jun">[2]data!$CX$3:$DO$18</definedName>
    <definedName name="rku_07.jul">[2]data!$DR$3:$EI$18</definedName>
    <definedName name="rku_08.ags">[2]data!$EL$3:$FC$18</definedName>
    <definedName name="rku_09.sep">[2]data!$FF$3:$FW$18</definedName>
    <definedName name="rku_10.okt">[2]data!$FZ$3:$GQ$18</definedName>
    <definedName name="rku_11.nov">[2]data!$GT$3:$HK$18</definedName>
    <definedName name="rku_12.des">[2]data!$HN$3:$IE$18</definedName>
    <definedName name="rku_2013">[2]data!$MX$3:$NO$18</definedName>
    <definedName name="rku_jan_ags">[2]data!$BJ$21:$CA$36</definedName>
    <definedName name="rku_jan_apr">[2]data!$B$21:$S$36</definedName>
    <definedName name="rku_jan_jul">[2]data!$AP$21:$BG$36</definedName>
    <definedName name="rku_jan_mei">[2]data!$V$21:$AM$36</definedName>
    <definedName name="rku_jan_nov">[2]data!$DR$21:$EI$36</definedName>
    <definedName name="rku_jan_okt">[2]data!$CX$21:$DO$36</definedName>
    <definedName name="rku_jan_sep">[2]data!$CD$21:$CU$36</definedName>
    <definedName name="rku_SM_I">[2]data!$LJ$3:$MA$18</definedName>
    <definedName name="rku_SM_II">[2]data!$MD$3:$MU$18</definedName>
    <definedName name="rku_TW_I">[2]data!$IH$3:$IY$18</definedName>
    <definedName name="rku_TW_II">[2]data!$JB$3:$JS$18</definedName>
    <definedName name="rku_TW_III">[2]data!$JV$3:$KM$18</definedName>
    <definedName name="rku_TW_IV">[2]data!$KP$3:$LG$18</definedName>
    <definedName name="rubik">[1]data!$B$2:$C$48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9" i="2" l="1"/>
  <c r="Q208" i="2"/>
  <c r="Z118" i="2"/>
  <c r="Y118" i="2"/>
  <c r="AI108" i="2"/>
  <c r="AH108" i="2"/>
  <c r="Q91" i="2"/>
  <c r="Q199" i="2" s="1"/>
  <c r="P91" i="2"/>
  <c r="P199" i="2" s="1"/>
  <c r="O91" i="2"/>
  <c r="AH91" i="2" s="1"/>
  <c r="N91" i="2"/>
  <c r="M91" i="2"/>
  <c r="M199" i="2" s="1"/>
  <c r="K91" i="2"/>
  <c r="J91" i="2"/>
  <c r="I91" i="2"/>
  <c r="I199" i="2" s="1"/>
  <c r="H91" i="2"/>
  <c r="H199" i="2" s="1"/>
  <c r="G91" i="2"/>
  <c r="F91" i="2"/>
  <c r="E91" i="2"/>
  <c r="E199" i="2" s="1"/>
  <c r="Q90" i="2"/>
  <c r="Q93" i="2" s="1"/>
  <c r="P90" i="2"/>
  <c r="P92" i="2" s="1"/>
  <c r="O90" i="2"/>
  <c r="AH90" i="2" s="1"/>
  <c r="N90" i="2"/>
  <c r="N198" i="2" s="1"/>
  <c r="M90" i="2"/>
  <c r="K90" i="2"/>
  <c r="AD90" i="2" s="1"/>
  <c r="J90" i="2"/>
  <c r="J198" i="2" s="1"/>
  <c r="I90" i="2"/>
  <c r="H90" i="2"/>
  <c r="G90" i="2"/>
  <c r="G93" i="2" s="1"/>
  <c r="G94" i="2" s="1"/>
  <c r="F90" i="2"/>
  <c r="F198" i="2" s="1"/>
  <c r="E90" i="2"/>
  <c r="E92" i="2" s="1"/>
  <c r="Q86" i="2"/>
  <c r="P86" i="2"/>
  <c r="P194" i="2" s="1"/>
  <c r="O86" i="2"/>
  <c r="O194" i="2" s="1"/>
  <c r="N86" i="2"/>
  <c r="N194" i="2" s="1"/>
  <c r="M86" i="2"/>
  <c r="K86" i="2"/>
  <c r="K194" i="2" s="1"/>
  <c r="J86" i="2"/>
  <c r="J194" i="2" s="1"/>
  <c r="I86" i="2"/>
  <c r="H86" i="2"/>
  <c r="H194" i="2" s="1"/>
  <c r="G86" i="2"/>
  <c r="G194" i="2" s="1"/>
  <c r="F86" i="2"/>
  <c r="F194" i="2" s="1"/>
  <c r="E86" i="2"/>
  <c r="AI85" i="2"/>
  <c r="Q85" i="2"/>
  <c r="Q193" i="2" s="1"/>
  <c r="P85" i="2"/>
  <c r="P193" i="2" s="1"/>
  <c r="O85" i="2"/>
  <c r="N85" i="2"/>
  <c r="N193" i="2" s="1"/>
  <c r="M85" i="2"/>
  <c r="M193" i="2" s="1"/>
  <c r="K85" i="2"/>
  <c r="K87" i="2" s="1"/>
  <c r="J85" i="2"/>
  <c r="J193" i="2" s="1"/>
  <c r="I85" i="2"/>
  <c r="I193" i="2" s="1"/>
  <c r="H85" i="2"/>
  <c r="H193" i="2" s="1"/>
  <c r="G85" i="2"/>
  <c r="G87" i="2" s="1"/>
  <c r="F85" i="2"/>
  <c r="F193" i="2" s="1"/>
  <c r="E85" i="2"/>
  <c r="E193" i="2" s="1"/>
  <c r="AK84" i="2"/>
  <c r="AL84" i="2" s="1"/>
  <c r="AE84" i="2"/>
  <c r="Q81" i="2"/>
  <c r="P81" i="2"/>
  <c r="P189" i="2" s="1"/>
  <c r="O81" i="2"/>
  <c r="O189" i="2" s="1"/>
  <c r="N81" i="2"/>
  <c r="M81" i="2"/>
  <c r="K81" i="2"/>
  <c r="K189" i="2" s="1"/>
  <c r="J81" i="2"/>
  <c r="I81" i="2"/>
  <c r="H81" i="2"/>
  <c r="H189" i="2" s="1"/>
  <c r="G81" i="2"/>
  <c r="G189" i="2" s="1"/>
  <c r="F81" i="2"/>
  <c r="E81" i="2"/>
  <c r="Q80" i="2"/>
  <c r="Q188" i="2" s="1"/>
  <c r="P80" i="2"/>
  <c r="P82" i="2" s="1"/>
  <c r="O80" i="2"/>
  <c r="N80" i="2"/>
  <c r="N188" i="2" s="1"/>
  <c r="M80" i="2"/>
  <c r="M188" i="2" s="1"/>
  <c r="K80" i="2"/>
  <c r="J80" i="2"/>
  <c r="J188" i="2" s="1"/>
  <c r="I80" i="2"/>
  <c r="I188" i="2" s="1"/>
  <c r="H80" i="2"/>
  <c r="H82" i="2" s="1"/>
  <c r="G80" i="2"/>
  <c r="F80" i="2"/>
  <c r="F188" i="2" s="1"/>
  <c r="E80" i="2"/>
  <c r="E188" i="2" s="1"/>
  <c r="AK79" i="2"/>
  <c r="AL79" i="2" s="1"/>
  <c r="AE79" i="2"/>
  <c r="Q76" i="2"/>
  <c r="P76" i="2"/>
  <c r="P184" i="2" s="1"/>
  <c r="O76" i="2"/>
  <c r="O184" i="2" s="1"/>
  <c r="N76" i="2"/>
  <c r="N184" i="2" s="1"/>
  <c r="M76" i="2"/>
  <c r="K76" i="2"/>
  <c r="K184" i="2" s="1"/>
  <c r="J76" i="2"/>
  <c r="J184" i="2" s="1"/>
  <c r="I76" i="2"/>
  <c r="H76" i="2"/>
  <c r="H184" i="2" s="1"/>
  <c r="G76" i="2"/>
  <c r="G184" i="2" s="1"/>
  <c r="F76" i="2"/>
  <c r="F184" i="2" s="1"/>
  <c r="E76" i="2"/>
  <c r="Q75" i="2"/>
  <c r="Q183" i="2" s="1"/>
  <c r="P75" i="2"/>
  <c r="P183" i="2" s="1"/>
  <c r="O75" i="2"/>
  <c r="N75" i="2"/>
  <c r="AG75" i="2" s="1"/>
  <c r="M75" i="2"/>
  <c r="M183" i="2" s="1"/>
  <c r="K75" i="2"/>
  <c r="K77" i="2" s="1"/>
  <c r="J75" i="2"/>
  <c r="J183" i="2" s="1"/>
  <c r="I75" i="2"/>
  <c r="I183" i="2" s="1"/>
  <c r="H75" i="2"/>
  <c r="H183" i="2" s="1"/>
  <c r="G75" i="2"/>
  <c r="G77" i="2" s="1"/>
  <c r="F75" i="2"/>
  <c r="F183" i="2" s="1"/>
  <c r="E75" i="2"/>
  <c r="E183" i="2" s="1"/>
  <c r="AK74" i="2"/>
  <c r="AL74" i="2" s="1"/>
  <c r="AE74" i="2"/>
  <c r="Q71" i="2"/>
  <c r="Q179" i="2" s="1"/>
  <c r="P71" i="2"/>
  <c r="P179" i="2" s="1"/>
  <c r="O71" i="2"/>
  <c r="N71" i="2"/>
  <c r="N179" i="2" s="1"/>
  <c r="M71" i="2"/>
  <c r="M179" i="2" s="1"/>
  <c r="K71" i="2"/>
  <c r="J71" i="2"/>
  <c r="J179" i="2" s="1"/>
  <c r="I71" i="2"/>
  <c r="I179" i="2" s="1"/>
  <c r="H71" i="2"/>
  <c r="H179" i="2" s="1"/>
  <c r="G71" i="2"/>
  <c r="F71" i="2"/>
  <c r="F179" i="2" s="1"/>
  <c r="E71" i="2"/>
  <c r="E179" i="2" s="1"/>
  <c r="Q70" i="2"/>
  <c r="P70" i="2"/>
  <c r="O70" i="2"/>
  <c r="N70" i="2"/>
  <c r="N178" i="2" s="1"/>
  <c r="M70" i="2"/>
  <c r="K70" i="2"/>
  <c r="J70" i="2"/>
  <c r="J178" i="2" s="1"/>
  <c r="I70" i="2"/>
  <c r="I72" i="2" s="1"/>
  <c r="H70" i="2"/>
  <c r="G70" i="2"/>
  <c r="F70" i="2"/>
  <c r="F178" i="2" s="1"/>
  <c r="F180" i="2" s="1"/>
  <c r="E70" i="2"/>
  <c r="L70" i="2" s="1"/>
  <c r="AK69" i="2"/>
  <c r="AE69" i="2"/>
  <c r="Q66" i="2"/>
  <c r="Q174" i="2" s="1"/>
  <c r="P66" i="2"/>
  <c r="O66" i="2"/>
  <c r="N66" i="2"/>
  <c r="N174" i="2" s="1"/>
  <c r="M66" i="2"/>
  <c r="K66" i="2"/>
  <c r="J66" i="2"/>
  <c r="J174" i="2" s="1"/>
  <c r="I66" i="2"/>
  <c r="I174" i="2" s="1"/>
  <c r="H66" i="2"/>
  <c r="G66" i="2"/>
  <c r="F66" i="2"/>
  <c r="F174" i="2" s="1"/>
  <c r="E66" i="2"/>
  <c r="E174" i="2" s="1"/>
  <c r="Q65" i="2"/>
  <c r="P65" i="2"/>
  <c r="P173" i="2" s="1"/>
  <c r="O65" i="2"/>
  <c r="O173" i="2" s="1"/>
  <c r="N65" i="2"/>
  <c r="N68" i="2" s="1"/>
  <c r="N69" i="2" s="1"/>
  <c r="M65" i="2"/>
  <c r="M67" i="2" s="1"/>
  <c r="K65" i="2"/>
  <c r="K173" i="2" s="1"/>
  <c r="J65" i="2"/>
  <c r="J173" i="2" s="1"/>
  <c r="I65" i="2"/>
  <c r="H65" i="2"/>
  <c r="H173" i="2" s="1"/>
  <c r="G65" i="2"/>
  <c r="G173" i="2" s="1"/>
  <c r="F65" i="2"/>
  <c r="F173" i="2" s="1"/>
  <c r="E65" i="2"/>
  <c r="AK64" i="2"/>
  <c r="AE64" i="2"/>
  <c r="Q61" i="2"/>
  <c r="P61" i="2"/>
  <c r="P169" i="2" s="1"/>
  <c r="O61" i="2"/>
  <c r="O169" i="2" s="1"/>
  <c r="N61" i="2"/>
  <c r="N169" i="2" s="1"/>
  <c r="M61" i="2"/>
  <c r="K61" i="2"/>
  <c r="K169" i="2" s="1"/>
  <c r="J61" i="2"/>
  <c r="J169" i="2" s="1"/>
  <c r="I61" i="2"/>
  <c r="H61" i="2"/>
  <c r="H169" i="2" s="1"/>
  <c r="G61" i="2"/>
  <c r="G169" i="2" s="1"/>
  <c r="F61" i="2"/>
  <c r="F169" i="2" s="1"/>
  <c r="E61" i="2"/>
  <c r="Q60" i="2"/>
  <c r="P60" i="2"/>
  <c r="P168" i="2" s="1"/>
  <c r="O60" i="2"/>
  <c r="O62" i="2" s="1"/>
  <c r="N60" i="2"/>
  <c r="N168" i="2" s="1"/>
  <c r="M60" i="2"/>
  <c r="K60" i="2"/>
  <c r="J60" i="2"/>
  <c r="J168" i="2" s="1"/>
  <c r="I60" i="2"/>
  <c r="H60" i="2"/>
  <c r="H168" i="2" s="1"/>
  <c r="G60" i="2"/>
  <c r="G62" i="2" s="1"/>
  <c r="F60" i="2"/>
  <c r="F168" i="2" s="1"/>
  <c r="E60" i="2"/>
  <c r="AK59" i="2"/>
  <c r="AE59" i="2"/>
  <c r="AJ56" i="2"/>
  <c r="Q56" i="2"/>
  <c r="Q164" i="2" s="1"/>
  <c r="P56" i="2"/>
  <c r="P164" i="2" s="1"/>
  <c r="O56" i="2"/>
  <c r="N56" i="2"/>
  <c r="N164" i="2" s="1"/>
  <c r="M56" i="2"/>
  <c r="K56" i="2"/>
  <c r="J56" i="2"/>
  <c r="J164" i="2" s="1"/>
  <c r="I56" i="2"/>
  <c r="I164" i="2" s="1"/>
  <c r="H56" i="2"/>
  <c r="H164" i="2" s="1"/>
  <c r="G56" i="2"/>
  <c r="F56" i="2"/>
  <c r="F164" i="2" s="1"/>
  <c r="E56" i="2"/>
  <c r="E164" i="2" s="1"/>
  <c r="Q55" i="2"/>
  <c r="P55" i="2"/>
  <c r="P163" i="2" s="1"/>
  <c r="O55" i="2"/>
  <c r="O163" i="2" s="1"/>
  <c r="N55" i="2"/>
  <c r="N163" i="2" s="1"/>
  <c r="M55" i="2"/>
  <c r="K55" i="2"/>
  <c r="J55" i="2"/>
  <c r="J163" i="2" s="1"/>
  <c r="I55" i="2"/>
  <c r="I57" i="2" s="1"/>
  <c r="H55" i="2"/>
  <c r="H163" i="2" s="1"/>
  <c r="G55" i="2"/>
  <c r="F55" i="2"/>
  <c r="F163" i="2" s="1"/>
  <c r="E55" i="2"/>
  <c r="E57" i="2" s="1"/>
  <c r="AK54" i="2"/>
  <c r="AE54" i="2"/>
  <c r="Q51" i="2"/>
  <c r="P51" i="2"/>
  <c r="P159" i="2" s="1"/>
  <c r="O51" i="2"/>
  <c r="O159" i="2" s="1"/>
  <c r="N51" i="2"/>
  <c r="N159" i="2" s="1"/>
  <c r="M51" i="2"/>
  <c r="K51" i="2"/>
  <c r="K159" i="2" s="1"/>
  <c r="J51" i="2"/>
  <c r="J159" i="2" s="1"/>
  <c r="I51" i="2"/>
  <c r="H51" i="2"/>
  <c r="H159" i="2" s="1"/>
  <c r="G51" i="2"/>
  <c r="G159" i="2" s="1"/>
  <c r="F51" i="2"/>
  <c r="E51" i="2"/>
  <c r="Q50" i="2"/>
  <c r="Q158" i="2" s="1"/>
  <c r="P50" i="2"/>
  <c r="P158" i="2" s="1"/>
  <c r="P161" i="2" s="1"/>
  <c r="P162" i="2" s="1"/>
  <c r="O50" i="2"/>
  <c r="N50" i="2"/>
  <c r="N53" i="2" s="1"/>
  <c r="N54" i="2" s="1"/>
  <c r="M50" i="2"/>
  <c r="M158" i="2" s="1"/>
  <c r="K50" i="2"/>
  <c r="K52" i="2" s="1"/>
  <c r="J50" i="2"/>
  <c r="AC50" i="2" s="1"/>
  <c r="I50" i="2"/>
  <c r="I158" i="2" s="1"/>
  <c r="H50" i="2"/>
  <c r="H158" i="2" s="1"/>
  <c r="G50" i="2"/>
  <c r="F50" i="2"/>
  <c r="Y50" i="2" s="1"/>
  <c r="E50" i="2"/>
  <c r="E158" i="2" s="1"/>
  <c r="AK49" i="2"/>
  <c r="AL49" i="2" s="1"/>
  <c r="AE49" i="2"/>
  <c r="Q46" i="2"/>
  <c r="Q154" i="2" s="1"/>
  <c r="P46" i="2"/>
  <c r="P154" i="2" s="1"/>
  <c r="O46" i="2"/>
  <c r="N46" i="2"/>
  <c r="N154" i="2" s="1"/>
  <c r="M46" i="2"/>
  <c r="M154" i="2" s="1"/>
  <c r="K46" i="2"/>
  <c r="J46" i="2"/>
  <c r="J154" i="2" s="1"/>
  <c r="I46" i="2"/>
  <c r="I154" i="2" s="1"/>
  <c r="H46" i="2"/>
  <c r="H154" i="2" s="1"/>
  <c r="G46" i="2"/>
  <c r="F46" i="2"/>
  <c r="F154" i="2" s="1"/>
  <c r="E46" i="2"/>
  <c r="E154" i="2" s="1"/>
  <c r="Q45" i="2"/>
  <c r="Q47" i="2" s="1"/>
  <c r="P45" i="2"/>
  <c r="P153" i="2" s="1"/>
  <c r="O45" i="2"/>
  <c r="O153" i="2" s="1"/>
  <c r="N45" i="2"/>
  <c r="N153" i="2" s="1"/>
  <c r="M45" i="2"/>
  <c r="K45" i="2"/>
  <c r="K153" i="2" s="1"/>
  <c r="J45" i="2"/>
  <c r="J153" i="2" s="1"/>
  <c r="I45" i="2"/>
  <c r="I47" i="2" s="1"/>
  <c r="H45" i="2"/>
  <c r="H153" i="2" s="1"/>
  <c r="G45" i="2"/>
  <c r="G153" i="2" s="1"/>
  <c r="F45" i="2"/>
  <c r="F153" i="2" s="1"/>
  <c r="E45" i="2"/>
  <c r="E47" i="2" s="1"/>
  <c r="AK44" i="2"/>
  <c r="AE44" i="2"/>
  <c r="AG41" i="2"/>
  <c r="Q41" i="2"/>
  <c r="P41" i="2"/>
  <c r="P149" i="2" s="1"/>
  <c r="O41" i="2"/>
  <c r="O149" i="2" s="1"/>
  <c r="N41" i="2"/>
  <c r="N149" i="2" s="1"/>
  <c r="M41" i="2"/>
  <c r="K41" i="2"/>
  <c r="K149" i="2" s="1"/>
  <c r="J41" i="2"/>
  <c r="J149" i="2" s="1"/>
  <c r="I41" i="2"/>
  <c r="H41" i="2"/>
  <c r="H149" i="2" s="1"/>
  <c r="G41" i="2"/>
  <c r="G149" i="2" s="1"/>
  <c r="F41" i="2"/>
  <c r="F149" i="2" s="1"/>
  <c r="E41" i="2"/>
  <c r="Q40" i="2"/>
  <c r="Q148" i="2" s="1"/>
  <c r="P40" i="2"/>
  <c r="P148" i="2" s="1"/>
  <c r="O40" i="2"/>
  <c r="N40" i="2"/>
  <c r="N148" i="2" s="1"/>
  <c r="M40" i="2"/>
  <c r="M148" i="2" s="1"/>
  <c r="K40" i="2"/>
  <c r="J40" i="2"/>
  <c r="J148" i="2" s="1"/>
  <c r="I40" i="2"/>
  <c r="I148" i="2" s="1"/>
  <c r="H40" i="2"/>
  <c r="H148" i="2" s="1"/>
  <c r="G40" i="2"/>
  <c r="G42" i="2" s="1"/>
  <c r="F40" i="2"/>
  <c r="F148" i="2" s="1"/>
  <c r="E40" i="2"/>
  <c r="E148" i="2" s="1"/>
  <c r="AK39" i="2"/>
  <c r="AE39" i="2"/>
  <c r="Q36" i="2"/>
  <c r="Q144" i="2" s="1"/>
  <c r="P36" i="2"/>
  <c r="O36" i="2"/>
  <c r="O144" i="2" s="1"/>
  <c r="N36" i="2"/>
  <c r="N144" i="2" s="1"/>
  <c r="M36" i="2"/>
  <c r="M144" i="2" s="1"/>
  <c r="K36" i="2"/>
  <c r="K144" i="2" s="1"/>
  <c r="J36" i="2"/>
  <c r="J144" i="2" s="1"/>
  <c r="I36" i="2"/>
  <c r="I144" i="2" s="1"/>
  <c r="H36" i="2"/>
  <c r="G36" i="2"/>
  <c r="G144" i="2" s="1"/>
  <c r="F36" i="2"/>
  <c r="F144" i="2" s="1"/>
  <c r="E36" i="2"/>
  <c r="E144" i="2" s="1"/>
  <c r="Q35" i="2"/>
  <c r="Q143" i="2" s="1"/>
  <c r="P35" i="2"/>
  <c r="P143" i="2" s="1"/>
  <c r="O35" i="2"/>
  <c r="O143" i="2" s="1"/>
  <c r="N35" i="2"/>
  <c r="N37" i="2" s="1"/>
  <c r="M35" i="2"/>
  <c r="M143" i="2" s="1"/>
  <c r="K35" i="2"/>
  <c r="K143" i="2" s="1"/>
  <c r="K146" i="2" s="1"/>
  <c r="K147" i="2" s="1"/>
  <c r="J35" i="2"/>
  <c r="J37" i="2" s="1"/>
  <c r="I35" i="2"/>
  <c r="I143" i="2" s="1"/>
  <c r="H35" i="2"/>
  <c r="H143" i="2" s="1"/>
  <c r="G35" i="2"/>
  <c r="G143" i="2" s="1"/>
  <c r="F35" i="2"/>
  <c r="E35" i="2"/>
  <c r="E143" i="2" s="1"/>
  <c r="AK34" i="2"/>
  <c r="AE34" i="2"/>
  <c r="AL34" i="2" s="1"/>
  <c r="AJ31" i="2"/>
  <c r="Q31" i="2"/>
  <c r="Q139" i="2" s="1"/>
  <c r="P31" i="2"/>
  <c r="P139" i="2" s="1"/>
  <c r="O31" i="2"/>
  <c r="O139" i="2" s="1"/>
  <c r="N31" i="2"/>
  <c r="M31" i="2"/>
  <c r="M139" i="2" s="1"/>
  <c r="K31" i="2"/>
  <c r="K139" i="2" s="1"/>
  <c r="J31" i="2"/>
  <c r="I31" i="2"/>
  <c r="I139" i="2" s="1"/>
  <c r="H31" i="2"/>
  <c r="H139" i="2" s="1"/>
  <c r="G31" i="2"/>
  <c r="G139" i="2" s="1"/>
  <c r="F31" i="2"/>
  <c r="E31" i="2"/>
  <c r="E139" i="2" s="1"/>
  <c r="Q30" i="2"/>
  <c r="Q138" i="2" s="1"/>
  <c r="P30" i="2"/>
  <c r="O30" i="2"/>
  <c r="O138" i="2" s="1"/>
  <c r="N30" i="2"/>
  <c r="N138" i="2" s="1"/>
  <c r="M30" i="2"/>
  <c r="M138" i="2" s="1"/>
  <c r="K30" i="2"/>
  <c r="K32" i="2" s="1"/>
  <c r="J30" i="2"/>
  <c r="J138" i="2" s="1"/>
  <c r="I30" i="2"/>
  <c r="I138" i="2" s="1"/>
  <c r="H30" i="2"/>
  <c r="H32" i="2" s="1"/>
  <c r="G30" i="2"/>
  <c r="G138" i="2" s="1"/>
  <c r="F30" i="2"/>
  <c r="F138" i="2" s="1"/>
  <c r="E30" i="2"/>
  <c r="E138" i="2" s="1"/>
  <c r="AK29" i="2"/>
  <c r="AE29" i="2"/>
  <c r="AL29" i="2" s="1"/>
  <c r="Q26" i="2"/>
  <c r="Q134" i="2" s="1"/>
  <c r="P26" i="2"/>
  <c r="O26" i="2"/>
  <c r="O134" i="2" s="1"/>
  <c r="N26" i="2"/>
  <c r="N134" i="2" s="1"/>
  <c r="M26" i="2"/>
  <c r="M134" i="2" s="1"/>
  <c r="K26" i="2"/>
  <c r="K134" i="2" s="1"/>
  <c r="J26" i="2"/>
  <c r="J134" i="2" s="1"/>
  <c r="I26" i="2"/>
  <c r="I134" i="2" s="1"/>
  <c r="H26" i="2"/>
  <c r="G26" i="2"/>
  <c r="G134" i="2" s="1"/>
  <c r="F26" i="2"/>
  <c r="F134" i="2" s="1"/>
  <c r="E26" i="2"/>
  <c r="E134" i="2" s="1"/>
  <c r="Q25" i="2"/>
  <c r="Q133" i="2" s="1"/>
  <c r="P25" i="2"/>
  <c r="P133" i="2" s="1"/>
  <c r="O25" i="2"/>
  <c r="O133" i="2" s="1"/>
  <c r="O135" i="2" s="1"/>
  <c r="N25" i="2"/>
  <c r="N27" i="2" s="1"/>
  <c r="M25" i="2"/>
  <c r="M133" i="2" s="1"/>
  <c r="K25" i="2"/>
  <c r="K133" i="2" s="1"/>
  <c r="J25" i="2"/>
  <c r="I25" i="2"/>
  <c r="I133" i="2" s="1"/>
  <c r="H25" i="2"/>
  <c r="H133" i="2" s="1"/>
  <c r="G25" i="2"/>
  <c r="G133" i="2" s="1"/>
  <c r="F25" i="2"/>
  <c r="E25" i="2"/>
  <c r="E133" i="2" s="1"/>
  <c r="AK24" i="2"/>
  <c r="AE24" i="2"/>
  <c r="Q21" i="2"/>
  <c r="Q129" i="2" s="1"/>
  <c r="P21" i="2"/>
  <c r="P129" i="2" s="1"/>
  <c r="O21" i="2"/>
  <c r="O129" i="2" s="1"/>
  <c r="N21" i="2"/>
  <c r="M21" i="2"/>
  <c r="M129" i="2" s="1"/>
  <c r="K21" i="2"/>
  <c r="AD21" i="2" s="1"/>
  <c r="J21" i="2"/>
  <c r="I21" i="2"/>
  <c r="I129" i="2" s="1"/>
  <c r="H21" i="2"/>
  <c r="G21" i="2"/>
  <c r="Z21" i="2" s="1"/>
  <c r="F21" i="2"/>
  <c r="E21" i="2"/>
  <c r="E129" i="2" s="1"/>
  <c r="Q20" i="2"/>
  <c r="Q23" i="2" s="1"/>
  <c r="P20" i="2"/>
  <c r="P22" i="2" s="1"/>
  <c r="O20" i="2"/>
  <c r="O128" i="2" s="1"/>
  <c r="N20" i="2"/>
  <c r="AG20" i="2" s="1"/>
  <c r="M20" i="2"/>
  <c r="M23" i="2" s="1"/>
  <c r="M24" i="2" s="1"/>
  <c r="K20" i="2"/>
  <c r="K128" i="2" s="1"/>
  <c r="J20" i="2"/>
  <c r="I20" i="2"/>
  <c r="AB20" i="2" s="1"/>
  <c r="H20" i="2"/>
  <c r="H22" i="2" s="1"/>
  <c r="G20" i="2"/>
  <c r="G128" i="2" s="1"/>
  <c r="F20" i="2"/>
  <c r="E20" i="2"/>
  <c r="X20" i="2" s="1"/>
  <c r="AK19" i="2"/>
  <c r="AE19" i="2"/>
  <c r="AL19" i="2" s="1"/>
  <c r="Q16" i="2"/>
  <c r="Q124" i="2" s="1"/>
  <c r="P16" i="2"/>
  <c r="O16" i="2"/>
  <c r="O124" i="2" s="1"/>
  <c r="N16" i="2"/>
  <c r="N124" i="2" s="1"/>
  <c r="M16" i="2"/>
  <c r="M124" i="2" s="1"/>
  <c r="K16" i="2"/>
  <c r="K124" i="2" s="1"/>
  <c r="J16" i="2"/>
  <c r="J124" i="2" s="1"/>
  <c r="I16" i="2"/>
  <c r="I124" i="2" s="1"/>
  <c r="H16" i="2"/>
  <c r="G16" i="2"/>
  <c r="G124" i="2" s="1"/>
  <c r="F16" i="2"/>
  <c r="F124" i="2" s="1"/>
  <c r="E16" i="2"/>
  <c r="E124" i="2" s="1"/>
  <c r="Q15" i="2"/>
  <c r="AJ15" i="2" s="1"/>
  <c r="AJ18" i="2" s="1"/>
  <c r="P15" i="2"/>
  <c r="P123" i="2" s="1"/>
  <c r="O15" i="2"/>
  <c r="O123" i="2" s="1"/>
  <c r="N15" i="2"/>
  <c r="M15" i="2"/>
  <c r="K15" i="2"/>
  <c r="K123" i="2" s="1"/>
  <c r="J15" i="2"/>
  <c r="I15" i="2"/>
  <c r="AB15" i="2" s="1"/>
  <c r="H15" i="2"/>
  <c r="H123" i="2" s="1"/>
  <c r="G15" i="2"/>
  <c r="G123" i="2" s="1"/>
  <c r="F15" i="2"/>
  <c r="Y15" i="2" s="1"/>
  <c r="E15" i="2"/>
  <c r="X15" i="2" s="1"/>
  <c r="AQ12" i="2"/>
  <c r="AP12" i="2"/>
  <c r="Q11" i="2"/>
  <c r="AJ11" i="2" s="1"/>
  <c r="P11" i="2"/>
  <c r="AI11" i="2" s="1"/>
  <c r="O11" i="2"/>
  <c r="N11" i="2"/>
  <c r="AG11" i="2" s="1"/>
  <c r="M11" i="2"/>
  <c r="R11" i="2" s="1"/>
  <c r="K11" i="2"/>
  <c r="AD11" i="2" s="1"/>
  <c r="J11" i="2"/>
  <c r="AC11" i="2" s="1"/>
  <c r="I11" i="2"/>
  <c r="H11" i="2"/>
  <c r="AA11" i="2" s="1"/>
  <c r="G11" i="2"/>
  <c r="F11" i="2"/>
  <c r="Y11" i="2" s="1"/>
  <c r="E11" i="2"/>
  <c r="X11" i="2" s="1"/>
  <c r="Q10" i="2"/>
  <c r="AJ10" i="2" s="1"/>
  <c r="P10" i="2"/>
  <c r="P13" i="2" s="1"/>
  <c r="P14" i="2" s="1"/>
  <c r="O10" i="2"/>
  <c r="N10" i="2"/>
  <c r="N13" i="2" s="1"/>
  <c r="N14" i="2" s="1"/>
  <c r="M10" i="2"/>
  <c r="K10" i="2"/>
  <c r="K13" i="2" s="1"/>
  <c r="K14" i="2" s="1"/>
  <c r="J10" i="2"/>
  <c r="J13" i="2" s="1"/>
  <c r="J14" i="2" s="1"/>
  <c r="I10" i="2"/>
  <c r="AB10" i="2" s="1"/>
  <c r="H10" i="2"/>
  <c r="H13" i="2" s="1"/>
  <c r="H14" i="2" s="1"/>
  <c r="G10" i="2"/>
  <c r="Z10" i="2" s="1"/>
  <c r="F10" i="2"/>
  <c r="F13" i="2" s="1"/>
  <c r="F14" i="2" s="1"/>
  <c r="E10" i="2"/>
  <c r="B6" i="2"/>
  <c r="U6" i="2" s="1"/>
  <c r="U5" i="2"/>
  <c r="B4" i="2"/>
  <c r="U4" i="2" s="1"/>
  <c r="Y10" i="2" l="1"/>
  <c r="Y12" i="2" s="1"/>
  <c r="AI10" i="2"/>
  <c r="AI12" i="2" s="1"/>
  <c r="Z16" i="2"/>
  <c r="K17" i="2"/>
  <c r="Q18" i="2"/>
  <c r="Z20" i="2"/>
  <c r="AJ20" i="2"/>
  <c r="AJ23" i="2" s="1"/>
  <c r="Z25" i="2"/>
  <c r="AH25" i="2"/>
  <c r="AB26" i="2"/>
  <c r="AJ26" i="2"/>
  <c r="AB30" i="2"/>
  <c r="AJ30" i="2"/>
  <c r="AJ32" i="2" s="1"/>
  <c r="AD31" i="2"/>
  <c r="K33" i="2"/>
  <c r="K34" i="2" s="1"/>
  <c r="AD35" i="2"/>
  <c r="X36" i="2"/>
  <c r="AF36" i="2"/>
  <c r="I38" i="2"/>
  <c r="I39" i="2" s="1"/>
  <c r="Q38" i="2"/>
  <c r="Q39" i="2" s="1"/>
  <c r="AA40" i="2"/>
  <c r="Y41" i="2"/>
  <c r="AI41" i="2"/>
  <c r="H43" i="2"/>
  <c r="H44" i="2" s="1"/>
  <c r="AL44" i="2"/>
  <c r="AG45" i="2"/>
  <c r="AC46" i="2"/>
  <c r="N48" i="2"/>
  <c r="N49" i="2" s="1"/>
  <c r="AI50" i="2"/>
  <c r="E52" i="2"/>
  <c r="Q53" i="2"/>
  <c r="Y55" i="2"/>
  <c r="Y56" i="2"/>
  <c r="AI56" i="2"/>
  <c r="J57" i="2"/>
  <c r="P58" i="2"/>
  <c r="P59" i="2" s="1"/>
  <c r="AL59" i="2"/>
  <c r="AG60" i="2"/>
  <c r="AI61" i="2"/>
  <c r="Y66" i="2"/>
  <c r="G67" i="2"/>
  <c r="AL69" i="2"/>
  <c r="M95" i="2"/>
  <c r="AA71" i="2"/>
  <c r="J73" i="2"/>
  <c r="J74" i="2" s="1"/>
  <c r="AA75" i="2"/>
  <c r="AG76" i="2"/>
  <c r="AB80" i="2"/>
  <c r="AD81" i="2"/>
  <c r="E83" i="2"/>
  <c r="E84" i="2" s="1"/>
  <c r="Y86" i="2"/>
  <c r="H88" i="2"/>
  <c r="H89" i="2" s="1"/>
  <c r="AG90" i="2"/>
  <c r="K145" i="2"/>
  <c r="AA10" i="2"/>
  <c r="AA13" i="2" s="1"/>
  <c r="AH15" i="2"/>
  <c r="AC16" i="2"/>
  <c r="P17" i="2"/>
  <c r="X21" i="2"/>
  <c r="X23" i="2" s="1"/>
  <c r="AF21" i="2"/>
  <c r="E23" i="2"/>
  <c r="E24" i="2" s="1"/>
  <c r="AB25" i="2"/>
  <c r="AB28" i="2" s="1"/>
  <c r="AJ25" i="2"/>
  <c r="AJ28" i="2" s="1"/>
  <c r="AD26" i="2"/>
  <c r="G28" i="2"/>
  <c r="G29" i="2" s="1"/>
  <c r="AD30" i="2"/>
  <c r="AD33" i="2" s="1"/>
  <c r="X31" i="2"/>
  <c r="AF31" i="2"/>
  <c r="M33" i="2"/>
  <c r="M34" i="2" s="1"/>
  <c r="X35" i="2"/>
  <c r="X38" i="2" s="1"/>
  <c r="AF35" i="2"/>
  <c r="AF38" i="2" s="1"/>
  <c r="Z36" i="2"/>
  <c r="AH36" i="2"/>
  <c r="K38" i="2"/>
  <c r="K39" i="2" s="1"/>
  <c r="AC40" i="2"/>
  <c r="AA41" i="2"/>
  <c r="J43" i="2"/>
  <c r="J44" i="2" s="1"/>
  <c r="Y45" i="2"/>
  <c r="AI45" i="2"/>
  <c r="AG46" i="2"/>
  <c r="AA50" i="2"/>
  <c r="AA51" i="2"/>
  <c r="AA55" i="2"/>
  <c r="AB56" i="2"/>
  <c r="O57" i="2"/>
  <c r="Y60" i="2"/>
  <c r="AI60" i="2"/>
  <c r="M62" i="2"/>
  <c r="H62" i="2"/>
  <c r="J63" i="2"/>
  <c r="J64" i="2" s="1"/>
  <c r="AA65" i="2"/>
  <c r="AC66" i="2"/>
  <c r="Y70" i="2"/>
  <c r="AI71" i="2"/>
  <c r="N73" i="2"/>
  <c r="N74" i="2" s="1"/>
  <c r="AI75" i="2"/>
  <c r="AF80" i="2"/>
  <c r="AH81" i="2"/>
  <c r="I83" i="2"/>
  <c r="I84" i="2" s="1"/>
  <c r="AC86" i="2"/>
  <c r="P88" i="2"/>
  <c r="P89" i="2" s="1"/>
  <c r="AA91" i="2"/>
  <c r="AJ91" i="2"/>
  <c r="F93" i="2"/>
  <c r="F94" i="2" s="1"/>
  <c r="AC10" i="2"/>
  <c r="AC12" i="2" s="1"/>
  <c r="R15" i="2"/>
  <c r="AD16" i="2"/>
  <c r="G18" i="2"/>
  <c r="G19" i="2" s="1"/>
  <c r="AD20" i="2"/>
  <c r="AH21" i="2"/>
  <c r="AL24" i="2"/>
  <c r="AD25" i="2"/>
  <c r="X26" i="2"/>
  <c r="AF26" i="2"/>
  <c r="K28" i="2"/>
  <c r="K29" i="2" s="1"/>
  <c r="X30" i="2"/>
  <c r="AF30" i="2"/>
  <c r="Z31" i="2"/>
  <c r="AH31" i="2"/>
  <c r="E33" i="2"/>
  <c r="E34" i="2" s="1"/>
  <c r="O33" i="2"/>
  <c r="O34" i="2" s="1"/>
  <c r="Z35" i="2"/>
  <c r="AH35" i="2"/>
  <c r="AB36" i="2"/>
  <c r="AJ36" i="2"/>
  <c r="E38" i="2"/>
  <c r="E39" i="2" s="1"/>
  <c r="M38" i="2"/>
  <c r="M39" i="2" s="1"/>
  <c r="AL39" i="2"/>
  <c r="AG40" i="2"/>
  <c r="AG43" i="2" s="1"/>
  <c r="AC41" i="2"/>
  <c r="N43" i="2"/>
  <c r="N44" i="2" s="1"/>
  <c r="AA45" i="2"/>
  <c r="Y46" i="2"/>
  <c r="AI46" i="2"/>
  <c r="F48" i="2"/>
  <c r="F49" i="2" s="1"/>
  <c r="F53" i="2"/>
  <c r="F54" i="2" s="1"/>
  <c r="AC51" i="2"/>
  <c r="AC53" i="2" s="1"/>
  <c r="P52" i="2"/>
  <c r="AI55" i="2"/>
  <c r="AC56" i="2"/>
  <c r="AA60" i="2"/>
  <c r="Z61" i="2"/>
  <c r="N63" i="2"/>
  <c r="N64" i="2" s="1"/>
  <c r="AG65" i="2"/>
  <c r="AG67" i="2" s="1"/>
  <c r="AG66" i="2"/>
  <c r="AC70" i="2"/>
  <c r="I78" i="2"/>
  <c r="I79" i="2" s="1"/>
  <c r="Y76" i="2"/>
  <c r="M78" i="2"/>
  <c r="M79" i="2" s="1"/>
  <c r="AJ80" i="2"/>
  <c r="M83" i="2"/>
  <c r="M84" i="2" s="1"/>
  <c r="AA85" i="2"/>
  <c r="AG86" i="2"/>
  <c r="Y90" i="2"/>
  <c r="AB91" i="2"/>
  <c r="AG10" i="2"/>
  <c r="AG12" i="2" s="1"/>
  <c r="Z15" i="2"/>
  <c r="Z18" i="2" s="1"/>
  <c r="X16" i="2"/>
  <c r="X18" i="2" s="1"/>
  <c r="AH16" i="2"/>
  <c r="O18" i="2"/>
  <c r="O19" i="2" s="1"/>
  <c r="AH20" i="2"/>
  <c r="AB21" i="2"/>
  <c r="AB23" i="2" s="1"/>
  <c r="AJ21" i="2"/>
  <c r="X25" i="2"/>
  <c r="X28" i="2" s="1"/>
  <c r="AF25" i="2"/>
  <c r="AF28" i="2" s="1"/>
  <c r="Z26" i="2"/>
  <c r="AH26" i="2"/>
  <c r="O28" i="2"/>
  <c r="O29" i="2" s="1"/>
  <c r="Z30" i="2"/>
  <c r="AH30" i="2"/>
  <c r="AH33" i="2" s="1"/>
  <c r="AB31" i="2"/>
  <c r="I33" i="2"/>
  <c r="I34" i="2" s="1"/>
  <c r="Q33" i="2"/>
  <c r="AB35" i="2"/>
  <c r="AB38" i="2" s="1"/>
  <c r="AJ35" i="2"/>
  <c r="AJ38" i="2" s="1"/>
  <c r="AD36" i="2"/>
  <c r="G38" i="2"/>
  <c r="G39" i="2" s="1"/>
  <c r="O38" i="2"/>
  <c r="O39" i="2" s="1"/>
  <c r="Y40" i="2"/>
  <c r="Y43" i="2" s="1"/>
  <c r="AI40" i="2"/>
  <c r="P43" i="2"/>
  <c r="P44" i="2" s="1"/>
  <c r="AC45" i="2"/>
  <c r="AC48" i="2" s="1"/>
  <c r="AA46" i="2"/>
  <c r="J48" i="2"/>
  <c r="J49" i="2" s="1"/>
  <c r="AG50" i="2"/>
  <c r="AI51" i="2"/>
  <c r="X56" i="2"/>
  <c r="AG56" i="2"/>
  <c r="F57" i="2"/>
  <c r="F58" i="2"/>
  <c r="F59" i="2" s="1"/>
  <c r="AC60" i="2"/>
  <c r="AA61" i="2"/>
  <c r="P62" i="2"/>
  <c r="P63" i="2"/>
  <c r="P64" i="2" s="1"/>
  <c r="AI65" i="2"/>
  <c r="H68" i="2"/>
  <c r="H69" i="2" s="1"/>
  <c r="AJ66" i="2"/>
  <c r="AG70" i="2"/>
  <c r="F73" i="2"/>
  <c r="F74" i="2" s="1"/>
  <c r="AC76" i="2"/>
  <c r="Q78" i="2"/>
  <c r="Q79" i="2" s="1"/>
  <c r="X80" i="2"/>
  <c r="Z81" i="2"/>
  <c r="Q83" i="2"/>
  <c r="AC90" i="2"/>
  <c r="K93" i="2"/>
  <c r="K94" i="2" s="1"/>
  <c r="AF91" i="2"/>
  <c r="J92" i="2"/>
  <c r="K138" i="2"/>
  <c r="AJ12" i="2"/>
  <c r="AJ13" i="2"/>
  <c r="O105" i="2"/>
  <c r="O118" i="2"/>
  <c r="I119" i="2"/>
  <c r="I106" i="2"/>
  <c r="K12" i="2"/>
  <c r="AA12" i="2"/>
  <c r="J123" i="2"/>
  <c r="J18" i="2"/>
  <c r="J19" i="2" s="1"/>
  <c r="AC15" i="2"/>
  <c r="J128" i="2"/>
  <c r="J22" i="2"/>
  <c r="J23" i="2"/>
  <c r="J24" i="2" s="1"/>
  <c r="R20" i="2"/>
  <c r="F133" i="2"/>
  <c r="L25" i="2"/>
  <c r="F28" i="2"/>
  <c r="F29" i="2" s="1"/>
  <c r="Y25" i="2"/>
  <c r="Z33" i="2"/>
  <c r="G163" i="2"/>
  <c r="G57" i="2"/>
  <c r="G58" i="2"/>
  <c r="G59" i="2" s="1"/>
  <c r="Z55" i="2"/>
  <c r="E168" i="2"/>
  <c r="E62" i="2"/>
  <c r="X60" i="2"/>
  <c r="E63" i="2"/>
  <c r="E64" i="2" s="1"/>
  <c r="L60" i="2"/>
  <c r="E105" i="2"/>
  <c r="E118" i="2"/>
  <c r="M105" i="2"/>
  <c r="M118" i="2"/>
  <c r="G106" i="2"/>
  <c r="G119" i="2"/>
  <c r="O119" i="2"/>
  <c r="O106" i="2"/>
  <c r="E12" i="2"/>
  <c r="M12" i="2"/>
  <c r="Q12" i="2"/>
  <c r="AI13" i="2"/>
  <c r="F118" i="2"/>
  <c r="F105" i="2"/>
  <c r="J118" i="2"/>
  <c r="J105" i="2"/>
  <c r="N118" i="2"/>
  <c r="N105" i="2"/>
  <c r="R10" i="2"/>
  <c r="AD10" i="2"/>
  <c r="AH10" i="2"/>
  <c r="H106" i="2"/>
  <c r="H119" i="2"/>
  <c r="L11" i="2"/>
  <c r="S11" i="2" s="1"/>
  <c r="P106" i="2"/>
  <c r="P119" i="2"/>
  <c r="AB11" i="2"/>
  <c r="AB12" i="2" s="1"/>
  <c r="AF11" i="2"/>
  <c r="F12" i="2"/>
  <c r="J12" i="2"/>
  <c r="N12" i="2"/>
  <c r="E13" i="2"/>
  <c r="E14" i="2" s="1"/>
  <c r="I13" i="2"/>
  <c r="I14" i="2" s="1"/>
  <c r="M13" i="2"/>
  <c r="M14" i="2" s="1"/>
  <c r="Q13" i="2"/>
  <c r="E123" i="2"/>
  <c r="E17" i="2"/>
  <c r="I123" i="2"/>
  <c r="I17" i="2"/>
  <c r="M123" i="2"/>
  <c r="M17" i="2"/>
  <c r="Q123" i="2"/>
  <c r="Q17" i="2"/>
  <c r="AD15" i="2"/>
  <c r="AI15" i="2"/>
  <c r="R16" i="2"/>
  <c r="AB16" i="2"/>
  <c r="AB18" i="2" s="1"/>
  <c r="AG16" i="2"/>
  <c r="J17" i="2"/>
  <c r="O17" i="2"/>
  <c r="X17" i="2"/>
  <c r="E18" i="2"/>
  <c r="E19" i="2" s="1"/>
  <c r="K18" i="2"/>
  <c r="K19" i="2" s="1"/>
  <c r="P18" i="2"/>
  <c r="P19" i="2" s="1"/>
  <c r="E128" i="2"/>
  <c r="E22" i="2"/>
  <c r="I128" i="2"/>
  <c r="I22" i="2"/>
  <c r="M128" i="2"/>
  <c r="M22" i="2"/>
  <c r="Q128" i="2"/>
  <c r="Q22" i="2"/>
  <c r="Z23" i="2"/>
  <c r="Z22" i="2"/>
  <c r="AF20" i="2"/>
  <c r="G129" i="2"/>
  <c r="G23" i="2"/>
  <c r="G24" i="2" s="1"/>
  <c r="K129" i="2"/>
  <c r="K23" i="2"/>
  <c r="K24" i="2" s="1"/>
  <c r="AB22" i="2"/>
  <c r="I23" i="2"/>
  <c r="I24" i="2" s="1"/>
  <c r="N133" i="2"/>
  <c r="N28" i="2"/>
  <c r="N29" i="2" s="1"/>
  <c r="AG25" i="2"/>
  <c r="R25" i="2"/>
  <c r="H134" i="2"/>
  <c r="AA26" i="2"/>
  <c r="L26" i="2"/>
  <c r="P134" i="2"/>
  <c r="AI26" i="2"/>
  <c r="F139" i="2"/>
  <c r="L31" i="2"/>
  <c r="Y31" i="2"/>
  <c r="J139" i="2"/>
  <c r="AC31" i="2"/>
  <c r="AB32" i="2"/>
  <c r="AJ33" i="2"/>
  <c r="AD37" i="2"/>
  <c r="E153" i="2"/>
  <c r="E48" i="2"/>
  <c r="E49" i="2" s="1"/>
  <c r="X45" i="2"/>
  <c r="L45" i="2"/>
  <c r="I153" i="2"/>
  <c r="I48" i="2"/>
  <c r="I49" i="2" s="1"/>
  <c r="AB45" i="2"/>
  <c r="G154" i="2"/>
  <c r="L154" i="2" s="1"/>
  <c r="G96" i="2"/>
  <c r="G111" i="2" s="1"/>
  <c r="Z46" i="2"/>
  <c r="K154" i="2"/>
  <c r="AD46" i="2"/>
  <c r="G158" i="2"/>
  <c r="G53" i="2"/>
  <c r="G54" i="2" s="1"/>
  <c r="G52" i="2"/>
  <c r="Z50" i="2"/>
  <c r="K158" i="2"/>
  <c r="K53" i="2"/>
  <c r="K54" i="2" s="1"/>
  <c r="AD50" i="2"/>
  <c r="AA53" i="2"/>
  <c r="AA52" i="2"/>
  <c r="AI53" i="2"/>
  <c r="AI52" i="2"/>
  <c r="R51" i="2"/>
  <c r="AH51" i="2"/>
  <c r="M168" i="2"/>
  <c r="R60" i="2"/>
  <c r="M63" i="2"/>
  <c r="M64" i="2" s="1"/>
  <c r="Q168" i="2"/>
  <c r="Q63" i="2"/>
  <c r="Q62" i="2"/>
  <c r="AJ60" i="2"/>
  <c r="AF60" i="2"/>
  <c r="AG68" i="2"/>
  <c r="G178" i="2"/>
  <c r="G72" i="2"/>
  <c r="G73" i="2"/>
  <c r="G74" i="2" s="1"/>
  <c r="Z70" i="2"/>
  <c r="K178" i="2"/>
  <c r="K72" i="2"/>
  <c r="K73" i="2"/>
  <c r="K74" i="2" s="1"/>
  <c r="AD70" i="2"/>
  <c r="AG77" i="2"/>
  <c r="AG78" i="2"/>
  <c r="G118" i="2"/>
  <c r="G105" i="2"/>
  <c r="E106" i="2"/>
  <c r="E119" i="2"/>
  <c r="Q106" i="2"/>
  <c r="Q119" i="2"/>
  <c r="G12" i="2"/>
  <c r="F123" i="2"/>
  <c r="F18" i="2"/>
  <c r="F19" i="2" s="1"/>
  <c r="F17" i="2"/>
  <c r="Z17" i="2"/>
  <c r="N128" i="2"/>
  <c r="N22" i="2"/>
  <c r="N23" i="2"/>
  <c r="N24" i="2" s="1"/>
  <c r="J133" i="2"/>
  <c r="J28" i="2"/>
  <c r="J29" i="2" s="1"/>
  <c r="AC25" i="2"/>
  <c r="F27" i="2"/>
  <c r="I168" i="2"/>
  <c r="I62" i="2"/>
  <c r="AB60" i="2"/>
  <c r="M99" i="2"/>
  <c r="F189" i="2"/>
  <c r="F96" i="2"/>
  <c r="Y81" i="2"/>
  <c r="J189" i="2"/>
  <c r="J96" i="2"/>
  <c r="AC81" i="2"/>
  <c r="E194" i="2"/>
  <c r="X86" i="2"/>
  <c r="L86" i="2"/>
  <c r="I194" i="2"/>
  <c r="AB86" i="2"/>
  <c r="H118" i="2"/>
  <c r="H105" i="2"/>
  <c r="L10" i="2"/>
  <c r="L13" i="2" s="1"/>
  <c r="P105" i="2"/>
  <c r="P118" i="2"/>
  <c r="X10" i="2"/>
  <c r="AF10" i="2"/>
  <c r="F119" i="2"/>
  <c r="F106" i="2"/>
  <c r="J119" i="2"/>
  <c r="J106" i="2"/>
  <c r="N119" i="2"/>
  <c r="N106" i="2"/>
  <c r="Z11" i="2"/>
  <c r="Z12" i="2" s="1"/>
  <c r="AH11" i="2"/>
  <c r="H12" i="2"/>
  <c r="P12" i="2"/>
  <c r="G13" i="2"/>
  <c r="G14" i="2" s="1"/>
  <c r="O13" i="2"/>
  <c r="O14" i="2" s="1"/>
  <c r="G126" i="2"/>
  <c r="G127" i="2" s="1"/>
  <c r="G125" i="2"/>
  <c r="K126" i="2"/>
  <c r="K127" i="2" s="1"/>
  <c r="K125" i="2"/>
  <c r="O125" i="2"/>
  <c r="O126" i="2"/>
  <c r="O127" i="2" s="1"/>
  <c r="AA15" i="2"/>
  <c r="AE15" i="2" s="1"/>
  <c r="AF15" i="2"/>
  <c r="H124" i="2"/>
  <c r="AA16" i="2"/>
  <c r="L16" i="2"/>
  <c r="P124" i="2"/>
  <c r="P126" i="2" s="1"/>
  <c r="P127" i="2" s="1"/>
  <c r="AI16" i="2"/>
  <c r="Y16" i="2"/>
  <c r="Y18" i="2" s="1"/>
  <c r="AJ16" i="2"/>
  <c r="AJ17" i="2" s="1"/>
  <c r="G17" i="2"/>
  <c r="H18" i="2"/>
  <c r="H19" i="2" s="1"/>
  <c r="M18" i="2"/>
  <c r="M19" i="2" s="1"/>
  <c r="O131" i="2"/>
  <c r="O132" i="2" s="1"/>
  <c r="O130" i="2"/>
  <c r="AC20" i="2"/>
  <c r="AH23" i="2"/>
  <c r="AH22" i="2"/>
  <c r="AJ22" i="2"/>
  <c r="J27" i="2"/>
  <c r="H138" i="2"/>
  <c r="H33" i="2"/>
  <c r="H34" i="2" s="1"/>
  <c r="AA30" i="2"/>
  <c r="L30" i="2"/>
  <c r="P138" i="2"/>
  <c r="P33" i="2"/>
  <c r="P34" i="2" s="1"/>
  <c r="AI30" i="2"/>
  <c r="P32" i="2"/>
  <c r="I146" i="2"/>
  <c r="I147" i="2" s="1"/>
  <c r="I145" i="2"/>
  <c r="N143" i="2"/>
  <c r="N38" i="2"/>
  <c r="N39" i="2" s="1"/>
  <c r="AG35" i="2"/>
  <c r="R35" i="2"/>
  <c r="H144" i="2"/>
  <c r="AA36" i="2"/>
  <c r="L36" i="2"/>
  <c r="P144" i="2"/>
  <c r="AI36" i="2"/>
  <c r="G148" i="2"/>
  <c r="G43" i="2"/>
  <c r="G44" i="2" s="1"/>
  <c r="Z40" i="2"/>
  <c r="K148" i="2"/>
  <c r="K43" i="2"/>
  <c r="K44" i="2" s="1"/>
  <c r="AD40" i="2"/>
  <c r="M149" i="2"/>
  <c r="R41" i="2"/>
  <c r="AF41" i="2"/>
  <c r="Q149" i="2"/>
  <c r="AJ41" i="2"/>
  <c r="K42" i="2"/>
  <c r="AC47" i="2"/>
  <c r="F159" i="2"/>
  <c r="Y51" i="2"/>
  <c r="AA63" i="2"/>
  <c r="AA62" i="2"/>
  <c r="I63" i="2"/>
  <c r="I64" i="2" s="1"/>
  <c r="O179" i="2"/>
  <c r="AH71" i="2"/>
  <c r="O96" i="2"/>
  <c r="O111" i="2" s="1"/>
  <c r="K105" i="2"/>
  <c r="K118" i="2"/>
  <c r="M119" i="2"/>
  <c r="M106" i="2"/>
  <c r="O12" i="2"/>
  <c r="N123" i="2"/>
  <c r="N18" i="2"/>
  <c r="N19" i="2" s="1"/>
  <c r="AG15" i="2"/>
  <c r="F128" i="2"/>
  <c r="F22" i="2"/>
  <c r="F23" i="2"/>
  <c r="F24" i="2" s="1"/>
  <c r="H129" i="2"/>
  <c r="AA21" i="2"/>
  <c r="L21" i="2"/>
  <c r="O148" i="2"/>
  <c r="O43" i="2"/>
  <c r="O44" i="2" s="1"/>
  <c r="AH40" i="2"/>
  <c r="K163" i="2"/>
  <c r="K57" i="2"/>
  <c r="AD55" i="2"/>
  <c r="I105" i="2"/>
  <c r="I118" i="2"/>
  <c r="Q105" i="2"/>
  <c r="Q118" i="2"/>
  <c r="K106" i="2"/>
  <c r="K119" i="2"/>
  <c r="I12" i="2"/>
  <c r="H126" i="2"/>
  <c r="H127" i="2" s="1"/>
  <c r="H125" i="2"/>
  <c r="L15" i="2"/>
  <c r="L18" i="2" s="1"/>
  <c r="L124" i="2"/>
  <c r="R124" i="2"/>
  <c r="AF16" i="2"/>
  <c r="AK16" i="2" s="1"/>
  <c r="H17" i="2"/>
  <c r="N17" i="2"/>
  <c r="AB17" i="2"/>
  <c r="AH17" i="2"/>
  <c r="I18" i="2"/>
  <c r="I19" i="2" s="1"/>
  <c r="H128" i="2"/>
  <c r="H23" i="2"/>
  <c r="H24" i="2" s="1"/>
  <c r="AA20" i="2"/>
  <c r="L20" i="2"/>
  <c r="P128" i="2"/>
  <c r="P23" i="2"/>
  <c r="P24" i="2" s="1"/>
  <c r="AI20" i="2"/>
  <c r="Y20" i="2"/>
  <c r="AD23" i="2"/>
  <c r="AD22" i="2"/>
  <c r="F129" i="2"/>
  <c r="Y21" i="2"/>
  <c r="J129" i="2"/>
  <c r="AC21" i="2"/>
  <c r="N129" i="2"/>
  <c r="R129" i="2" s="1"/>
  <c r="AG21" i="2"/>
  <c r="AG22" i="2" s="1"/>
  <c r="R21" i="2"/>
  <c r="N139" i="2"/>
  <c r="AG31" i="2"/>
  <c r="R31" i="2"/>
  <c r="S31" i="2" s="1"/>
  <c r="F143" i="2"/>
  <c r="L35" i="2"/>
  <c r="L38" i="2" s="1"/>
  <c r="F38" i="2"/>
  <c r="F39" i="2" s="1"/>
  <c r="Y35" i="2"/>
  <c r="J143" i="2"/>
  <c r="J38" i="2"/>
  <c r="J39" i="2" s="1"/>
  <c r="AC35" i="2"/>
  <c r="F37" i="2"/>
  <c r="AC43" i="2"/>
  <c r="E149" i="2"/>
  <c r="X41" i="2"/>
  <c r="L41" i="2"/>
  <c r="I149" i="2"/>
  <c r="AB41" i="2"/>
  <c r="O42" i="2"/>
  <c r="M153" i="2"/>
  <c r="R45" i="2"/>
  <c r="M48" i="2"/>
  <c r="M49" i="2" s="1"/>
  <c r="AF45" i="2"/>
  <c r="Q153" i="2"/>
  <c r="Q48" i="2"/>
  <c r="AJ45" i="2"/>
  <c r="O154" i="2"/>
  <c r="R154" i="2" s="1"/>
  <c r="S154" i="2" s="1"/>
  <c r="AH46" i="2"/>
  <c r="M47" i="2"/>
  <c r="AG47" i="2"/>
  <c r="O158" i="2"/>
  <c r="O53" i="2"/>
  <c r="O54" i="2" s="1"/>
  <c r="O52" i="2"/>
  <c r="AH50" i="2"/>
  <c r="K58" i="2"/>
  <c r="K59" i="2" s="1"/>
  <c r="M169" i="2"/>
  <c r="R169" i="2" s="1"/>
  <c r="AF61" i="2"/>
  <c r="R61" i="2"/>
  <c r="Q169" i="2"/>
  <c r="AJ61" i="2"/>
  <c r="E173" i="2"/>
  <c r="E68" i="2"/>
  <c r="E69" i="2" s="1"/>
  <c r="X65" i="2"/>
  <c r="L65" i="2"/>
  <c r="E67" i="2"/>
  <c r="E95" i="2"/>
  <c r="I173" i="2"/>
  <c r="I68" i="2"/>
  <c r="I69" i="2" s="1"/>
  <c r="AB65" i="2"/>
  <c r="I67" i="2"/>
  <c r="N173" i="2"/>
  <c r="N67" i="2"/>
  <c r="R65" i="2"/>
  <c r="H174" i="2"/>
  <c r="AA66" i="2"/>
  <c r="L66" i="2"/>
  <c r="P174" i="2"/>
  <c r="P176" i="2" s="1"/>
  <c r="P177" i="2" s="1"/>
  <c r="P68" i="2"/>
  <c r="P69" i="2" s="1"/>
  <c r="AI66" i="2"/>
  <c r="AI68" i="2" s="1"/>
  <c r="O178" i="2"/>
  <c r="O72" i="2"/>
  <c r="O73" i="2"/>
  <c r="O74" i="2" s="1"/>
  <c r="AH70" i="2"/>
  <c r="E184" i="2"/>
  <c r="X76" i="2"/>
  <c r="L76" i="2"/>
  <c r="E78" i="2"/>
  <c r="E79" i="2" s="1"/>
  <c r="I184" i="2"/>
  <c r="AB76" i="2"/>
  <c r="G131" i="2"/>
  <c r="G132" i="2" s="1"/>
  <c r="G130" i="2"/>
  <c r="K131" i="2"/>
  <c r="K132" i="2" s="1"/>
  <c r="K130" i="2"/>
  <c r="G22" i="2"/>
  <c r="K22" i="2"/>
  <c r="O22" i="2"/>
  <c r="L133" i="2"/>
  <c r="E135" i="2"/>
  <c r="E136" i="2"/>
  <c r="E137" i="2" s="1"/>
  <c r="I136" i="2"/>
  <c r="I137" i="2" s="1"/>
  <c r="M135" i="2"/>
  <c r="M136" i="2"/>
  <c r="M137" i="2" s="1"/>
  <c r="Q135" i="2"/>
  <c r="Q136" i="2"/>
  <c r="E27" i="2"/>
  <c r="I27" i="2"/>
  <c r="M27" i="2"/>
  <c r="Q27" i="2"/>
  <c r="G141" i="2"/>
  <c r="G142" i="2" s="1"/>
  <c r="G140" i="2"/>
  <c r="O140" i="2"/>
  <c r="O141" i="2"/>
  <c r="O142" i="2" s="1"/>
  <c r="L139" i="2"/>
  <c r="R139" i="2"/>
  <c r="S139" i="2" s="1"/>
  <c r="G32" i="2"/>
  <c r="O32" i="2"/>
  <c r="E146" i="2"/>
  <c r="E147" i="2" s="1"/>
  <c r="E145" i="2"/>
  <c r="L143" i="2"/>
  <c r="M146" i="2"/>
  <c r="M147" i="2" s="1"/>
  <c r="R143" i="2"/>
  <c r="M145" i="2"/>
  <c r="Q146" i="2"/>
  <c r="Q145" i="2"/>
  <c r="E37" i="2"/>
  <c r="I37" i="2"/>
  <c r="M37" i="2"/>
  <c r="Q37" i="2"/>
  <c r="F151" i="2"/>
  <c r="F152" i="2" s="1"/>
  <c r="F150" i="2"/>
  <c r="J151" i="2"/>
  <c r="J152" i="2" s="1"/>
  <c r="J150" i="2"/>
  <c r="N151" i="2"/>
  <c r="N152" i="2" s="1"/>
  <c r="N150" i="2"/>
  <c r="R40" i="2"/>
  <c r="F42" i="2"/>
  <c r="J42" i="2"/>
  <c r="N42" i="2"/>
  <c r="H156" i="2"/>
  <c r="H157" i="2" s="1"/>
  <c r="H155" i="2"/>
  <c r="P156" i="2"/>
  <c r="P157" i="2" s="1"/>
  <c r="P155" i="2"/>
  <c r="R46" i="2"/>
  <c r="H47" i="2"/>
  <c r="P47" i="2"/>
  <c r="F158" i="2"/>
  <c r="F52" i="2"/>
  <c r="J158" i="2"/>
  <c r="J52" i="2"/>
  <c r="N158" i="2"/>
  <c r="N52" i="2"/>
  <c r="R50" i="2"/>
  <c r="E159" i="2"/>
  <c r="X51" i="2"/>
  <c r="L51" i="2"/>
  <c r="AB51" i="2"/>
  <c r="I159" i="2"/>
  <c r="I161" i="2" s="1"/>
  <c r="I162" i="2" s="1"/>
  <c r="AG51" i="2"/>
  <c r="AG53" i="2" s="1"/>
  <c r="I52" i="2"/>
  <c r="AC52" i="2"/>
  <c r="E53" i="2"/>
  <c r="E54" i="2" s="1"/>
  <c r="J53" i="2"/>
  <c r="J54" i="2" s="1"/>
  <c r="P53" i="2"/>
  <c r="P54" i="2" s="1"/>
  <c r="F165" i="2"/>
  <c r="F166" i="2"/>
  <c r="F167" i="2" s="1"/>
  <c r="J165" i="2"/>
  <c r="J166" i="2"/>
  <c r="J167" i="2" s="1"/>
  <c r="AC55" i="2"/>
  <c r="AH55" i="2"/>
  <c r="M164" i="2"/>
  <c r="R56" i="2"/>
  <c r="AA56" i="2"/>
  <c r="AA58" i="2" s="1"/>
  <c r="AF56" i="2"/>
  <c r="N57" i="2"/>
  <c r="J58" i="2"/>
  <c r="J59" i="2" s="1"/>
  <c r="O58" i="2"/>
  <c r="O59" i="2" s="1"/>
  <c r="H171" i="2"/>
  <c r="H172" i="2" s="1"/>
  <c r="H170" i="2"/>
  <c r="P171" i="2"/>
  <c r="P172" i="2" s="1"/>
  <c r="P170" i="2"/>
  <c r="Y61" i="2"/>
  <c r="AD61" i="2"/>
  <c r="H63" i="2"/>
  <c r="H64" i="2" s="1"/>
  <c r="AL64" i="2"/>
  <c r="M173" i="2"/>
  <c r="M68" i="2"/>
  <c r="M69" i="2" s="1"/>
  <c r="AF65" i="2"/>
  <c r="Q173" i="2"/>
  <c r="Q68" i="2"/>
  <c r="AJ65" i="2"/>
  <c r="Z65" i="2"/>
  <c r="G174" i="2"/>
  <c r="Z66" i="2"/>
  <c r="K174" i="2"/>
  <c r="K175" i="2" s="1"/>
  <c r="AD66" i="2"/>
  <c r="O174" i="2"/>
  <c r="AH66" i="2"/>
  <c r="X66" i="2"/>
  <c r="F67" i="2"/>
  <c r="K67" i="2"/>
  <c r="Q67" i="2"/>
  <c r="G68" i="2"/>
  <c r="G69" i="2" s="1"/>
  <c r="E72" i="2"/>
  <c r="M184" i="2"/>
  <c r="R76" i="2"/>
  <c r="S76" i="2" s="1"/>
  <c r="AF76" i="2"/>
  <c r="Q184" i="2"/>
  <c r="AJ76" i="2"/>
  <c r="N189" i="2"/>
  <c r="N96" i="2"/>
  <c r="N111" i="2" s="1"/>
  <c r="AG81" i="2"/>
  <c r="R81" i="2"/>
  <c r="M194" i="2"/>
  <c r="R86" i="2"/>
  <c r="S86" i="2" s="1"/>
  <c r="AF86" i="2"/>
  <c r="Q194" i="2"/>
  <c r="AJ86" i="2"/>
  <c r="AH93" i="2"/>
  <c r="AH92" i="2"/>
  <c r="O199" i="2"/>
  <c r="O93" i="2"/>
  <c r="O94" i="2" s="1"/>
  <c r="O136" i="2"/>
  <c r="O137" i="2" s="1"/>
  <c r="G199" i="2"/>
  <c r="Z91" i="2"/>
  <c r="K199" i="2"/>
  <c r="AD91" i="2"/>
  <c r="AD92" i="2" s="1"/>
  <c r="K140" i="2"/>
  <c r="K141" i="2"/>
  <c r="K142" i="2" s="1"/>
  <c r="AI21" i="2"/>
  <c r="G135" i="2"/>
  <c r="G136" i="2"/>
  <c r="G137" i="2" s="1"/>
  <c r="K135" i="2"/>
  <c r="K136" i="2"/>
  <c r="K137" i="2" s="1"/>
  <c r="AA25" i="2"/>
  <c r="AI25" i="2"/>
  <c r="L134" i="2"/>
  <c r="R134" i="2"/>
  <c r="S134" i="2" s="1"/>
  <c r="Y26" i="2"/>
  <c r="AC26" i="2"/>
  <c r="AG26" i="2"/>
  <c r="AK26" i="2" s="1"/>
  <c r="G27" i="2"/>
  <c r="K27" i="2"/>
  <c r="O27" i="2"/>
  <c r="H28" i="2"/>
  <c r="H29" i="2" s="1"/>
  <c r="P28" i="2"/>
  <c r="P29" i="2" s="1"/>
  <c r="E141" i="2"/>
  <c r="E142" i="2" s="1"/>
  <c r="E140" i="2"/>
  <c r="L138" i="2"/>
  <c r="L141" i="2" s="1"/>
  <c r="I141" i="2"/>
  <c r="I142" i="2" s="1"/>
  <c r="I140" i="2"/>
  <c r="M141" i="2"/>
  <c r="M142" i="2" s="1"/>
  <c r="R138" i="2"/>
  <c r="M140" i="2"/>
  <c r="Q141" i="2"/>
  <c r="Q140" i="2"/>
  <c r="Y30" i="2"/>
  <c r="AC30" i="2"/>
  <c r="AG30" i="2"/>
  <c r="AA31" i="2"/>
  <c r="AE31" i="2" s="1"/>
  <c r="AI31" i="2"/>
  <c r="E32" i="2"/>
  <c r="I32" i="2"/>
  <c r="M32" i="2"/>
  <c r="Q32" i="2"/>
  <c r="F33" i="2"/>
  <c r="F34" i="2" s="1"/>
  <c r="J33" i="2"/>
  <c r="J34" i="2" s="1"/>
  <c r="N33" i="2"/>
  <c r="N34" i="2" s="1"/>
  <c r="G145" i="2"/>
  <c r="G146" i="2"/>
  <c r="G147" i="2" s="1"/>
  <c r="O145" i="2"/>
  <c r="O146" i="2"/>
  <c r="O147" i="2" s="1"/>
  <c r="AA35" i="2"/>
  <c r="AE35" i="2"/>
  <c r="AI35" i="2"/>
  <c r="AK35" i="2" s="1"/>
  <c r="L144" i="2"/>
  <c r="R144" i="2"/>
  <c r="Y36" i="2"/>
  <c r="AE36" i="2" s="1"/>
  <c r="AC36" i="2"/>
  <c r="AG36" i="2"/>
  <c r="AK36" i="2" s="1"/>
  <c r="AL36" i="2" s="1"/>
  <c r="G37" i="2"/>
  <c r="K37" i="2"/>
  <c r="O37" i="2"/>
  <c r="H38" i="2"/>
  <c r="H39" i="2" s="1"/>
  <c r="P38" i="2"/>
  <c r="P39" i="2" s="1"/>
  <c r="H150" i="2"/>
  <c r="H151" i="2"/>
  <c r="H152" i="2" s="1"/>
  <c r="L40" i="2"/>
  <c r="L43" i="2" s="1"/>
  <c r="P150" i="2"/>
  <c r="P151" i="2"/>
  <c r="P152" i="2" s="1"/>
  <c r="X40" i="2"/>
  <c r="AB40" i="2"/>
  <c r="AF40" i="2"/>
  <c r="AJ40" i="2"/>
  <c r="Z41" i="2"/>
  <c r="AD41" i="2"/>
  <c r="AH41" i="2"/>
  <c r="H42" i="2"/>
  <c r="P42" i="2"/>
  <c r="E43" i="2"/>
  <c r="E44" i="2" s="1"/>
  <c r="I43" i="2"/>
  <c r="I44" i="2" s="1"/>
  <c r="M43" i="2"/>
  <c r="M44" i="2" s="1"/>
  <c r="Q43" i="2"/>
  <c r="F156" i="2"/>
  <c r="F157" i="2" s="1"/>
  <c r="F155" i="2"/>
  <c r="J156" i="2"/>
  <c r="J157" i="2" s="1"/>
  <c r="J155" i="2"/>
  <c r="N156" i="2"/>
  <c r="N157" i="2" s="1"/>
  <c r="N155" i="2"/>
  <c r="Z45" i="2"/>
  <c r="AD45" i="2"/>
  <c r="AH45" i="2"/>
  <c r="L46" i="2"/>
  <c r="X46" i="2"/>
  <c r="AE46" i="2" s="1"/>
  <c r="AB46" i="2"/>
  <c r="AF46" i="2"/>
  <c r="AJ46" i="2"/>
  <c r="F47" i="2"/>
  <c r="J47" i="2"/>
  <c r="N47" i="2"/>
  <c r="G48" i="2"/>
  <c r="G49" i="2" s="1"/>
  <c r="K48" i="2"/>
  <c r="K49" i="2" s="1"/>
  <c r="O48" i="2"/>
  <c r="O49" i="2" s="1"/>
  <c r="H161" i="2"/>
  <c r="H162" i="2" s="1"/>
  <c r="H160" i="2"/>
  <c r="L50" i="2"/>
  <c r="L53" i="2" s="1"/>
  <c r="X50" i="2"/>
  <c r="AB50" i="2"/>
  <c r="AF50" i="2"/>
  <c r="AJ50" i="2"/>
  <c r="AD51" i="2"/>
  <c r="Q52" i="2"/>
  <c r="H53" i="2"/>
  <c r="H54" i="2" s="1"/>
  <c r="M53" i="2"/>
  <c r="M54" i="2" s="1"/>
  <c r="AL54" i="2"/>
  <c r="M163" i="2"/>
  <c r="M58" i="2"/>
  <c r="M59" i="2" s="1"/>
  <c r="AF55" i="2"/>
  <c r="Q163" i="2"/>
  <c r="Q58" i="2"/>
  <c r="AJ55" i="2"/>
  <c r="G164" i="2"/>
  <c r="Z56" i="2"/>
  <c r="AE56" i="2" s="1"/>
  <c r="K164" i="2"/>
  <c r="AD56" i="2"/>
  <c r="O164" i="2"/>
  <c r="O165" i="2" s="1"/>
  <c r="AH56" i="2"/>
  <c r="Q57" i="2"/>
  <c r="E169" i="2"/>
  <c r="X61" i="2"/>
  <c r="L61" i="2"/>
  <c r="I169" i="2"/>
  <c r="AB61" i="2"/>
  <c r="AG61" i="2"/>
  <c r="F175" i="2"/>
  <c r="F176" i="2"/>
  <c r="F177" i="2" s="1"/>
  <c r="J176" i="2"/>
  <c r="J177" i="2" s="1"/>
  <c r="J175" i="2"/>
  <c r="O175" i="2"/>
  <c r="O176" i="2"/>
  <c r="O177" i="2" s="1"/>
  <c r="AC65" i="2"/>
  <c r="AH65" i="2"/>
  <c r="M174" i="2"/>
  <c r="R66" i="2"/>
  <c r="S66" i="2" s="1"/>
  <c r="AF66" i="2"/>
  <c r="AK66" i="2" s="1"/>
  <c r="J68" i="2"/>
  <c r="J69" i="2" s="1"/>
  <c r="O68" i="2"/>
  <c r="O69" i="2" s="1"/>
  <c r="H178" i="2"/>
  <c r="H73" i="2"/>
  <c r="H74" i="2" s="1"/>
  <c r="H72" i="2"/>
  <c r="P178" i="2"/>
  <c r="P73" i="2"/>
  <c r="P74" i="2" s="1"/>
  <c r="P72" i="2"/>
  <c r="AA70" i="2"/>
  <c r="AI70" i="2"/>
  <c r="G179" i="2"/>
  <c r="L179" i="2" s="1"/>
  <c r="Z71" i="2"/>
  <c r="K179" i="2"/>
  <c r="AD71" i="2"/>
  <c r="M72" i="2"/>
  <c r="F186" i="2"/>
  <c r="F187" i="2" s="1"/>
  <c r="F185" i="2"/>
  <c r="O183" i="2"/>
  <c r="O78" i="2"/>
  <c r="O79" i="2" s="1"/>
  <c r="AH75" i="2"/>
  <c r="H188" i="2"/>
  <c r="H95" i="2"/>
  <c r="H83" i="2"/>
  <c r="H84" i="2" s="1"/>
  <c r="AA80" i="2"/>
  <c r="L80" i="2"/>
  <c r="P188" i="2"/>
  <c r="P95" i="2"/>
  <c r="P83" i="2"/>
  <c r="AI80" i="2"/>
  <c r="O193" i="2"/>
  <c r="O88" i="2"/>
  <c r="O89" i="2" s="1"/>
  <c r="AH85" i="2"/>
  <c r="M198" i="2"/>
  <c r="M92" i="2"/>
  <c r="M93" i="2"/>
  <c r="M94" i="2" s="1"/>
  <c r="R90" i="2"/>
  <c r="AF90" i="2"/>
  <c r="Q198" i="2"/>
  <c r="Q92" i="2"/>
  <c r="AJ90" i="2"/>
  <c r="R133" i="2"/>
  <c r="O23" i="2"/>
  <c r="O24" i="2" s="1"/>
  <c r="S24" i="2" s="1"/>
  <c r="H136" i="2"/>
  <c r="H137" i="2" s="1"/>
  <c r="H135" i="2"/>
  <c r="P136" i="2"/>
  <c r="P137" i="2" s="1"/>
  <c r="P135" i="2"/>
  <c r="R26" i="2"/>
  <c r="S26" i="2" s="1"/>
  <c r="H27" i="2"/>
  <c r="P27" i="2"/>
  <c r="X27" i="2"/>
  <c r="AB27" i="2"/>
  <c r="AF27" i="2"/>
  <c r="AJ27" i="2"/>
  <c r="E28" i="2"/>
  <c r="E29" i="2" s="1"/>
  <c r="S29" i="2" s="1"/>
  <c r="I28" i="2"/>
  <c r="I29" i="2" s="1"/>
  <c r="M28" i="2"/>
  <c r="M29" i="2" s="1"/>
  <c r="Q28" i="2"/>
  <c r="F140" i="2"/>
  <c r="F141" i="2"/>
  <c r="F142" i="2" s="1"/>
  <c r="J140" i="2"/>
  <c r="J141" i="2"/>
  <c r="J142" i="2" s="1"/>
  <c r="N141" i="2"/>
  <c r="N142" i="2" s="1"/>
  <c r="N140" i="2"/>
  <c r="R30" i="2"/>
  <c r="F32" i="2"/>
  <c r="J32" i="2"/>
  <c r="N32" i="2"/>
  <c r="Z32" i="2"/>
  <c r="AD32" i="2"/>
  <c r="AH32" i="2"/>
  <c r="G33" i="2"/>
  <c r="G34" i="2" s="1"/>
  <c r="H145" i="2"/>
  <c r="H146" i="2"/>
  <c r="H147" i="2" s="1"/>
  <c r="P145" i="2"/>
  <c r="P146" i="2"/>
  <c r="P147" i="2" s="1"/>
  <c r="R36" i="2"/>
  <c r="S36" i="2" s="1"/>
  <c r="H37" i="2"/>
  <c r="P37" i="2"/>
  <c r="X37" i="2"/>
  <c r="AB37" i="2"/>
  <c r="AF37" i="2"/>
  <c r="AJ37" i="2"/>
  <c r="E150" i="2"/>
  <c r="L148" i="2"/>
  <c r="E151" i="2"/>
  <c r="E152" i="2" s="1"/>
  <c r="I150" i="2"/>
  <c r="I151" i="2"/>
  <c r="I152" i="2" s="1"/>
  <c r="M150" i="2"/>
  <c r="M151" i="2"/>
  <c r="M152" i="2" s="1"/>
  <c r="R148" i="2"/>
  <c r="Q150" i="2"/>
  <c r="Q151" i="2"/>
  <c r="E42" i="2"/>
  <c r="I42" i="2"/>
  <c r="M42" i="2"/>
  <c r="Q42" i="2"/>
  <c r="Y42" i="2"/>
  <c r="AC42" i="2"/>
  <c r="AG42" i="2"/>
  <c r="F43" i="2"/>
  <c r="F44" i="2" s="1"/>
  <c r="G155" i="2"/>
  <c r="G156" i="2"/>
  <c r="G157" i="2" s="1"/>
  <c r="K156" i="2"/>
  <c r="K157" i="2" s="1"/>
  <c r="K155" i="2"/>
  <c r="O155" i="2"/>
  <c r="G47" i="2"/>
  <c r="K47" i="2"/>
  <c r="O47" i="2"/>
  <c r="AA47" i="2"/>
  <c r="AI47" i="2"/>
  <c r="H48" i="2"/>
  <c r="H49" i="2" s="1"/>
  <c r="P48" i="2"/>
  <c r="P49" i="2" s="1"/>
  <c r="L158" i="2"/>
  <c r="I160" i="2"/>
  <c r="R158" i="2"/>
  <c r="Q161" i="2"/>
  <c r="M159" i="2"/>
  <c r="AF51" i="2"/>
  <c r="AK51" i="2" s="1"/>
  <c r="Q159" i="2"/>
  <c r="Q160" i="2" s="1"/>
  <c r="AJ51" i="2"/>
  <c r="Z51" i="2"/>
  <c r="H52" i="2"/>
  <c r="M52" i="2"/>
  <c r="R52" i="2" s="1"/>
  <c r="AG52" i="2"/>
  <c r="I53" i="2"/>
  <c r="I54" i="2" s="1"/>
  <c r="E163" i="2"/>
  <c r="E58" i="2"/>
  <c r="E59" i="2" s="1"/>
  <c r="X55" i="2"/>
  <c r="L55" i="2"/>
  <c r="I163" i="2"/>
  <c r="I58" i="2"/>
  <c r="I59" i="2" s="1"/>
  <c r="AB55" i="2"/>
  <c r="N165" i="2"/>
  <c r="N166" i="2"/>
  <c r="N167" i="2" s="1"/>
  <c r="R55" i="2"/>
  <c r="AG55" i="2"/>
  <c r="L56" i="2"/>
  <c r="M57" i="2"/>
  <c r="AA57" i="2"/>
  <c r="H58" i="2"/>
  <c r="H59" i="2" s="1"/>
  <c r="N58" i="2"/>
  <c r="N59" i="2" s="1"/>
  <c r="G168" i="2"/>
  <c r="G63" i="2"/>
  <c r="G64" i="2" s="1"/>
  <c r="Z60" i="2"/>
  <c r="K168" i="2"/>
  <c r="K63" i="2"/>
  <c r="K64" i="2" s="1"/>
  <c r="AD60" i="2"/>
  <c r="O168" i="2"/>
  <c r="O63" i="2"/>
  <c r="O64" i="2" s="1"/>
  <c r="AH60" i="2"/>
  <c r="AC61" i="2"/>
  <c r="AH61" i="2"/>
  <c r="K62" i="2"/>
  <c r="F63" i="2"/>
  <c r="F64" i="2" s="1"/>
  <c r="G175" i="2"/>
  <c r="G176" i="2"/>
  <c r="G177" i="2" s="1"/>
  <c r="K176" i="2"/>
  <c r="K177" i="2" s="1"/>
  <c r="Y65" i="2"/>
  <c r="AD65" i="2"/>
  <c r="AB66" i="2"/>
  <c r="J67" i="2"/>
  <c r="O67" i="2"/>
  <c r="AI67" i="2"/>
  <c r="F68" i="2"/>
  <c r="F69" i="2" s="1"/>
  <c r="K68" i="2"/>
  <c r="K69" i="2" s="1"/>
  <c r="E178" i="2"/>
  <c r="E73" i="2"/>
  <c r="E74" i="2" s="1"/>
  <c r="X70" i="2"/>
  <c r="I178" i="2"/>
  <c r="I73" i="2"/>
  <c r="I74" i="2" s="1"/>
  <c r="AB70" i="2"/>
  <c r="M178" i="2"/>
  <c r="R70" i="2"/>
  <c r="M73" i="2"/>
  <c r="M74" i="2" s="1"/>
  <c r="AF70" i="2"/>
  <c r="Q178" i="2"/>
  <c r="Q73" i="2"/>
  <c r="AJ70" i="2"/>
  <c r="Q72" i="2"/>
  <c r="G183" i="2"/>
  <c r="G78" i="2"/>
  <c r="G79" i="2" s="1"/>
  <c r="Z75" i="2"/>
  <c r="K183" i="2"/>
  <c r="K78" i="2"/>
  <c r="K79" i="2" s="1"/>
  <c r="AD75" i="2"/>
  <c r="O77" i="2"/>
  <c r="AJ83" i="2"/>
  <c r="G193" i="2"/>
  <c r="G88" i="2"/>
  <c r="G89" i="2" s="1"/>
  <c r="Z85" i="2"/>
  <c r="K193" i="2"/>
  <c r="K88" i="2"/>
  <c r="AD85" i="2"/>
  <c r="O87" i="2"/>
  <c r="E198" i="2"/>
  <c r="E93" i="2"/>
  <c r="E94" i="2" s="1"/>
  <c r="X90" i="2"/>
  <c r="L90" i="2"/>
  <c r="I198" i="2"/>
  <c r="I93" i="2"/>
  <c r="I94" i="2" s="1"/>
  <c r="I92" i="2"/>
  <c r="AB90" i="2"/>
  <c r="I135" i="2"/>
  <c r="P160" i="2"/>
  <c r="R71" i="2"/>
  <c r="J186" i="2"/>
  <c r="J187" i="2" s="1"/>
  <c r="J185" i="2"/>
  <c r="R75" i="2"/>
  <c r="F77" i="2"/>
  <c r="J77" i="2"/>
  <c r="N77" i="2"/>
  <c r="H78" i="2"/>
  <c r="H79" i="2" s="1"/>
  <c r="P78" i="2"/>
  <c r="P79" i="2" s="1"/>
  <c r="G188" i="2"/>
  <c r="G95" i="2"/>
  <c r="K188" i="2"/>
  <c r="K95" i="2"/>
  <c r="O188" i="2"/>
  <c r="O95" i="2"/>
  <c r="E189" i="2"/>
  <c r="L189" i="2" s="1"/>
  <c r="E96" i="2"/>
  <c r="I189" i="2"/>
  <c r="I96" i="2"/>
  <c r="I111" i="2" s="1"/>
  <c r="M189" i="2"/>
  <c r="R189" i="2" s="1"/>
  <c r="S189" i="2" s="1"/>
  <c r="M96" i="2"/>
  <c r="Q189" i="2"/>
  <c r="Q96" i="2"/>
  <c r="Q111" i="2" s="1"/>
  <c r="G82" i="2"/>
  <c r="K82" i="2"/>
  <c r="O82" i="2"/>
  <c r="F195" i="2"/>
  <c r="F196" i="2"/>
  <c r="F197" i="2" s="1"/>
  <c r="J195" i="2"/>
  <c r="J196" i="2"/>
  <c r="J197" i="2" s="1"/>
  <c r="N195" i="2"/>
  <c r="N196" i="2"/>
  <c r="N197" i="2" s="1"/>
  <c r="R85" i="2"/>
  <c r="F87" i="2"/>
  <c r="J87" i="2"/>
  <c r="N87" i="2"/>
  <c r="H198" i="2"/>
  <c r="H93" i="2"/>
  <c r="H94" i="2" s="1"/>
  <c r="P198" i="2"/>
  <c r="P93" i="2"/>
  <c r="P94" i="2" s="1"/>
  <c r="F199" i="2"/>
  <c r="Y91" i="2"/>
  <c r="Y93" i="2" s="1"/>
  <c r="J199" i="2"/>
  <c r="AC91" i="2"/>
  <c r="AC93" i="2" s="1"/>
  <c r="N199" i="2"/>
  <c r="AG91" i="2"/>
  <c r="AG92" i="2" s="1"/>
  <c r="R91" i="2"/>
  <c r="N92" i="2"/>
  <c r="J93" i="2"/>
  <c r="J94" i="2" s="1"/>
  <c r="J95" i="2"/>
  <c r="N183" i="2"/>
  <c r="H166" i="2"/>
  <c r="H167" i="2" s="1"/>
  <c r="P165" i="2"/>
  <c r="H57" i="2"/>
  <c r="L57" i="2" s="1"/>
  <c r="P57" i="2"/>
  <c r="F171" i="2"/>
  <c r="F172" i="2" s="1"/>
  <c r="F170" i="2"/>
  <c r="J171" i="2"/>
  <c r="J172" i="2" s="1"/>
  <c r="J170" i="2"/>
  <c r="N170" i="2"/>
  <c r="N171" i="2"/>
  <c r="N172" i="2" s="1"/>
  <c r="F62" i="2"/>
  <c r="J62" i="2"/>
  <c r="N62" i="2"/>
  <c r="R62" i="2" s="1"/>
  <c r="H176" i="2"/>
  <c r="H177" i="2" s="1"/>
  <c r="H175" i="2"/>
  <c r="P175" i="2"/>
  <c r="H67" i="2"/>
  <c r="P67" i="2"/>
  <c r="F181" i="2"/>
  <c r="F182" i="2" s="1"/>
  <c r="J181" i="2"/>
  <c r="J182" i="2" s="1"/>
  <c r="J180" i="2"/>
  <c r="N181" i="2"/>
  <c r="N182" i="2" s="1"/>
  <c r="L71" i="2"/>
  <c r="L73" i="2" s="1"/>
  <c r="X71" i="2"/>
  <c r="AB71" i="2"/>
  <c r="AF71" i="2"/>
  <c r="AJ71" i="2"/>
  <c r="F72" i="2"/>
  <c r="J72" i="2"/>
  <c r="N72" i="2"/>
  <c r="H186" i="2"/>
  <c r="H187" i="2" s="1"/>
  <c r="H185" i="2"/>
  <c r="L75" i="2"/>
  <c r="L78" i="2" s="1"/>
  <c r="P185" i="2"/>
  <c r="X75" i="2"/>
  <c r="AB75" i="2"/>
  <c r="AF75" i="2"/>
  <c r="AJ75" i="2"/>
  <c r="Z76" i="2"/>
  <c r="AD76" i="2"/>
  <c r="AH76" i="2"/>
  <c r="H77" i="2"/>
  <c r="P77" i="2"/>
  <c r="F78" i="2"/>
  <c r="F79" i="2" s="1"/>
  <c r="J78" i="2"/>
  <c r="J79" i="2" s="1"/>
  <c r="N78" i="2"/>
  <c r="N79" i="2" s="1"/>
  <c r="E191" i="2"/>
  <c r="E192" i="2" s="1"/>
  <c r="L188" i="2"/>
  <c r="L191" i="2" s="1"/>
  <c r="I191" i="2"/>
  <c r="I192" i="2" s="1"/>
  <c r="M191" i="2"/>
  <c r="M192" i="2" s="1"/>
  <c r="R188" i="2"/>
  <c r="Q191" i="2"/>
  <c r="Q190" i="2"/>
  <c r="Y80" i="2"/>
  <c r="AC80" i="2"/>
  <c r="AG80" i="2"/>
  <c r="AA81" i="2"/>
  <c r="AI81" i="2"/>
  <c r="E82" i="2"/>
  <c r="I82" i="2"/>
  <c r="M82" i="2"/>
  <c r="Q82" i="2"/>
  <c r="F83" i="2"/>
  <c r="F84" i="2" s="1"/>
  <c r="J83" i="2"/>
  <c r="J84" i="2" s="1"/>
  <c r="N83" i="2"/>
  <c r="N84" i="2" s="1"/>
  <c r="H196" i="2"/>
  <c r="H197" i="2" s="1"/>
  <c r="H195" i="2"/>
  <c r="L85" i="2"/>
  <c r="L88" i="2" s="1"/>
  <c r="P196" i="2"/>
  <c r="P197" i="2" s="1"/>
  <c r="P195" i="2"/>
  <c r="X85" i="2"/>
  <c r="AB85" i="2"/>
  <c r="AF85" i="2"/>
  <c r="AJ85" i="2"/>
  <c r="Z86" i="2"/>
  <c r="AD86" i="2"/>
  <c r="AH86" i="2"/>
  <c r="AH96" i="2" s="1"/>
  <c r="H87" i="2"/>
  <c r="P87" i="2"/>
  <c r="E88" i="2"/>
  <c r="E89" i="2" s="1"/>
  <c r="I88" i="2"/>
  <c r="I89" i="2" s="1"/>
  <c r="M88" i="2"/>
  <c r="M89" i="2" s="1"/>
  <c r="Q88" i="2"/>
  <c r="J201" i="2"/>
  <c r="J202" i="2" s="1"/>
  <c r="J200" i="2"/>
  <c r="Z90" i="2"/>
  <c r="L91" i="2"/>
  <c r="X91" i="2"/>
  <c r="AI91" i="2"/>
  <c r="AK91" i="2" s="1"/>
  <c r="F92" i="2"/>
  <c r="F95" i="2"/>
  <c r="N95" i="2"/>
  <c r="H96" i="2"/>
  <c r="H111" i="2" s="1"/>
  <c r="P96" i="2"/>
  <c r="P111" i="2" s="1"/>
  <c r="H165" i="2"/>
  <c r="N180" i="2"/>
  <c r="P186" i="2"/>
  <c r="P187" i="2" s="1"/>
  <c r="R179" i="2"/>
  <c r="S179" i="2" s="1"/>
  <c r="Y71" i="2"/>
  <c r="Y73" i="2" s="1"/>
  <c r="AC71" i="2"/>
  <c r="AG71" i="2"/>
  <c r="AG73" i="2" s="1"/>
  <c r="E185" i="2"/>
  <c r="I185" i="2"/>
  <c r="I186" i="2"/>
  <c r="I187" i="2" s="1"/>
  <c r="M185" i="2"/>
  <c r="Q186" i="2"/>
  <c r="Q185" i="2"/>
  <c r="Y75" i="2"/>
  <c r="AC75" i="2"/>
  <c r="AA76" i="2"/>
  <c r="AA77" i="2" s="1"/>
  <c r="AI76" i="2"/>
  <c r="E77" i="2"/>
  <c r="I77" i="2"/>
  <c r="M77" i="2"/>
  <c r="Q77" i="2"/>
  <c r="F190" i="2"/>
  <c r="F191" i="2"/>
  <c r="F192" i="2" s="1"/>
  <c r="J190" i="2"/>
  <c r="J191" i="2"/>
  <c r="J192" i="2" s="1"/>
  <c r="N190" i="2"/>
  <c r="N191" i="2"/>
  <c r="N192" i="2" s="1"/>
  <c r="R80" i="2"/>
  <c r="Z80" i="2"/>
  <c r="AD80" i="2"/>
  <c r="AH80" i="2"/>
  <c r="L81" i="2"/>
  <c r="X81" i="2"/>
  <c r="AB81" i="2"/>
  <c r="AB83" i="2" s="1"/>
  <c r="AF81" i="2"/>
  <c r="AJ81" i="2"/>
  <c r="AJ82" i="2" s="1"/>
  <c r="F82" i="2"/>
  <c r="J82" i="2"/>
  <c r="N82" i="2"/>
  <c r="G83" i="2"/>
  <c r="G84" i="2" s="1"/>
  <c r="K83" i="2"/>
  <c r="K84" i="2" s="1"/>
  <c r="O83" i="2"/>
  <c r="O84" i="2" s="1"/>
  <c r="L193" i="2"/>
  <c r="E196" i="2"/>
  <c r="E197" i="2" s="1"/>
  <c r="E195" i="2"/>
  <c r="I196" i="2"/>
  <c r="I197" i="2" s="1"/>
  <c r="I195" i="2"/>
  <c r="M196" i="2"/>
  <c r="M197" i="2" s="1"/>
  <c r="R193" i="2"/>
  <c r="M195" i="2"/>
  <c r="Q196" i="2"/>
  <c r="Q195" i="2"/>
  <c r="Y85" i="2"/>
  <c r="AC85" i="2"/>
  <c r="AG85" i="2"/>
  <c r="AA86" i="2"/>
  <c r="AI86" i="2"/>
  <c r="E87" i="2"/>
  <c r="I87" i="2"/>
  <c r="M87" i="2"/>
  <c r="Q87" i="2"/>
  <c r="F88" i="2"/>
  <c r="F89" i="2" s="1"/>
  <c r="J88" i="2"/>
  <c r="J89" i="2" s="1"/>
  <c r="N88" i="2"/>
  <c r="N89" i="2" s="1"/>
  <c r="G198" i="2"/>
  <c r="G92" i="2"/>
  <c r="K198" i="2"/>
  <c r="K92" i="2"/>
  <c r="O198" i="2"/>
  <c r="O92" i="2"/>
  <c r="AA90" i="2"/>
  <c r="AI90" i="2"/>
  <c r="L199" i="2"/>
  <c r="H92" i="2"/>
  <c r="N93" i="2"/>
  <c r="N94" i="2" s="1"/>
  <c r="I95" i="2"/>
  <c r="Q95" i="2"/>
  <c r="K96" i="2"/>
  <c r="K111" i="2" s="1"/>
  <c r="P166" i="2"/>
  <c r="P167" i="2" s="1"/>
  <c r="I190" i="2"/>
  <c r="AA118" i="2"/>
  <c r="AB118" i="2" s="1"/>
  <c r="R95" i="2" l="1"/>
  <c r="AK80" i="2"/>
  <c r="AD96" i="2"/>
  <c r="AE71" i="2"/>
  <c r="AA78" i="2"/>
  <c r="AE61" i="2"/>
  <c r="L164" i="2"/>
  <c r="L47" i="2"/>
  <c r="S34" i="2"/>
  <c r="AK56" i="2"/>
  <c r="AE41" i="2"/>
  <c r="S39" i="2"/>
  <c r="AK31" i="2"/>
  <c r="S129" i="2"/>
  <c r="L129" i="2"/>
  <c r="AI42" i="2"/>
  <c r="AI43" i="2"/>
  <c r="AA48" i="2"/>
  <c r="X33" i="2"/>
  <c r="X32" i="2"/>
  <c r="AD27" i="2"/>
  <c r="AD28" i="2"/>
  <c r="AH18" i="2"/>
  <c r="Y57" i="2"/>
  <c r="Y58" i="2"/>
  <c r="Q115" i="2"/>
  <c r="Q116" i="2" s="1"/>
  <c r="AD38" i="2"/>
  <c r="AB33" i="2"/>
  <c r="Z27" i="2"/>
  <c r="Z28" i="2"/>
  <c r="S84" i="2"/>
  <c r="Z96" i="2"/>
  <c r="L93" i="2"/>
  <c r="L169" i="2"/>
  <c r="S144" i="2"/>
  <c r="AE30" i="2"/>
  <c r="AE33" i="2" s="1"/>
  <c r="R184" i="2"/>
  <c r="L174" i="2"/>
  <c r="L149" i="2"/>
  <c r="L151" i="2" s="1"/>
  <c r="H115" i="2"/>
  <c r="H116" i="2" s="1"/>
  <c r="AI58" i="2"/>
  <c r="AI57" i="2"/>
  <c r="AH38" i="2"/>
  <c r="AH37" i="2"/>
  <c r="AI63" i="2"/>
  <c r="AI62" i="2"/>
  <c r="AI48" i="2"/>
  <c r="X22" i="2"/>
  <c r="L92" i="2"/>
  <c r="S71" i="2"/>
  <c r="R57" i="2"/>
  <c r="L52" i="2"/>
  <c r="R67" i="2"/>
  <c r="N115" i="2"/>
  <c r="N116" i="2" s="1"/>
  <c r="L28" i="2"/>
  <c r="J115" i="2"/>
  <c r="J116" i="2" s="1"/>
  <c r="AE11" i="2"/>
  <c r="Z38" i="2"/>
  <c r="Z37" i="2"/>
  <c r="Y48" i="2"/>
  <c r="Y47" i="2"/>
  <c r="AG48" i="2"/>
  <c r="AC13" i="2"/>
  <c r="AF95" i="2"/>
  <c r="R159" i="2"/>
  <c r="AE26" i="2"/>
  <c r="AL26" i="2" s="1"/>
  <c r="AE66" i="2"/>
  <c r="R149" i="2"/>
  <c r="J111" i="2"/>
  <c r="AB13" i="2"/>
  <c r="AF33" i="2"/>
  <c r="AF32" i="2"/>
  <c r="AA42" i="2"/>
  <c r="AA43" i="2"/>
  <c r="AH28" i="2"/>
  <c r="AH27" i="2"/>
  <c r="Y13" i="2"/>
  <c r="AG13" i="2"/>
  <c r="O200" i="2"/>
  <c r="O201" i="2"/>
  <c r="O202" i="2" s="1"/>
  <c r="G200" i="2"/>
  <c r="G201" i="2"/>
  <c r="G202" i="2" s="1"/>
  <c r="Y88" i="2"/>
  <c r="Y87" i="2"/>
  <c r="S193" i="2"/>
  <c r="Z83" i="2"/>
  <c r="Z82" i="2"/>
  <c r="Z95" i="2"/>
  <c r="S188" i="2"/>
  <c r="S191" i="2" s="1"/>
  <c r="R191" i="2"/>
  <c r="AB92" i="2"/>
  <c r="AB93" i="2"/>
  <c r="AJ88" i="2"/>
  <c r="AJ87" i="2"/>
  <c r="AI96" i="2"/>
  <c r="F201" i="2"/>
  <c r="F202" i="2" s="1"/>
  <c r="F200" i="2"/>
  <c r="R88" i="2"/>
  <c r="S85" i="2"/>
  <c r="S88" i="2" s="1"/>
  <c r="T88" i="2" s="1"/>
  <c r="E111" i="2"/>
  <c r="L96" i="2"/>
  <c r="S57" i="2"/>
  <c r="AF101" i="2"/>
  <c r="AD78" i="2"/>
  <c r="AD77" i="2"/>
  <c r="R73" i="2"/>
  <c r="S70" i="2"/>
  <c r="S73" i="2" s="1"/>
  <c r="T73" i="2" s="1"/>
  <c r="I181" i="2"/>
  <c r="I182" i="2" s="1"/>
  <c r="I180" i="2"/>
  <c r="AI88" i="2"/>
  <c r="AI87" i="2"/>
  <c r="AE81" i="2"/>
  <c r="X96" i="2"/>
  <c r="X83" i="2"/>
  <c r="X82" i="2"/>
  <c r="I110" i="2"/>
  <c r="I98" i="2"/>
  <c r="I104" i="2" s="1"/>
  <c r="I99" i="2"/>
  <c r="I100" i="2" s="1"/>
  <c r="I102" i="2" s="1"/>
  <c r="I97" i="2"/>
  <c r="M111" i="2"/>
  <c r="R111" i="2" s="1"/>
  <c r="R96" i="2"/>
  <c r="M97" i="2"/>
  <c r="M98" i="2"/>
  <c r="M104" i="2" s="1"/>
  <c r="R98" i="2"/>
  <c r="R97" i="2"/>
  <c r="AB77" i="2"/>
  <c r="AB78" i="2"/>
  <c r="AB95" i="2"/>
  <c r="AL31" i="2"/>
  <c r="Z88" i="2"/>
  <c r="Z87" i="2"/>
  <c r="P115" i="2"/>
  <c r="P116" i="2" s="1"/>
  <c r="F115" i="2"/>
  <c r="F116" i="2" s="1"/>
  <c r="K115" i="2"/>
  <c r="K116" i="2" s="1"/>
  <c r="AI77" i="2"/>
  <c r="AI78" i="2"/>
  <c r="Z93" i="2"/>
  <c r="Z92" i="2"/>
  <c r="Y83" i="2"/>
  <c r="Y82" i="2"/>
  <c r="Y95" i="2"/>
  <c r="AE80" i="2"/>
  <c r="AE83" i="2" s="1"/>
  <c r="R199" i="2"/>
  <c r="S199" i="2" s="1"/>
  <c r="N201" i="2"/>
  <c r="N202" i="2" s="1"/>
  <c r="N200" i="2"/>
  <c r="H200" i="2"/>
  <c r="H201" i="2"/>
  <c r="H202" i="2" s="1"/>
  <c r="K97" i="2"/>
  <c r="K99" i="2"/>
  <c r="K100" i="2" s="1"/>
  <c r="K102" i="2" s="1"/>
  <c r="K110" i="2"/>
  <c r="K101" i="2"/>
  <c r="K98" i="2"/>
  <c r="K104" i="2" s="1"/>
  <c r="AH63" i="2"/>
  <c r="AH62" i="2"/>
  <c r="G171" i="2"/>
  <c r="G172" i="2" s="1"/>
  <c r="G170" i="2"/>
  <c r="I166" i="2"/>
  <c r="I167" i="2" s="1"/>
  <c r="I165" i="2"/>
  <c r="Y38" i="2"/>
  <c r="Y37" i="2"/>
  <c r="AE21" i="2"/>
  <c r="Y23" i="2"/>
  <c r="Y22" i="2"/>
  <c r="L23" i="2"/>
  <c r="K204" i="2"/>
  <c r="I203" i="2"/>
  <c r="I121" i="2"/>
  <c r="I122" i="2" s="1"/>
  <c r="I120" i="2"/>
  <c r="K166" i="2"/>
  <c r="K167" i="2" s="1"/>
  <c r="K165" i="2"/>
  <c r="R106" i="2"/>
  <c r="Y92" i="2"/>
  <c r="S41" i="2"/>
  <c r="K151" i="2"/>
  <c r="K152" i="2" s="1"/>
  <c r="K150" i="2"/>
  <c r="N146" i="2"/>
  <c r="N147" i="2" s="1"/>
  <c r="N145" i="2"/>
  <c r="AI33" i="2"/>
  <c r="AI32" i="2"/>
  <c r="AA33" i="2"/>
  <c r="AA32" i="2"/>
  <c r="AA18" i="2"/>
  <c r="AA17" i="2"/>
  <c r="G115" i="2"/>
  <c r="G116" i="2" s="1"/>
  <c r="J204" i="2"/>
  <c r="AE10" i="2"/>
  <c r="AE13" i="2" s="1"/>
  <c r="X12" i="2"/>
  <c r="X13" i="2"/>
  <c r="H108" i="2"/>
  <c r="H107" i="2"/>
  <c r="AC96" i="2"/>
  <c r="F111" i="2"/>
  <c r="L106" i="2"/>
  <c r="AD93" i="2"/>
  <c r="AG72" i="2"/>
  <c r="AF63" i="2"/>
  <c r="AF62" i="2"/>
  <c r="AK60" i="2"/>
  <c r="Q171" i="2"/>
  <c r="Q170" i="2"/>
  <c r="AD53" i="2"/>
  <c r="AD52" i="2"/>
  <c r="AB48" i="2"/>
  <c r="AB47" i="2"/>
  <c r="AE45" i="2"/>
  <c r="AE48" i="2" s="1"/>
  <c r="X48" i="2"/>
  <c r="X47" i="2"/>
  <c r="AK21" i="2"/>
  <c r="AL21" i="2" s="1"/>
  <c r="S16" i="2"/>
  <c r="Q125" i="2"/>
  <c r="Q126" i="2"/>
  <c r="I125" i="2"/>
  <c r="I126" i="2"/>
  <c r="I127" i="2" s="1"/>
  <c r="M115" i="2"/>
  <c r="M116" i="2" s="1"/>
  <c r="P204" i="2"/>
  <c r="N107" i="2"/>
  <c r="N108" i="2"/>
  <c r="F108" i="2"/>
  <c r="F107" i="2"/>
  <c r="M203" i="2"/>
  <c r="R118" i="2"/>
  <c r="M121" i="2"/>
  <c r="M122" i="2" s="1"/>
  <c r="M120" i="2"/>
  <c r="L63" i="2"/>
  <c r="L168" i="2"/>
  <c r="L171" i="2" s="1"/>
  <c r="E170" i="2"/>
  <c r="E171" i="2"/>
  <c r="E172" i="2" s="1"/>
  <c r="G166" i="2"/>
  <c r="G167" i="2" s="1"/>
  <c r="G165" i="2"/>
  <c r="AC18" i="2"/>
  <c r="AC17" i="2"/>
  <c r="O108" i="2"/>
  <c r="O107" i="2"/>
  <c r="AG23" i="2"/>
  <c r="R18" i="2"/>
  <c r="Z13" i="2"/>
  <c r="AA95" i="2"/>
  <c r="AA83" i="2"/>
  <c r="AA82" i="2"/>
  <c r="Z48" i="2"/>
  <c r="Z47" i="2"/>
  <c r="AC33" i="2"/>
  <c r="AC32" i="2"/>
  <c r="AA28" i="2"/>
  <c r="AA27" i="2"/>
  <c r="AJ68" i="2"/>
  <c r="AJ67" i="2"/>
  <c r="L159" i="2"/>
  <c r="R145" i="2"/>
  <c r="AE76" i="2"/>
  <c r="S65" i="2"/>
  <c r="S68" i="2" s="1"/>
  <c r="T68" i="2" s="1"/>
  <c r="R68" i="2"/>
  <c r="AB68" i="2"/>
  <c r="AB67" i="2"/>
  <c r="L67" i="2"/>
  <c r="S67" i="2" s="1"/>
  <c r="E176" i="2"/>
  <c r="E177" i="2" s="1"/>
  <c r="E175" i="2"/>
  <c r="L173" i="2"/>
  <c r="L176" i="2" s="1"/>
  <c r="AK61" i="2"/>
  <c r="AL61" i="2" s="1"/>
  <c r="O161" i="2"/>
  <c r="O162" i="2" s="1"/>
  <c r="O160" i="2"/>
  <c r="AJ96" i="2"/>
  <c r="R77" i="2"/>
  <c r="X77" i="2"/>
  <c r="AE75" i="2"/>
  <c r="AE78" i="2" s="1"/>
  <c r="X78" i="2"/>
  <c r="N186" i="2"/>
  <c r="N187" i="2" s="1"/>
  <c r="N185" i="2"/>
  <c r="K191" i="2"/>
  <c r="K192" i="2" s="1"/>
  <c r="K190" i="2"/>
  <c r="R78" i="2"/>
  <c r="S75" i="2"/>
  <c r="S78" i="2" s="1"/>
  <c r="T78" i="2" s="1"/>
  <c r="X93" i="2"/>
  <c r="AE90" i="2"/>
  <c r="X92" i="2"/>
  <c r="AD88" i="2"/>
  <c r="AD87" i="2"/>
  <c r="G186" i="2"/>
  <c r="G187" i="2" s="1"/>
  <c r="G185" i="2"/>
  <c r="Q181" i="2"/>
  <c r="Q180" i="2"/>
  <c r="M181" i="2"/>
  <c r="M182" i="2" s="1"/>
  <c r="R178" i="2"/>
  <c r="M180" i="2"/>
  <c r="X73" i="2"/>
  <c r="X72" i="2"/>
  <c r="AE70" i="2"/>
  <c r="AE73" i="2" s="1"/>
  <c r="K171" i="2"/>
  <c r="K172" i="2" s="1"/>
  <c r="K170" i="2"/>
  <c r="L58" i="2"/>
  <c r="S159" i="2"/>
  <c r="M161" i="2"/>
  <c r="M162" i="2" s="1"/>
  <c r="L161" i="2"/>
  <c r="O156" i="2"/>
  <c r="O157" i="2" s="1"/>
  <c r="L42" i="2"/>
  <c r="R136" i="2"/>
  <c r="S133" i="2"/>
  <c r="S136" i="2" s="1"/>
  <c r="Q201" i="2"/>
  <c r="Q200" i="2"/>
  <c r="R92" i="2"/>
  <c r="S92" i="2" s="1"/>
  <c r="O195" i="2"/>
  <c r="O196" i="2"/>
  <c r="O197" i="2" s="1"/>
  <c r="P110" i="2"/>
  <c r="P97" i="2"/>
  <c r="P99" i="2"/>
  <c r="P100" i="2" s="1"/>
  <c r="P102" i="2" s="1"/>
  <c r="P98" i="2"/>
  <c r="P104" i="2" s="1"/>
  <c r="AH78" i="2"/>
  <c r="AH77" i="2"/>
  <c r="AL66" i="2"/>
  <c r="AC68" i="2"/>
  <c r="AC67" i="2"/>
  <c r="AJ58" i="2"/>
  <c r="AJ57" i="2"/>
  <c r="AK50" i="2"/>
  <c r="AF53" i="2"/>
  <c r="AF52" i="2"/>
  <c r="AK40" i="2"/>
  <c r="AF43" i="2"/>
  <c r="AF42" i="2"/>
  <c r="AA38" i="2"/>
  <c r="AA37" i="2"/>
  <c r="Y33" i="2"/>
  <c r="Y32" i="2"/>
  <c r="AE32" i="2" s="1"/>
  <c r="R141" i="2"/>
  <c r="S138" i="2"/>
  <c r="S141" i="2" s="1"/>
  <c r="AG93" i="2"/>
  <c r="M176" i="2"/>
  <c r="M177" i="2" s="1"/>
  <c r="R173" i="2"/>
  <c r="M175" i="2"/>
  <c r="Y63" i="2"/>
  <c r="Y62" i="2"/>
  <c r="AL56" i="2"/>
  <c r="O166" i="2"/>
  <c r="O167" i="2" s="1"/>
  <c r="R53" i="2"/>
  <c r="S50" i="2"/>
  <c r="J161" i="2"/>
  <c r="J162" i="2" s="1"/>
  <c r="J160" i="2"/>
  <c r="AK38" i="2"/>
  <c r="AL35" i="2"/>
  <c r="AL38" i="2" s="1"/>
  <c r="R146" i="2"/>
  <c r="S143" i="2"/>
  <c r="S146" i="2" s="1"/>
  <c r="L27" i="2"/>
  <c r="L184" i="2"/>
  <c r="S184" i="2" s="1"/>
  <c r="E186" i="2"/>
  <c r="E187" i="2" s="1"/>
  <c r="O181" i="2"/>
  <c r="O182" i="2" s="1"/>
  <c r="O180" i="2"/>
  <c r="L68" i="2"/>
  <c r="S169" i="2"/>
  <c r="AH53" i="2"/>
  <c r="AH52" i="2"/>
  <c r="AJ48" i="2"/>
  <c r="AJ47" i="2"/>
  <c r="AC38" i="2"/>
  <c r="AC37" i="2"/>
  <c r="AI23" i="2"/>
  <c r="AI22" i="2"/>
  <c r="AA23" i="2"/>
  <c r="AA22" i="2"/>
  <c r="I108" i="2"/>
  <c r="I107" i="2"/>
  <c r="AH43" i="2"/>
  <c r="AH42" i="2"/>
  <c r="N126" i="2"/>
  <c r="N127" i="2" s="1"/>
  <c r="N125" i="2"/>
  <c r="M204" i="2"/>
  <c r="R119" i="2"/>
  <c r="Y72" i="2"/>
  <c r="Y52" i="2"/>
  <c r="Y53" i="2"/>
  <c r="S149" i="2"/>
  <c r="Z43" i="2"/>
  <c r="Z42" i="2"/>
  <c r="S35" i="2"/>
  <c r="S38" i="2" s="1"/>
  <c r="T38" i="2" s="1"/>
  <c r="T39" i="2" s="1"/>
  <c r="R38" i="2"/>
  <c r="AC23" i="2"/>
  <c r="AC22" i="2"/>
  <c r="P203" i="2"/>
  <c r="P121" i="2"/>
  <c r="P122" i="2" s="1"/>
  <c r="P120" i="2"/>
  <c r="H203" i="2"/>
  <c r="H121" i="2"/>
  <c r="H122" i="2" s="1"/>
  <c r="H120" i="2"/>
  <c r="AE86" i="2"/>
  <c r="M100" i="2"/>
  <c r="AB63" i="2"/>
  <c r="AB62" i="2"/>
  <c r="AC28" i="2"/>
  <c r="AC27" i="2"/>
  <c r="AE16" i="2"/>
  <c r="AL16" i="2" s="1"/>
  <c r="Q204" i="2"/>
  <c r="G108" i="2"/>
  <c r="G107" i="2"/>
  <c r="K181" i="2"/>
  <c r="K182" i="2" s="1"/>
  <c r="K180" i="2"/>
  <c r="G180" i="2"/>
  <c r="G181" i="2"/>
  <c r="G182" i="2" s="1"/>
  <c r="AJ63" i="2"/>
  <c r="AJ62" i="2"/>
  <c r="S49" i="2"/>
  <c r="N136" i="2"/>
  <c r="N137" i="2" s="1"/>
  <c r="N135" i="2"/>
  <c r="R135" i="2" s="1"/>
  <c r="AF23" i="2"/>
  <c r="AF22" i="2"/>
  <c r="AK20" i="2"/>
  <c r="Q131" i="2"/>
  <c r="Q130" i="2"/>
  <c r="I131" i="2"/>
  <c r="I132" i="2" s="1"/>
  <c r="I130" i="2"/>
  <c r="AI18" i="2"/>
  <c r="AI17" i="2"/>
  <c r="R17" i="2"/>
  <c r="L17" i="2"/>
  <c r="I115" i="2"/>
  <c r="I116" i="2" s="1"/>
  <c r="AH13" i="2"/>
  <c r="AH12" i="2"/>
  <c r="N203" i="2"/>
  <c r="N120" i="2"/>
  <c r="N121" i="2"/>
  <c r="N122" i="2" s="1"/>
  <c r="F203" i="2"/>
  <c r="F121" i="2"/>
  <c r="F122" i="2" s="1"/>
  <c r="F120" i="2"/>
  <c r="O204" i="2"/>
  <c r="M108" i="2"/>
  <c r="M107" i="2"/>
  <c r="R105" i="2"/>
  <c r="S64" i="2"/>
  <c r="Z58" i="2"/>
  <c r="Z57" i="2"/>
  <c r="AE18" i="2"/>
  <c r="R151" i="2"/>
  <c r="S148" i="2"/>
  <c r="AJ43" i="2"/>
  <c r="AJ42" i="2"/>
  <c r="AE38" i="2"/>
  <c r="L32" i="2"/>
  <c r="AK86" i="2"/>
  <c r="S54" i="2"/>
  <c r="L37" i="2"/>
  <c r="AI93" i="2"/>
  <c r="AI92" i="2"/>
  <c r="R87" i="2"/>
  <c r="AK85" i="2"/>
  <c r="AF88" i="2"/>
  <c r="AF87" i="2"/>
  <c r="R82" i="2"/>
  <c r="AA93" i="2"/>
  <c r="AA92" i="2"/>
  <c r="K200" i="2"/>
  <c r="K201" i="2"/>
  <c r="K202" i="2" s="1"/>
  <c r="AG88" i="2"/>
  <c r="AG87" i="2"/>
  <c r="AF96" i="2"/>
  <c r="AK81" i="2"/>
  <c r="AL81" i="2" s="1"/>
  <c r="AH83" i="2"/>
  <c r="AH82" i="2"/>
  <c r="AH95" i="2"/>
  <c r="AC77" i="2"/>
  <c r="AC78" i="2"/>
  <c r="R183" i="2"/>
  <c r="AC73" i="2"/>
  <c r="AC72" i="2"/>
  <c r="N110" i="2"/>
  <c r="N99" i="2"/>
  <c r="N100" i="2" s="1"/>
  <c r="N102" i="2" s="1"/>
  <c r="N98" i="2"/>
  <c r="N104" i="2" s="1"/>
  <c r="N97" i="2"/>
  <c r="AE91" i="2"/>
  <c r="AL91" i="2" s="1"/>
  <c r="S89" i="2"/>
  <c r="T89" i="2" s="1"/>
  <c r="AB88" i="2"/>
  <c r="AB87" i="2"/>
  <c r="AG83" i="2"/>
  <c r="AG82" i="2"/>
  <c r="AG95" i="2"/>
  <c r="AJ77" i="2"/>
  <c r="AJ78" i="2"/>
  <c r="AK71" i="2"/>
  <c r="AL71" i="2" s="1"/>
  <c r="J99" i="2"/>
  <c r="J100" i="2" s="1"/>
  <c r="J102" i="2" s="1"/>
  <c r="J110" i="2"/>
  <c r="J98" i="2"/>
  <c r="J104" i="2" s="1"/>
  <c r="J101" i="2"/>
  <c r="J97" i="2"/>
  <c r="S91" i="2"/>
  <c r="P200" i="2"/>
  <c r="P201" i="2"/>
  <c r="P202" i="2" s="1"/>
  <c r="O97" i="2"/>
  <c r="O110" i="2"/>
  <c r="O99" i="2"/>
  <c r="O100" i="2" s="1"/>
  <c r="O102" i="2" s="1"/>
  <c r="O98" i="2"/>
  <c r="O104" i="2" s="1"/>
  <c r="G97" i="2"/>
  <c r="G99" i="2"/>
  <c r="G100" i="2" s="1"/>
  <c r="G102" i="2" s="1"/>
  <c r="G110" i="2"/>
  <c r="G98" i="2"/>
  <c r="G104" i="2" s="1"/>
  <c r="G101" i="2"/>
  <c r="S94" i="2"/>
  <c r="G195" i="2"/>
  <c r="G196" i="2"/>
  <c r="G197" i="2" s="1"/>
  <c r="AJ95" i="2"/>
  <c r="K185" i="2"/>
  <c r="K186" i="2"/>
  <c r="K187" i="2" s="1"/>
  <c r="AF73" i="2"/>
  <c r="AF72" i="2"/>
  <c r="AK70" i="2"/>
  <c r="AB73" i="2"/>
  <c r="AB72" i="2"/>
  <c r="S74" i="2"/>
  <c r="T74" i="2" s="1"/>
  <c r="AD68" i="2"/>
  <c r="AD67" i="2"/>
  <c r="O171" i="2"/>
  <c r="O172" i="2" s="1"/>
  <c r="O170" i="2"/>
  <c r="Z63" i="2"/>
  <c r="Z62" i="2"/>
  <c r="AG58" i="2"/>
  <c r="AG57" i="2"/>
  <c r="AB58" i="2"/>
  <c r="AB57" i="2"/>
  <c r="X58" i="2"/>
  <c r="X57" i="2"/>
  <c r="AE55" i="2"/>
  <c r="AE58" i="2" s="1"/>
  <c r="M160" i="2"/>
  <c r="E161" i="2"/>
  <c r="E162" i="2" s="1"/>
  <c r="R33" i="2"/>
  <c r="S30" i="2"/>
  <c r="S33" i="2" s="1"/>
  <c r="T33" i="2" s="1"/>
  <c r="T34" i="2" s="1"/>
  <c r="AC118" i="2"/>
  <c r="AF93" i="2"/>
  <c r="AF92" i="2"/>
  <c r="AK90" i="2"/>
  <c r="M201" i="2"/>
  <c r="M202" i="2" s="1"/>
  <c r="R198" i="2"/>
  <c r="M200" i="2"/>
  <c r="R200" i="2" s="1"/>
  <c r="AF83" i="2"/>
  <c r="P190" i="2"/>
  <c r="P191" i="2"/>
  <c r="H110" i="2"/>
  <c r="H97" i="2"/>
  <c r="H99" i="2"/>
  <c r="H100" i="2" s="1"/>
  <c r="H102" i="2" s="1"/>
  <c r="H98" i="2"/>
  <c r="H104" i="2" s="1"/>
  <c r="R72" i="2"/>
  <c r="H180" i="2"/>
  <c r="H181" i="2"/>
  <c r="H182" i="2" s="1"/>
  <c r="M166" i="2"/>
  <c r="M167" i="2" s="1"/>
  <c r="M165" i="2"/>
  <c r="R163" i="2"/>
  <c r="AB53" i="2"/>
  <c r="AB52" i="2"/>
  <c r="AK46" i="2"/>
  <c r="AL46" i="2" s="1"/>
  <c r="AH48" i="2"/>
  <c r="AH47" i="2"/>
  <c r="S44" i="2"/>
  <c r="T44" i="2" s="1"/>
  <c r="AB43" i="2"/>
  <c r="AB42" i="2"/>
  <c r="R32" i="2"/>
  <c r="S32" i="2" s="1"/>
  <c r="AI28" i="2"/>
  <c r="AI27" i="2"/>
  <c r="AC92" i="2"/>
  <c r="R194" i="2"/>
  <c r="S81" i="2"/>
  <c r="AK76" i="2"/>
  <c r="AL76" i="2" s="1"/>
  <c r="L72" i="2"/>
  <c r="Q176" i="2"/>
  <c r="Q175" i="2"/>
  <c r="AH58" i="2"/>
  <c r="AH57" i="2"/>
  <c r="S46" i="2"/>
  <c r="R43" i="2"/>
  <c r="S40" i="2"/>
  <c r="S43" i="2" s="1"/>
  <c r="T43" i="2" s="1"/>
  <c r="R37" i="2"/>
  <c r="S37" i="2" s="1"/>
  <c r="AK25" i="2"/>
  <c r="L136" i="2"/>
  <c r="S79" i="2"/>
  <c r="T79" i="2" s="1"/>
  <c r="AH73" i="2"/>
  <c r="AH72" i="2"/>
  <c r="AA68" i="2"/>
  <c r="AA67" i="2"/>
  <c r="N175" i="2"/>
  <c r="N176" i="2"/>
  <c r="N177" i="2" s="1"/>
  <c r="I176" i="2"/>
  <c r="I177" i="2" s="1"/>
  <c r="I175" i="2"/>
  <c r="X68" i="2"/>
  <c r="X67" i="2"/>
  <c r="AE65" i="2"/>
  <c r="AE68" i="2" s="1"/>
  <c r="R47" i="2"/>
  <c r="S47" i="2" s="1"/>
  <c r="S45" i="2"/>
  <c r="S48" i="2" s="1"/>
  <c r="T48" i="2" s="1"/>
  <c r="R48" i="2"/>
  <c r="S124" i="2"/>
  <c r="Q203" i="2"/>
  <c r="Q121" i="2"/>
  <c r="Q120" i="2"/>
  <c r="AD58" i="2"/>
  <c r="AD57" i="2"/>
  <c r="F130" i="2"/>
  <c r="F131" i="2"/>
  <c r="F132" i="2" s="1"/>
  <c r="K203" i="2"/>
  <c r="K120" i="2"/>
  <c r="K121" i="2"/>
  <c r="K122" i="2" s="1"/>
  <c r="AD43" i="2"/>
  <c r="AD42" i="2"/>
  <c r="AG38" i="2"/>
  <c r="AG37" i="2"/>
  <c r="P140" i="2"/>
  <c r="P141" i="2"/>
  <c r="P142" i="2" s="1"/>
  <c r="H140" i="2"/>
  <c r="L140" i="2" s="1"/>
  <c r="H141" i="2"/>
  <c r="H142" i="2" s="1"/>
  <c r="AE20" i="2"/>
  <c r="AE23" i="2" s="1"/>
  <c r="N204" i="2"/>
  <c r="F204" i="2"/>
  <c r="P108" i="2"/>
  <c r="P107" i="2"/>
  <c r="L194" i="2"/>
  <c r="L196" i="2" s="1"/>
  <c r="N130" i="2"/>
  <c r="N131" i="2"/>
  <c r="N132" i="2" s="1"/>
  <c r="G203" i="2"/>
  <c r="G120" i="2"/>
  <c r="G121" i="2"/>
  <c r="G122" i="2" s="1"/>
  <c r="AD73" i="2"/>
  <c r="AD72" i="2"/>
  <c r="Z73" i="2"/>
  <c r="Z72" i="2"/>
  <c r="S60" i="2"/>
  <c r="R63" i="2"/>
  <c r="K161" i="2"/>
  <c r="K162" i="2" s="1"/>
  <c r="K160" i="2"/>
  <c r="G160" i="2"/>
  <c r="G161" i="2"/>
  <c r="G162" i="2" s="1"/>
  <c r="I156" i="2"/>
  <c r="I157" i="2" s="1"/>
  <c r="I155" i="2"/>
  <c r="L153" i="2"/>
  <c r="L156" i="2" s="1"/>
  <c r="E156" i="2"/>
  <c r="E157" i="2" s="1"/>
  <c r="E155" i="2"/>
  <c r="L155" i="2" s="1"/>
  <c r="S25" i="2"/>
  <c r="S28" i="2" s="1"/>
  <c r="T28" i="2" s="1"/>
  <c r="T29" i="2" s="1"/>
  <c r="R28" i="2"/>
  <c r="R22" i="2"/>
  <c r="L22" i="2"/>
  <c r="S19" i="2"/>
  <c r="AD18" i="2"/>
  <c r="AD17" i="2"/>
  <c r="M125" i="2"/>
  <c r="R123" i="2"/>
  <c r="M126" i="2"/>
  <c r="M127" i="2" s="1"/>
  <c r="E125" i="2"/>
  <c r="E126" i="2"/>
  <c r="E127" i="2" s="1"/>
  <c r="L123" i="2"/>
  <c r="L126" i="2" s="1"/>
  <c r="E115" i="2"/>
  <c r="E116" i="2" s="1"/>
  <c r="S14" i="2"/>
  <c r="AK11" i="2"/>
  <c r="AL11" i="2" s="1"/>
  <c r="AD13" i="2"/>
  <c r="AD12" i="2"/>
  <c r="J107" i="2"/>
  <c r="J108" i="2"/>
  <c r="P125" i="2"/>
  <c r="R12" i="2"/>
  <c r="G204" i="2"/>
  <c r="E203" i="2"/>
  <c r="E120" i="2"/>
  <c r="E121" i="2"/>
  <c r="E122" i="2" s="1"/>
  <c r="L118" i="2"/>
  <c r="X63" i="2"/>
  <c r="X62" i="2"/>
  <c r="AE60" i="2"/>
  <c r="AE63" i="2" s="1"/>
  <c r="F135" i="2"/>
  <c r="F136" i="2"/>
  <c r="F137" i="2" s="1"/>
  <c r="J130" i="2"/>
  <c r="J131" i="2"/>
  <c r="J132" i="2" s="1"/>
  <c r="J126" i="2"/>
  <c r="J127" i="2" s="1"/>
  <c r="J125" i="2"/>
  <c r="I204" i="2"/>
  <c r="Y17" i="2"/>
  <c r="AE17" i="2" s="1"/>
  <c r="L163" i="2"/>
  <c r="L166" i="2" s="1"/>
  <c r="E165" i="2"/>
  <c r="L165" i="2" s="1"/>
  <c r="E166" i="2"/>
  <c r="E167" i="2" s="1"/>
  <c r="R161" i="2"/>
  <c r="S158" i="2"/>
  <c r="S161" i="2" s="1"/>
  <c r="AA73" i="2"/>
  <c r="AA72" i="2"/>
  <c r="AH68" i="2"/>
  <c r="AH67" i="2"/>
  <c r="AG62" i="2"/>
  <c r="AG63" i="2"/>
  <c r="AF58" i="2"/>
  <c r="AF57" i="2"/>
  <c r="AK55" i="2"/>
  <c r="AJ52" i="2"/>
  <c r="AJ53" i="2"/>
  <c r="R140" i="2"/>
  <c r="R164" i="2"/>
  <c r="S164" i="2" s="1"/>
  <c r="AF48" i="2"/>
  <c r="AF47" i="2"/>
  <c r="AK45" i="2"/>
  <c r="AA87" i="2"/>
  <c r="AA88" i="2"/>
  <c r="R83" i="2"/>
  <c r="S80" i="2"/>
  <c r="S83" i="2" s="1"/>
  <c r="T83" i="2" s="1"/>
  <c r="T84" i="2" s="1"/>
  <c r="AA96" i="2"/>
  <c r="Q98" i="2"/>
  <c r="Q104" i="2" s="1"/>
  <c r="Q110" i="2"/>
  <c r="Q99" i="2"/>
  <c r="Q100" i="2" s="1"/>
  <c r="Q102" i="2" s="1"/>
  <c r="Q97" i="2"/>
  <c r="L87" i="2"/>
  <c r="AC88" i="2"/>
  <c r="AC87" i="2"/>
  <c r="R195" i="2"/>
  <c r="AB96" i="2"/>
  <c r="AD83" i="2"/>
  <c r="AD82" i="2"/>
  <c r="AD95" i="2"/>
  <c r="L77" i="2"/>
  <c r="Y77" i="2"/>
  <c r="Y78" i="2"/>
  <c r="M186" i="2"/>
  <c r="M187" i="2" s="1"/>
  <c r="L183" i="2"/>
  <c r="L186" i="2" s="1"/>
  <c r="F99" i="2"/>
  <c r="F100" i="2" s="1"/>
  <c r="F102" i="2" s="1"/>
  <c r="F98" i="2"/>
  <c r="F104" i="2" s="1"/>
  <c r="F110" i="2"/>
  <c r="F97" i="2"/>
  <c r="F101" i="2"/>
  <c r="X88" i="2"/>
  <c r="X87" i="2"/>
  <c r="AE85" i="2"/>
  <c r="L82" i="2"/>
  <c r="AC95" i="2"/>
  <c r="AC83" i="2"/>
  <c r="AC82" i="2"/>
  <c r="M190" i="2"/>
  <c r="E190" i="2"/>
  <c r="AK75" i="2"/>
  <c r="AF77" i="2"/>
  <c r="AF78" i="2"/>
  <c r="O191" i="2"/>
  <c r="O192" i="2" s="1"/>
  <c r="O190" i="2"/>
  <c r="G191" i="2"/>
  <c r="G192" i="2" s="1"/>
  <c r="G190" i="2"/>
  <c r="I201" i="2"/>
  <c r="I202" i="2" s="1"/>
  <c r="I200" i="2"/>
  <c r="E201" i="2"/>
  <c r="E202" i="2" s="1"/>
  <c r="E200" i="2"/>
  <c r="L198" i="2"/>
  <c r="L201" i="2" s="1"/>
  <c r="K195" i="2"/>
  <c r="K196" i="2"/>
  <c r="K197" i="2" s="1"/>
  <c r="Z78" i="2"/>
  <c r="Z77" i="2"/>
  <c r="AJ73" i="2"/>
  <c r="AJ72" i="2"/>
  <c r="E181" i="2"/>
  <c r="E182" i="2" s="1"/>
  <c r="E180" i="2"/>
  <c r="L180" i="2" s="1"/>
  <c r="L178" i="2"/>
  <c r="L181" i="2" s="1"/>
  <c r="Y68" i="2"/>
  <c r="Y67" i="2"/>
  <c r="AC63" i="2"/>
  <c r="AC62" i="2"/>
  <c r="AD63" i="2"/>
  <c r="AD62" i="2"/>
  <c r="R58" i="2"/>
  <c r="S55" i="2"/>
  <c r="S59" i="2"/>
  <c r="S52" i="2"/>
  <c r="E160" i="2"/>
  <c r="R42" i="2"/>
  <c r="S42" i="2" s="1"/>
  <c r="AE37" i="2"/>
  <c r="AJ93" i="2"/>
  <c r="AJ92" i="2"/>
  <c r="S90" i="2"/>
  <c r="R93" i="2"/>
  <c r="AH88" i="2"/>
  <c r="AH87" i="2"/>
  <c r="AF82" i="2"/>
  <c r="AI95" i="2"/>
  <c r="AI83" i="2"/>
  <c r="AI82" i="2"/>
  <c r="L83" i="2"/>
  <c r="H190" i="2"/>
  <c r="H191" i="2"/>
  <c r="H192" i="2" s="1"/>
  <c r="O186" i="2"/>
  <c r="O187" i="2" s="1"/>
  <c r="O185" i="2"/>
  <c r="R185" i="2" s="1"/>
  <c r="AI73" i="2"/>
  <c r="AI72" i="2"/>
  <c r="P180" i="2"/>
  <c r="P181" i="2"/>
  <c r="P182" i="2" s="1"/>
  <c r="R174" i="2"/>
  <c r="S174" i="2" s="1"/>
  <c r="Q166" i="2"/>
  <c r="Q165" i="2"/>
  <c r="X53" i="2"/>
  <c r="X52" i="2"/>
  <c r="AE50" i="2"/>
  <c r="AD48" i="2"/>
  <c r="AD47" i="2"/>
  <c r="X43" i="2"/>
  <c r="X42" i="2"/>
  <c r="AE42" i="2" s="1"/>
  <c r="AE40" i="2"/>
  <c r="AE43" i="2" s="1"/>
  <c r="AI38" i="2"/>
  <c r="AI37" i="2"/>
  <c r="AG33" i="2"/>
  <c r="AG32" i="2"/>
  <c r="AK32" i="2" s="1"/>
  <c r="AL32" i="2" s="1"/>
  <c r="AM32" i="2" s="1"/>
  <c r="AE25" i="2"/>
  <c r="AE28" i="2" s="1"/>
  <c r="AG96" i="2"/>
  <c r="X95" i="2"/>
  <c r="Z68" i="2"/>
  <c r="Z67" i="2"/>
  <c r="AF68" i="2"/>
  <c r="AF67" i="2"/>
  <c r="AK67" i="2" s="1"/>
  <c r="AK65" i="2"/>
  <c r="S56" i="2"/>
  <c r="AC58" i="2"/>
  <c r="AC57" i="2"/>
  <c r="AE51" i="2"/>
  <c r="AL51" i="2" s="1"/>
  <c r="N161" i="2"/>
  <c r="N162" i="2" s="1"/>
  <c r="N160" i="2"/>
  <c r="F161" i="2"/>
  <c r="F162" i="2" s="1"/>
  <c r="F160" i="2"/>
  <c r="L146" i="2"/>
  <c r="R27" i="2"/>
  <c r="S27" i="2" s="1"/>
  <c r="E98" i="2"/>
  <c r="E104" i="2" s="1"/>
  <c r="E110" i="2"/>
  <c r="L95" i="2"/>
  <c r="E97" i="2"/>
  <c r="E99" i="2"/>
  <c r="S69" i="2"/>
  <c r="T69" i="2" s="1"/>
  <c r="S61" i="2"/>
  <c r="Q155" i="2"/>
  <c r="Q156" i="2"/>
  <c r="R153" i="2"/>
  <c r="M156" i="2"/>
  <c r="M157" i="2" s="1"/>
  <c r="M155" i="2"/>
  <c r="R155" i="2" s="1"/>
  <c r="S155" i="2" s="1"/>
  <c r="J146" i="2"/>
  <c r="J147" i="2" s="1"/>
  <c r="J145" i="2"/>
  <c r="F146" i="2"/>
  <c r="F147" i="2" s="1"/>
  <c r="F145" i="2"/>
  <c r="S21" i="2"/>
  <c r="P131" i="2"/>
  <c r="P132" i="2" s="1"/>
  <c r="P130" i="2"/>
  <c r="H130" i="2"/>
  <c r="H131" i="2"/>
  <c r="H132" i="2" s="1"/>
  <c r="Q108" i="2"/>
  <c r="Q107" i="2"/>
  <c r="O151" i="2"/>
  <c r="O152" i="2" s="1"/>
  <c r="O150" i="2"/>
  <c r="R150" i="2" s="1"/>
  <c r="S150" i="2" s="1"/>
  <c r="AG18" i="2"/>
  <c r="AG17" i="2"/>
  <c r="K108" i="2"/>
  <c r="K107" i="2"/>
  <c r="AK41" i="2"/>
  <c r="AL41" i="2" s="1"/>
  <c r="G151" i="2"/>
  <c r="G152" i="2" s="1"/>
  <c r="G150" i="2"/>
  <c r="L150" i="2" s="1"/>
  <c r="L33" i="2"/>
  <c r="AK15" i="2"/>
  <c r="AF18" i="2"/>
  <c r="AF17" i="2"/>
  <c r="AK17" i="2" s="1"/>
  <c r="O115" i="2"/>
  <c r="O116" i="2" s="1"/>
  <c r="AK10" i="2"/>
  <c r="AF12" i="2"/>
  <c r="AK12" i="2" s="1"/>
  <c r="AF13" i="2"/>
  <c r="AB82" i="2"/>
  <c r="Y96" i="2"/>
  <c r="M110" i="2"/>
  <c r="I171" i="2"/>
  <c r="I172" i="2" s="1"/>
  <c r="I170" i="2"/>
  <c r="J136" i="2"/>
  <c r="J137" i="2" s="1"/>
  <c r="J135" i="2"/>
  <c r="F126" i="2"/>
  <c r="F127" i="2" s="1"/>
  <c r="F125" i="2"/>
  <c r="E204" i="2"/>
  <c r="L204" i="2" s="1"/>
  <c r="L119" i="2"/>
  <c r="R168" i="2"/>
  <c r="M170" i="2"/>
  <c r="R170" i="2" s="1"/>
  <c r="M171" i="2"/>
  <c r="M172" i="2" s="1"/>
  <c r="S51" i="2"/>
  <c r="Z53" i="2"/>
  <c r="Z52" i="2"/>
  <c r="L48" i="2"/>
  <c r="AK30" i="2"/>
  <c r="AG28" i="2"/>
  <c r="AG27" i="2"/>
  <c r="AK27" i="2" s="1"/>
  <c r="AL27" i="2" s="1"/>
  <c r="AM27" i="2" s="1"/>
  <c r="M130" i="2"/>
  <c r="R130" i="2" s="1"/>
  <c r="S130" i="2" s="1"/>
  <c r="R128" i="2"/>
  <c r="M131" i="2"/>
  <c r="M132" i="2" s="1"/>
  <c r="L128" i="2"/>
  <c r="L131" i="2" s="1"/>
  <c r="E131" i="2"/>
  <c r="E132" i="2" s="1"/>
  <c r="E130" i="2"/>
  <c r="L130" i="2" s="1"/>
  <c r="H204" i="2"/>
  <c r="R13" i="2"/>
  <c r="S10" i="2"/>
  <c r="S13" i="2" s="1"/>
  <c r="J203" i="2"/>
  <c r="J120" i="2"/>
  <c r="J121" i="2"/>
  <c r="J122" i="2" s="1"/>
  <c r="J208" i="2" s="1"/>
  <c r="J209" i="2" s="1"/>
  <c r="L12" i="2"/>
  <c r="L105" i="2"/>
  <c r="E108" i="2"/>
  <c r="E107" i="2"/>
  <c r="L62" i="2"/>
  <c r="S62" i="2" s="1"/>
  <c r="Y28" i="2"/>
  <c r="Y27" i="2"/>
  <c r="AE27" i="2" s="1"/>
  <c r="R23" i="2"/>
  <c r="S20" i="2"/>
  <c r="O203" i="2"/>
  <c r="O120" i="2"/>
  <c r="O121" i="2"/>
  <c r="O122" i="2" s="1"/>
  <c r="O208" i="2" s="1"/>
  <c r="O209" i="2" s="1"/>
  <c r="S15" i="2"/>
  <c r="S18" i="2" s="1"/>
  <c r="T18" i="2" s="1"/>
  <c r="S58" i="2" l="1"/>
  <c r="T58" i="2" s="1"/>
  <c r="AE87" i="2"/>
  <c r="R125" i="2"/>
  <c r="S87" i="2"/>
  <c r="S96" i="2"/>
  <c r="I101" i="2"/>
  <c r="L135" i="2"/>
  <c r="S194" i="2"/>
  <c r="S196" i="2" s="1"/>
  <c r="S63" i="2"/>
  <c r="T63" i="2" s="1"/>
  <c r="AK37" i="2"/>
  <c r="AL37" i="2" s="1"/>
  <c r="AM37" i="2" s="1"/>
  <c r="K208" i="2"/>
  <c r="K209" i="2" s="1"/>
  <c r="L195" i="2"/>
  <c r="S195" i="2" s="1"/>
  <c r="L185" i="2"/>
  <c r="L145" i="2"/>
  <c r="N101" i="2"/>
  <c r="S185" i="2"/>
  <c r="S135" i="2"/>
  <c r="R156" i="2"/>
  <c r="S153" i="2"/>
  <c r="S156" i="2" s="1"/>
  <c r="AK82" i="2"/>
  <c r="S93" i="2"/>
  <c r="T93" i="2" s="1"/>
  <c r="T59" i="2"/>
  <c r="AK77" i="2"/>
  <c r="AE88" i="2"/>
  <c r="Q101" i="2"/>
  <c r="AK47" i="2"/>
  <c r="S140" i="2"/>
  <c r="AK57" i="2"/>
  <c r="L121" i="2"/>
  <c r="S115" i="2"/>
  <c r="S116" i="2" s="1"/>
  <c r="L125" i="2"/>
  <c r="S22" i="2"/>
  <c r="G206" i="2"/>
  <c r="G207" i="2" s="1"/>
  <c r="G205" i="2"/>
  <c r="AE67" i="2"/>
  <c r="AL67" i="2" s="1"/>
  <c r="AM67" i="2" s="1"/>
  <c r="R165" i="2"/>
  <c r="S165" i="2" s="1"/>
  <c r="S72" i="2"/>
  <c r="H101" i="2"/>
  <c r="AK93" i="2"/>
  <c r="AL90" i="2"/>
  <c r="AL93" i="2" s="1"/>
  <c r="O101" i="2"/>
  <c r="AG101" i="2"/>
  <c r="AG102" i="2" s="1"/>
  <c r="AG104" i="2" s="1"/>
  <c r="AG98" i="2"/>
  <c r="AG97" i="2"/>
  <c r="AG103" i="2" s="1"/>
  <c r="AK88" i="2"/>
  <c r="AL85" i="2"/>
  <c r="S151" i="2"/>
  <c r="F206" i="2"/>
  <c r="F207" i="2" s="1"/>
  <c r="F205" i="2"/>
  <c r="S17" i="2"/>
  <c r="AK22" i="2"/>
  <c r="T49" i="2"/>
  <c r="R99" i="2"/>
  <c r="H205" i="2"/>
  <c r="H206" i="2"/>
  <c r="H207" i="2" s="1"/>
  <c r="AL50" i="2"/>
  <c r="AL53" i="2" s="1"/>
  <c r="AK53" i="2"/>
  <c r="P112" i="2"/>
  <c r="P113" i="2"/>
  <c r="R180" i="2"/>
  <c r="S180" i="2" s="1"/>
  <c r="AE77" i="2"/>
  <c r="AA97" i="2"/>
  <c r="AA101" i="2"/>
  <c r="AA102" i="2" s="1"/>
  <c r="AA104" i="2" s="1"/>
  <c r="AA98" i="2"/>
  <c r="R120" i="2"/>
  <c r="AE47" i="2"/>
  <c r="AE12" i="2"/>
  <c r="AL12" i="2" s="1"/>
  <c r="AM12" i="2" s="1"/>
  <c r="S106" i="2"/>
  <c r="I208" i="2"/>
  <c r="I209" i="2" s="1"/>
  <c r="AE22" i="2"/>
  <c r="Y101" i="2"/>
  <c r="Y102" i="2" s="1"/>
  <c r="Y104" i="2" s="1"/>
  <c r="Y98" i="2"/>
  <c r="Y97" i="2"/>
  <c r="AB101" i="2"/>
  <c r="AB102" i="2" s="1"/>
  <c r="AB104" i="2" s="1"/>
  <c r="AB98" i="2"/>
  <c r="AB97" i="2"/>
  <c r="AB103" i="2" s="1"/>
  <c r="AL80" i="2"/>
  <c r="AL83" i="2" s="1"/>
  <c r="AE96" i="2"/>
  <c r="AF102" i="2"/>
  <c r="AF104" i="2" s="1"/>
  <c r="AL10" i="2"/>
  <c r="AL13" i="2" s="1"/>
  <c r="AK13" i="2"/>
  <c r="S170" i="2"/>
  <c r="F112" i="2"/>
  <c r="F113" i="2"/>
  <c r="AD101" i="2"/>
  <c r="AD102" i="2" s="1"/>
  <c r="AD97" i="2"/>
  <c r="AD103" i="2" s="1"/>
  <c r="AD104" i="2"/>
  <c r="AD98" i="2"/>
  <c r="E208" i="2"/>
  <c r="S12" i="2"/>
  <c r="AK28" i="2"/>
  <c r="AL25" i="2"/>
  <c r="AL28" i="2" s="1"/>
  <c r="H113" i="2"/>
  <c r="H112" i="2"/>
  <c r="AK92" i="2"/>
  <c r="R160" i="2"/>
  <c r="G113" i="2"/>
  <c r="G112" i="2"/>
  <c r="AH98" i="2"/>
  <c r="AH97" i="2"/>
  <c r="AH101" i="2"/>
  <c r="AH102" i="2" s="1"/>
  <c r="AH104" i="2" s="1"/>
  <c r="AK96" i="2"/>
  <c r="AL96" i="2" s="1"/>
  <c r="S82" i="2"/>
  <c r="T54" i="2"/>
  <c r="T64" i="2"/>
  <c r="N208" i="2"/>
  <c r="N209" i="2" s="1"/>
  <c r="R175" i="2"/>
  <c r="AK43" i="2"/>
  <c r="AL40" i="2"/>
  <c r="AL43" i="2" s="1"/>
  <c r="R181" i="2"/>
  <c r="S178" i="2"/>
  <c r="S181" i="2" s="1"/>
  <c r="AE92" i="2"/>
  <c r="S77" i="2"/>
  <c r="L170" i="2"/>
  <c r="M208" i="2"/>
  <c r="M209" i="2" s="1"/>
  <c r="AL60" i="2"/>
  <c r="AL63" i="2" s="1"/>
  <c r="AK63" i="2"/>
  <c r="I205" i="2"/>
  <c r="I206" i="2"/>
  <c r="I207" i="2" s="1"/>
  <c r="S97" i="2"/>
  <c r="I112" i="2"/>
  <c r="I113" i="2"/>
  <c r="AK95" i="2"/>
  <c r="L111" i="2"/>
  <c r="S111" i="2" s="1"/>
  <c r="Z98" i="2"/>
  <c r="Z97" i="2"/>
  <c r="Z101" i="2"/>
  <c r="Z102" i="2" s="1"/>
  <c r="Z104" i="2" s="1"/>
  <c r="R196" i="2"/>
  <c r="E100" i="2"/>
  <c r="L99" i="2"/>
  <c r="AK78" i="2"/>
  <c r="AL75" i="2"/>
  <c r="AL78" i="2" s="1"/>
  <c r="AM78" i="2" s="1"/>
  <c r="O206" i="2"/>
  <c r="O207" i="2" s="1"/>
  <c r="O205" i="2"/>
  <c r="J206" i="2"/>
  <c r="J207" i="2" s="1"/>
  <c r="J205" i="2"/>
  <c r="R171" i="2"/>
  <c r="S168" i="2"/>
  <c r="S171" i="2" s="1"/>
  <c r="AL17" i="2"/>
  <c r="AM17" i="2" s="1"/>
  <c r="S104" i="2"/>
  <c r="X101" i="2"/>
  <c r="X102" i="2" s="1"/>
  <c r="X104" i="2" s="1"/>
  <c r="X98" i="2"/>
  <c r="AE95" i="2"/>
  <c r="X97" i="2"/>
  <c r="X103" i="2" s="1"/>
  <c r="AE53" i="2"/>
  <c r="L160" i="2"/>
  <c r="L190" i="2"/>
  <c r="AC101" i="2"/>
  <c r="AC102" i="2" s="1"/>
  <c r="AC104" i="2" s="1"/>
  <c r="AC98" i="2"/>
  <c r="AC97" i="2"/>
  <c r="AE62" i="2"/>
  <c r="L120" i="2"/>
  <c r="R126" i="2"/>
  <c r="S123" i="2"/>
  <c r="S126" i="2" s="1"/>
  <c r="T19" i="2"/>
  <c r="G208" i="2"/>
  <c r="G209" i="2" s="1"/>
  <c r="Q205" i="2"/>
  <c r="Q206" i="2"/>
  <c r="Q207" i="2" s="1"/>
  <c r="R201" i="2"/>
  <c r="S198" i="2"/>
  <c r="S201" i="2" s="1"/>
  <c r="AL70" i="2"/>
  <c r="AL73" i="2" s="1"/>
  <c r="AK73" i="2"/>
  <c r="T94" i="2"/>
  <c r="R186" i="2"/>
  <c r="S183" i="2"/>
  <c r="S186" i="2" s="1"/>
  <c r="AK87" i="2"/>
  <c r="AL87" i="2" s="1"/>
  <c r="AM87" i="2" s="1"/>
  <c r="AL86" i="2"/>
  <c r="R108" i="2"/>
  <c r="R107" i="2"/>
  <c r="S105" i="2"/>
  <c r="P208" i="2"/>
  <c r="P209" i="2" s="1"/>
  <c r="S119" i="2"/>
  <c r="R176" i="2"/>
  <c r="S173" i="2"/>
  <c r="S176" i="2" s="1"/>
  <c r="AK52" i="2"/>
  <c r="AE72" i="2"/>
  <c r="AE93" i="2"/>
  <c r="S118" i="2"/>
  <c r="R121" i="2"/>
  <c r="AK62" i="2"/>
  <c r="AL62" i="2" s="1"/>
  <c r="AM62" i="2" s="1"/>
  <c r="AE82" i="2"/>
  <c r="AF97" i="2"/>
  <c r="AK18" i="2"/>
  <c r="AL15" i="2"/>
  <c r="AL18" i="2" s="1"/>
  <c r="L110" i="2"/>
  <c r="E112" i="2"/>
  <c r="E113" i="2"/>
  <c r="AK68" i="2"/>
  <c r="AL65" i="2"/>
  <c r="AL68" i="2" s="1"/>
  <c r="L108" i="2"/>
  <c r="L107" i="2"/>
  <c r="S23" i="2"/>
  <c r="T23" i="2" s="1"/>
  <c r="T24" i="2" s="1"/>
  <c r="T98" i="2"/>
  <c r="E1" i="2" s="1"/>
  <c r="T13" i="2"/>
  <c r="T14" i="2" s="1"/>
  <c r="S128" i="2"/>
  <c r="S131" i="2" s="1"/>
  <c r="R131" i="2"/>
  <c r="AL30" i="2"/>
  <c r="AL33" i="2" s="1"/>
  <c r="AK33" i="2"/>
  <c r="M113" i="2"/>
  <c r="R110" i="2"/>
  <c r="M112" i="2"/>
  <c r="L97" i="2"/>
  <c r="L98" i="2"/>
  <c r="AE52" i="2"/>
  <c r="AI97" i="2"/>
  <c r="AI101" i="2"/>
  <c r="AI102" i="2" s="1"/>
  <c r="AI104" i="2" s="1"/>
  <c r="AI98" i="2"/>
  <c r="L200" i="2"/>
  <c r="S200" i="2" s="1"/>
  <c r="R190" i="2"/>
  <c r="S190" i="2" s="1"/>
  <c r="Q113" i="2"/>
  <c r="Q112" i="2"/>
  <c r="AL45" i="2"/>
  <c r="AL48" i="2" s="1"/>
  <c r="AK48" i="2"/>
  <c r="AL55" i="2"/>
  <c r="AL58" i="2" s="1"/>
  <c r="AK58" i="2"/>
  <c r="E205" i="2"/>
  <c r="E206" i="2"/>
  <c r="E207" i="2" s="1"/>
  <c r="L203" i="2"/>
  <c r="L206" i="2" s="1"/>
  <c r="S125" i="2"/>
  <c r="K206" i="2"/>
  <c r="K207" i="2" s="1"/>
  <c r="K205" i="2"/>
  <c r="S163" i="2"/>
  <c r="S166" i="2" s="1"/>
  <c r="R166" i="2"/>
  <c r="AE57" i="2"/>
  <c r="AK72" i="2"/>
  <c r="AJ101" i="2"/>
  <c r="AJ102" i="2" s="1"/>
  <c r="AJ104" i="2" s="1"/>
  <c r="AJ98" i="2"/>
  <c r="AJ97" i="2"/>
  <c r="O113" i="2"/>
  <c r="O112" i="2"/>
  <c r="J112" i="2"/>
  <c r="J113" i="2"/>
  <c r="N112" i="2"/>
  <c r="N113" i="2"/>
  <c r="F208" i="2"/>
  <c r="F209" i="2" s="1"/>
  <c r="N206" i="2"/>
  <c r="N207" i="2" s="1"/>
  <c r="N205" i="2"/>
  <c r="AK23" i="2"/>
  <c r="AL20" i="2"/>
  <c r="AL23" i="2" s="1"/>
  <c r="M102" i="2"/>
  <c r="R102" i="2" s="1"/>
  <c r="R100" i="2"/>
  <c r="M101" i="2"/>
  <c r="H208" i="2"/>
  <c r="H209" i="2" s="1"/>
  <c r="P205" i="2"/>
  <c r="P206" i="2"/>
  <c r="P207" i="2" s="1"/>
  <c r="R204" i="2"/>
  <c r="S204" i="2" s="1"/>
  <c r="S53" i="2"/>
  <c r="T53" i="2" s="1"/>
  <c r="AK42" i="2"/>
  <c r="AL42" i="2" s="1"/>
  <c r="AM42" i="2" s="1"/>
  <c r="P101" i="2"/>
  <c r="L175" i="2"/>
  <c r="S145" i="2"/>
  <c r="M205" i="2"/>
  <c r="M206" i="2"/>
  <c r="M207" i="2" s="1"/>
  <c r="R203" i="2"/>
  <c r="K113" i="2"/>
  <c r="K112" i="2"/>
  <c r="AK83" i="2"/>
  <c r="S95" i="2"/>
  <c r="S98" i="2" s="1"/>
  <c r="V107" i="2" s="1"/>
  <c r="AF98" i="2"/>
  <c r="AL57" i="2" l="1"/>
  <c r="AM57" i="2" s="1"/>
  <c r="AL47" i="2"/>
  <c r="AM47" i="2" s="1"/>
  <c r="T104" i="2"/>
  <c r="V108" i="2"/>
  <c r="V109" i="2" s="1"/>
  <c r="F1" i="2"/>
  <c r="R112" i="2"/>
  <c r="S110" i="2"/>
  <c r="R113" i="2"/>
  <c r="R205" i="2"/>
  <c r="AL72" i="2"/>
  <c r="AM72" i="2" s="1"/>
  <c r="AI103" i="2"/>
  <c r="Z103" i="2"/>
  <c r="S175" i="2"/>
  <c r="E209" i="2"/>
  <c r="S209" i="2" s="1"/>
  <c r="S208" i="2"/>
  <c r="AJ103" i="2"/>
  <c r="L205" i="2"/>
  <c r="AF103" i="2"/>
  <c r="S121" i="2"/>
  <c r="S108" i="2"/>
  <c r="S107" i="2"/>
  <c r="AC103" i="2"/>
  <c r="L100" i="2"/>
  <c r="S100" i="2" s="1"/>
  <c r="E102" i="2"/>
  <c r="L102" i="2" s="1"/>
  <c r="S102" i="2" s="1"/>
  <c r="E101" i="2"/>
  <c r="AL92" i="2"/>
  <c r="AM92" i="2" s="1"/>
  <c r="R101" i="2"/>
  <c r="AL77" i="2"/>
  <c r="R206" i="2"/>
  <c r="S203" i="2"/>
  <c r="S206" i="2" s="1"/>
  <c r="T206" i="2" s="1"/>
  <c r="L113" i="2"/>
  <c r="L112" i="2"/>
  <c r="AE97" i="2"/>
  <c r="AE98" i="2"/>
  <c r="AE101" i="2"/>
  <c r="AE102" i="2" s="1"/>
  <c r="AE104" i="2" s="1"/>
  <c r="AH103" i="2"/>
  <c r="Y103" i="2"/>
  <c r="AA103" i="2"/>
  <c r="AL22" i="2"/>
  <c r="AM22" i="2" s="1"/>
  <c r="G1" i="2"/>
  <c r="S207" i="2"/>
  <c r="AL52" i="2"/>
  <c r="AM52" i="2" s="1"/>
  <c r="L101" i="2"/>
  <c r="S99" i="2"/>
  <c r="AK101" i="2"/>
  <c r="AK102" i="2" s="1"/>
  <c r="AK98" i="2"/>
  <c r="AK104" i="2"/>
  <c r="AL95" i="2"/>
  <c r="AK97" i="2"/>
  <c r="S160" i="2"/>
  <c r="S120" i="2"/>
  <c r="AL88" i="2"/>
  <c r="AL82" i="2"/>
  <c r="AM82" i="2" s="1"/>
  <c r="T208" i="2" l="1"/>
  <c r="T209" i="2"/>
  <c r="T207" i="2"/>
  <c r="S113" i="2"/>
  <c r="S112" i="2"/>
  <c r="AL101" i="2"/>
  <c r="AL102" i="2" s="1"/>
  <c r="AL104" i="2" s="1"/>
  <c r="AL97" i="2"/>
  <c r="AL98" i="2"/>
  <c r="S101" i="2"/>
  <c r="S205" i="2"/>
</calcChain>
</file>

<file path=xl/sharedStrings.xml><?xml version="1.0" encoding="utf-8"?>
<sst xmlns="http://schemas.openxmlformats.org/spreadsheetml/2006/main" count="2073" uniqueCount="241">
  <si>
    <t>DATA PENGIRIMAN UANG KE KBI-KBI -DALAM JUTAAN</t>
  </si>
  <si>
    <t>PETI (Jutaan Rp)</t>
  </si>
  <si>
    <t>CONTAINER TRANSPARAN (Jutaan Rp)</t>
  </si>
  <si>
    <t>TOTAL (Jutaan Rp)</t>
  </si>
  <si>
    <t>TOTAL</t>
  </si>
  <si>
    <t>TANGGAL</t>
  </si>
  <si>
    <t>SATKER</t>
  </si>
  <si>
    <t>SARANA ANGKUT</t>
  </si>
  <si>
    <t>TPU</t>
  </si>
  <si>
    <t>Uang Kertas</t>
  </si>
  <si>
    <t>Uang Logam</t>
  </si>
  <si>
    <t>NAMA SARANA</t>
  </si>
  <si>
    <t>LORI</t>
  </si>
  <si>
    <t>TRUK</t>
  </si>
  <si>
    <t>TRUK-FERRY</t>
  </si>
  <si>
    <t>TRUK-FERRY-KA</t>
  </si>
  <si>
    <t>KAPAL</t>
  </si>
  <si>
    <t>KERETA API</t>
  </si>
  <si>
    <t>PESAWAT UDARA</t>
  </si>
  <si>
    <t>100.000</t>
  </si>
  <si>
    <t>50.000</t>
  </si>
  <si>
    <t>20.000</t>
  </si>
  <si>
    <t>10.000</t>
  </si>
  <si>
    <t>5.000</t>
  </si>
  <si>
    <t>2.000</t>
  </si>
  <si>
    <t>1.000</t>
  </si>
  <si>
    <t>Jumlah UK</t>
  </si>
  <si>
    <t>Jumlah UL</t>
  </si>
  <si>
    <t>Jumlah</t>
  </si>
  <si>
    <t>KEND.DINAS</t>
  </si>
  <si>
    <t>PENUMPANG / PELNI</t>
  </si>
  <si>
    <t>BARANG</t>
  </si>
  <si>
    <t xml:space="preserve"> TE 2004</t>
  </si>
  <si>
    <t xml:space="preserve"> TE 2014</t>
  </si>
  <si>
    <t xml:space="preserve"> TE 2016</t>
  </si>
  <si>
    <t xml:space="preserve"> TE 2005</t>
  </si>
  <si>
    <t xml:space="preserve"> TE 2001</t>
  </si>
  <si>
    <t xml:space="preserve"> TE 2009</t>
  </si>
  <si>
    <t xml:space="preserve"> TE 2000</t>
  </si>
  <si>
    <t xml:space="preserve"> TE 2010</t>
  </si>
  <si>
    <t xml:space="preserve"> TE 2003</t>
  </si>
  <si>
    <t xml:space="preserve"> TE 1991</t>
  </si>
  <si>
    <t xml:space="preserve"> TE 1999</t>
  </si>
  <si>
    <t xml:space="preserve"> TE 1970</t>
  </si>
  <si>
    <t>UK + UL</t>
  </si>
  <si>
    <t>KP</t>
  </si>
  <si>
    <t>KBI</t>
  </si>
  <si>
    <t>Kontainer</t>
  </si>
  <si>
    <t>Palka/Loker</t>
  </si>
  <si>
    <t>SIL</t>
  </si>
  <si>
    <t>FPS</t>
  </si>
  <si>
    <t>JUMLAH</t>
  </si>
  <si>
    <t>JANUARI 2018</t>
  </si>
  <si>
    <t>PgUK</t>
  </si>
  <si>
    <t>Lori/Froklift</t>
  </si>
  <si>
    <t>DPK</t>
  </si>
  <si>
    <t>Uji Sampling</t>
  </si>
  <si>
    <t>Hasil Sampling</t>
  </si>
  <si>
    <t>Bjm</t>
  </si>
  <si>
    <t>KM Kuala Mas</t>
  </si>
  <si>
    <t>Sm</t>
  </si>
  <si>
    <t>KA Manoreh</t>
  </si>
  <si>
    <t>Mks</t>
  </si>
  <si>
    <t>KM Dobonsolo</t>
  </si>
  <si>
    <t>Btm</t>
  </si>
  <si>
    <t>KM Kelud</t>
  </si>
  <si>
    <t>Mdn</t>
  </si>
  <si>
    <t>KPw</t>
  </si>
  <si>
    <t>Dpr</t>
  </si>
  <si>
    <t>KA Bima via Jr</t>
  </si>
  <si>
    <t>Sb</t>
  </si>
  <si>
    <t>KM Dorolonda</t>
  </si>
  <si>
    <t>Pg</t>
  </si>
  <si>
    <t>KM Lagoa Mas</t>
  </si>
  <si>
    <t>Mo</t>
  </si>
  <si>
    <t>Cn</t>
  </si>
  <si>
    <t>Truck</t>
  </si>
  <si>
    <t>Bpp</t>
  </si>
  <si>
    <t>KM Telaga Mas</t>
  </si>
  <si>
    <t>Sr</t>
  </si>
  <si>
    <t>KM Samudera Mas</t>
  </si>
  <si>
    <t>Ptk</t>
  </si>
  <si>
    <t>KM Mare Mas</t>
  </si>
  <si>
    <t>Bdl</t>
  </si>
  <si>
    <t>Dari KOC</t>
  </si>
  <si>
    <t>Bd</t>
  </si>
  <si>
    <t>Pdg</t>
  </si>
  <si>
    <t>KM Kali Mas</t>
  </si>
  <si>
    <t>KP&amp;KPw</t>
  </si>
  <si>
    <t>KA Bima Via Sb</t>
  </si>
  <si>
    <t>KM Ceremai</t>
  </si>
  <si>
    <t>Bn</t>
  </si>
  <si>
    <t>Truck Project CCNP</t>
  </si>
  <si>
    <t>KA Bima Via Jr</t>
  </si>
  <si>
    <t>KM Estuari Mas</t>
  </si>
  <si>
    <t>KM Ciremai</t>
  </si>
  <si>
    <t>Retur 012.0001 dri Bd</t>
  </si>
  <si>
    <t>KAI Via Jr</t>
  </si>
  <si>
    <t>KM Tasik Mas</t>
  </si>
  <si>
    <t>Retur 010.0000</t>
  </si>
  <si>
    <t>Retur 012.0001 dri Sr</t>
  </si>
  <si>
    <t>KM Sinar Praya</t>
  </si>
  <si>
    <t>Titipan PgUK</t>
  </si>
  <si>
    <t>KA Sembrani</t>
  </si>
  <si>
    <t>Retur Sm 010.000 Eks</t>
  </si>
  <si>
    <t>Retur Sm 012.0001</t>
  </si>
  <si>
    <t>Retur KBT dri Sm</t>
  </si>
  <si>
    <t>Retur dari Sr</t>
  </si>
  <si>
    <t>Retur dari Pg dan Dpr</t>
  </si>
  <si>
    <t>KM Belik Mas</t>
  </si>
  <si>
    <t>KM Sungai Mas</t>
  </si>
  <si>
    <t>KM Situ Mas</t>
  </si>
  <si>
    <t>KA Sriwijaya</t>
  </si>
  <si>
    <t>KM Selat Mas</t>
  </si>
  <si>
    <t>KM Intan Daya</t>
  </si>
  <si>
    <t>KA Sembrani via Jr</t>
  </si>
  <si>
    <t>Pbr</t>
  </si>
  <si>
    <t>KM Hilir Mas</t>
  </si>
  <si>
    <t>KM G Dempo</t>
  </si>
  <si>
    <t>Pguk</t>
  </si>
  <si>
    <t>Remise KBT Ptk</t>
  </si>
  <si>
    <t>Retur KBT dan ULE dr Mo</t>
  </si>
  <si>
    <t>Retur KBT dri Bpp</t>
  </si>
  <si>
    <t>Ka Sembrani</t>
  </si>
  <si>
    <t>Via Surabaya</t>
  </si>
  <si>
    <t>KM Jales Mas</t>
  </si>
  <si>
    <t>KM Umbul Mas</t>
  </si>
  <si>
    <t>Bpp KBT</t>
  </si>
  <si>
    <t>Pg KBT</t>
  </si>
  <si>
    <t>Mo KBT</t>
  </si>
  <si>
    <t>Sm KBT</t>
  </si>
  <si>
    <t>KM Kanal Mas</t>
  </si>
  <si>
    <t>Ptk KBT</t>
  </si>
  <si>
    <t>Sb KBT</t>
  </si>
  <si>
    <t>Dpr KBT</t>
  </si>
  <si>
    <t>Rek 012.0001</t>
  </si>
  <si>
    <t>Mdn KBT</t>
  </si>
  <si>
    <t>KM Lagun Mas</t>
  </si>
  <si>
    <t>KM Warih Mas</t>
  </si>
  <si>
    <t>Bdl KBT</t>
  </si>
  <si>
    <t>Lori/Frolift</t>
  </si>
  <si>
    <t>Kirim Rek 012.0001</t>
  </si>
  <si>
    <t>KM Laguna Mas</t>
  </si>
  <si>
    <t>Retur 012.0001</t>
  </si>
  <si>
    <t>Kiriman dari Sb</t>
  </si>
  <si>
    <t>KA Sembrani via Sb</t>
  </si>
  <si>
    <t>KA Sembarni Via Jr</t>
  </si>
  <si>
    <t>Penyerahan Good Over</t>
  </si>
  <si>
    <t>DU</t>
  </si>
  <si>
    <t>Kas Besar ULE Bd</t>
  </si>
  <si>
    <t>Retur Sm 010.0003</t>
  </si>
  <si>
    <t>KM Manoreh</t>
  </si>
  <si>
    <t>PguK</t>
  </si>
  <si>
    <t>Retur dari Sm Rek 012.0001</t>
  </si>
  <si>
    <t>Kirim ke rek ULE 010.0003</t>
  </si>
  <si>
    <t>DDU</t>
  </si>
  <si>
    <t>ULE 010.0003</t>
  </si>
  <si>
    <t>Periode / Bulan</t>
  </si>
  <si>
    <t>Tahun 2018</t>
  </si>
  <si>
    <t>Keterangan</t>
  </si>
  <si>
    <t>Kirim+Retur (Net)</t>
  </si>
  <si>
    <t>Januari</t>
  </si>
  <si>
    <t>Februari</t>
  </si>
  <si>
    <t>TAHUN 2018</t>
  </si>
  <si>
    <t>Maret</t>
  </si>
  <si>
    <t>(Dalam Jutaan Rp)</t>
  </si>
  <si>
    <t>(Dalam Peti)</t>
  </si>
  <si>
    <t>April</t>
  </si>
  <si>
    <t xml:space="preserve"> </t>
  </si>
  <si>
    <t>SATKER KAS</t>
  </si>
  <si>
    <t>KETERANGAN</t>
  </si>
  <si>
    <t>UANG KERTAS</t>
  </si>
  <si>
    <t>JUMLAH
UK</t>
  </si>
  <si>
    <t>UANG LOGAM</t>
  </si>
  <si>
    <t>JUMLAH
UL</t>
  </si>
  <si>
    <t>JUMLAH
UK + UL</t>
  </si>
  <si>
    <t>Mei</t>
  </si>
  <si>
    <t>Juni</t>
  </si>
  <si>
    <t>Juli</t>
  </si>
  <si>
    <t xml:space="preserve">PgUK/PgUM </t>
  </si>
  <si>
    <t>EKU</t>
  </si>
  <si>
    <t>Agustus</t>
  </si>
  <si>
    <t>REALISASI</t>
  </si>
  <si>
    <t>September</t>
  </si>
  <si>
    <t>SISA</t>
  </si>
  <si>
    <t>Oktober</t>
  </si>
  <si>
    <t>% Real</t>
  </si>
  <si>
    <t>November</t>
  </si>
  <si>
    <t>Desember</t>
  </si>
  <si>
    <t>Depot Kas Medan</t>
  </si>
  <si>
    <t>Triwulan I</t>
  </si>
  <si>
    <t>Triwulan II</t>
  </si>
  <si>
    <t>Triwulan III</t>
  </si>
  <si>
    <t>Triwulan IV</t>
  </si>
  <si>
    <t>Semester I</t>
  </si>
  <si>
    <t>Depot Kas Pekanbaru</t>
  </si>
  <si>
    <t>Semester II</t>
  </si>
  <si>
    <t>Januari-April</t>
  </si>
  <si>
    <t>Januari-Mei</t>
  </si>
  <si>
    <t>Januari-Juli</t>
  </si>
  <si>
    <t>Depot Kas Palembang</t>
  </si>
  <si>
    <t>Januari-Agustus</t>
  </si>
  <si>
    <t>Januari-September</t>
  </si>
  <si>
    <t>Januari-Oktober</t>
  </si>
  <si>
    <t>Januari-November</t>
  </si>
  <si>
    <t xml:space="preserve">KBI Batam </t>
  </si>
  <si>
    <t>Depot Kas Bandung</t>
  </si>
  <si>
    <t>Depot Kas Lampung</t>
  </si>
  <si>
    <t>Depot Kas Semarang</t>
  </si>
  <si>
    <t>Depot Kas Surabaya</t>
  </si>
  <si>
    <t>Depot Kas Denpasar</t>
  </si>
  <si>
    <t>Depot Kas Banjarmasin</t>
  </si>
  <si>
    <t>Depot Kas Balikpapan</t>
  </si>
  <si>
    <t xml:space="preserve">KBI Pontianak </t>
  </si>
  <si>
    <t>Depot Kas Makassar</t>
  </si>
  <si>
    <t>Depot Kas Manado</t>
  </si>
  <si>
    <t>KBI Cirebon</t>
  </si>
  <si>
    <t>KBI Serang</t>
  </si>
  <si>
    <t>RKU</t>
  </si>
  <si>
    <t>70 % Dari Total</t>
  </si>
  <si>
    <t>90% dari EKU</t>
  </si>
  <si>
    <t>Sisa yang dikirim</t>
  </si>
  <si>
    <t>%</t>
  </si>
  <si>
    <t>90 % dari EKU</t>
  </si>
  <si>
    <t>Peti/Doos</t>
  </si>
  <si>
    <t>Average dari total</t>
  </si>
  <si>
    <t>30% IKU DPU (Perpecahan)</t>
  </si>
  <si>
    <t>AVERAGE PER KDK</t>
  </si>
  <si>
    <t>Alternatife IKU DPU</t>
  </si>
  <si>
    <t>UPB (Y dan X)</t>
  </si>
  <si>
    <t>UPK</t>
  </si>
  <si>
    <t>Total</t>
  </si>
  <si>
    <t>Pangsa UPB</t>
  </si>
  <si>
    <t>Pangsa UPK</t>
  </si>
  <si>
    <t>PROYEKSI OUTFLOW</t>
  </si>
  <si>
    <t>Average</t>
  </si>
  <si>
    <t>500</t>
  </si>
  <si>
    <t>200</t>
  </si>
  <si>
    <t>100</t>
  </si>
  <si>
    <t>50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</si>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</sst>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_);_(* \(#,##0.00000\);_(* &quot;-&quot;??_);_(@_)"/>
    <numFmt numFmtId="167" formatCode="_(* #,##0.000_);_(* \(#,##0.000\);_(* &quot;-&quot;??_);_(@_)"/>
    <numFmt numFmtId="168" formatCode="_(* #,##0.0000_);_(* \(#,##0.0000\);_(* &quot;-&quot;??_);_(@_)"/>
    <numFmt numFmtId="169" formatCode="#,##0.0"/>
    <numFmt numFmtId="170" formatCode="0.0%"/>
    <numFmt numFmtId="171" formatCode="0.0000"/>
    <numFmt numFmtId="172" formatCode="m/d/yy;@"/>
  </numFmts>
  <fonts count="2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10"/>
      <color indexed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FFFF00"/>
      <name val="Calibri"/>
      <family val="2"/>
      <charset val="1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0" fontId="1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2" borderId="0" xfId="0" applyFill="1"/>
    <xf numFmtId="0" fontId="4" fillId="3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41" fontId="7" fillId="3" borderId="2" xfId="2" quotePrefix="1" applyFont="1" applyFill="1" applyBorder="1" applyAlignment="1">
      <alignment horizontal="center"/>
    </xf>
    <xf numFmtId="41" fontId="8" fillId="5" borderId="2" xfId="2" quotePrefix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1" fontId="7" fillId="4" borderId="2" xfId="2" quotePrefix="1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43" fontId="0" fillId="0" borderId="21" xfId="1" applyFont="1" applyBorder="1"/>
    <xf numFmtId="43" fontId="0" fillId="0" borderId="20" xfId="1" applyFont="1" applyBorder="1"/>
    <xf numFmtId="164" fontId="0" fillId="0" borderId="20" xfId="1" applyNumberFormat="1" applyFont="1" applyBorder="1"/>
    <xf numFmtId="43" fontId="4" fillId="0" borderId="20" xfId="1" applyFont="1" applyBorder="1" applyAlignment="1">
      <alignment horizontal="center"/>
    </xf>
    <xf numFmtId="164" fontId="4" fillId="0" borderId="21" xfId="1" applyNumberFormat="1" applyFill="1" applyBorder="1"/>
    <xf numFmtId="164" fontId="10" fillId="0" borderId="21" xfId="1" applyNumberFormat="1" applyFont="1" applyFill="1" applyBorder="1"/>
    <xf numFmtId="165" fontId="4" fillId="0" borderId="21" xfId="1" applyNumberFormat="1" applyFill="1" applyBorder="1"/>
    <xf numFmtId="164" fontId="4" fillId="0" borderId="8" xfId="1" applyNumberFormat="1" applyFill="1" applyBorder="1"/>
    <xf numFmtId="164" fontId="10" fillId="0" borderId="0" xfId="1" applyNumberFormat="1" applyFont="1" applyFill="1" applyBorder="1"/>
    <xf numFmtId="164" fontId="0" fillId="2" borderId="0" xfId="0" applyNumberFormat="1" applyFill="1"/>
    <xf numFmtId="164" fontId="0" fillId="0" borderId="21" xfId="1" applyNumberFormat="1" applyFont="1" applyBorder="1"/>
    <xf numFmtId="43" fontId="0" fillId="0" borderId="21" xfId="1" applyFont="1" applyBorder="1" applyAlignment="1">
      <alignment horizontal="center"/>
    </xf>
    <xf numFmtId="164" fontId="4" fillId="0" borderId="8" xfId="1" applyNumberFormat="1" applyBorder="1"/>
    <xf numFmtId="166" fontId="4" fillId="0" borderId="21" xfId="1" applyNumberFormat="1" applyFill="1" applyBorder="1"/>
    <xf numFmtId="164" fontId="0" fillId="0" borderId="21" xfId="1" applyNumberFormat="1" applyFont="1" applyBorder="1" applyAlignment="1">
      <alignment horizontal="center"/>
    </xf>
    <xf numFmtId="167" fontId="4" fillId="0" borderId="21" xfId="1" applyNumberFormat="1" applyFill="1" applyBorder="1"/>
    <xf numFmtId="43" fontId="4" fillId="0" borderId="21" xfId="1" applyNumberFormat="1" applyFill="1" applyBorder="1"/>
    <xf numFmtId="43" fontId="0" fillId="0" borderId="21" xfId="1" applyFont="1" applyFill="1" applyBorder="1"/>
    <xf numFmtId="164" fontId="0" fillId="0" borderId="21" xfId="1" applyNumberFormat="1" applyFont="1" applyFill="1" applyBorder="1"/>
    <xf numFmtId="164" fontId="0" fillId="0" borderId="21" xfId="1" applyNumberFormat="1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168" fontId="4" fillId="0" borderId="21" xfId="1" applyNumberFormat="1" applyFill="1" applyBorder="1"/>
    <xf numFmtId="43" fontId="0" fillId="2" borderId="0" xfId="0" applyNumberFormat="1" applyFill="1"/>
    <xf numFmtId="164" fontId="10" fillId="0" borderId="21" xfId="1" applyNumberFormat="1" applyFont="1" applyBorder="1"/>
    <xf numFmtId="164" fontId="10" fillId="0" borderId="0" xfId="1" applyNumberFormat="1" applyFont="1" applyBorder="1"/>
    <xf numFmtId="164" fontId="10" fillId="0" borderId="22" xfId="1" applyNumberFormat="1" applyFont="1" applyBorder="1"/>
    <xf numFmtId="0" fontId="0" fillId="0" borderId="0" xfId="0" applyBorder="1"/>
    <xf numFmtId="0" fontId="0" fillId="2" borderId="0" xfId="0" applyFill="1" applyBorder="1"/>
    <xf numFmtId="0" fontId="4" fillId="0" borderId="0" xfId="3" applyAlignment="1">
      <alignment vertical="center"/>
    </xf>
    <xf numFmtId="0" fontId="11" fillId="0" borderId="2" xfId="3" applyFont="1" applyFill="1" applyBorder="1" applyAlignment="1">
      <alignment vertical="center"/>
    </xf>
    <xf numFmtId="0" fontId="13" fillId="0" borderId="2" xfId="4" applyFont="1" applyBorder="1" applyAlignment="1">
      <alignment vertical="center"/>
    </xf>
    <xf numFmtId="9" fontId="4" fillId="0" borderId="0" xfId="3" applyNumberFormat="1" applyAlignment="1">
      <alignment vertical="center"/>
    </xf>
    <xf numFmtId="0" fontId="4" fillId="0" borderId="0" xfId="3" applyAlignment="1"/>
    <xf numFmtId="0" fontId="11" fillId="0" borderId="2" xfId="3" applyFont="1" applyBorder="1" applyAlignment="1"/>
    <xf numFmtId="0" fontId="14" fillId="0" borderId="2" xfId="4" applyFont="1" applyBorder="1" applyAlignment="1"/>
    <xf numFmtId="0" fontId="12" fillId="0" borderId="0" xfId="4" applyAlignment="1"/>
    <xf numFmtId="0" fontId="12" fillId="0" borderId="0" xfId="4" applyFont="1" applyAlignment="1"/>
    <xf numFmtId="0" fontId="3" fillId="0" borderId="0" xfId="3" applyFont="1" applyAlignment="1"/>
    <xf numFmtId="9" fontId="4" fillId="0" borderId="0" xfId="3" applyNumberFormat="1" applyAlignment="1">
      <alignment horizontal="center"/>
    </xf>
    <xf numFmtId="164" fontId="4" fillId="0" borderId="0" xfId="5" applyNumberFormat="1" applyFont="1" applyFill="1" applyAlignment="1"/>
    <xf numFmtId="0" fontId="4" fillId="0" borderId="0" xfId="3" applyFill="1" applyAlignment="1"/>
    <xf numFmtId="0" fontId="16" fillId="0" borderId="0" xfId="3" applyFont="1" applyAlignment="1">
      <alignment horizontal="right"/>
    </xf>
    <xf numFmtId="164" fontId="4" fillId="0" borderId="0" xfId="5" applyNumberFormat="1" applyFont="1" applyAlignment="1"/>
    <xf numFmtId="3" fontId="17" fillId="7" borderId="2" xfId="3" applyNumberFormat="1" applyFont="1" applyFill="1" applyBorder="1" applyAlignment="1">
      <alignment horizontal="center"/>
    </xf>
    <xf numFmtId="0" fontId="18" fillId="0" borderId="1" xfId="3" applyFont="1" applyBorder="1" applyAlignment="1"/>
    <xf numFmtId="169" fontId="18" fillId="0" borderId="1" xfId="3" applyNumberFormat="1" applyFont="1" applyBorder="1" applyAlignment="1"/>
    <xf numFmtId="0" fontId="4" fillId="0" borderId="1" xfId="3" applyBorder="1" applyAlignment="1"/>
    <xf numFmtId="0" fontId="17" fillId="0" borderId="1" xfId="3" applyFont="1" applyBorder="1" applyAlignment="1"/>
    <xf numFmtId="169" fontId="17" fillId="0" borderId="1" xfId="3" applyNumberFormat="1" applyFont="1" applyFill="1" applyBorder="1" applyAlignment="1"/>
    <xf numFmtId="169" fontId="17" fillId="0" borderId="1" xfId="3" applyNumberFormat="1" applyFont="1" applyBorder="1" applyAlignment="1"/>
    <xf numFmtId="164" fontId="19" fillId="0" borderId="1" xfId="6" applyNumberFormat="1" applyFont="1" applyBorder="1" applyAlignment="1"/>
    <xf numFmtId="164" fontId="20" fillId="0" borderId="1" xfId="6" applyNumberFormat="1" applyFont="1" applyBorder="1" applyAlignment="1"/>
    <xf numFmtId="0" fontId="17" fillId="0" borderId="8" xfId="3" applyFont="1" applyBorder="1" applyAlignment="1"/>
    <xf numFmtId="169" fontId="17" fillId="0" borderId="8" xfId="3" applyNumberFormat="1" applyFont="1" applyBorder="1" applyAlignment="1"/>
    <xf numFmtId="164" fontId="19" fillId="0" borderId="8" xfId="6" applyNumberFormat="1" applyFont="1" applyBorder="1" applyAlignment="1"/>
    <xf numFmtId="164" fontId="20" fillId="0" borderId="8" xfId="6" applyNumberFormat="1" applyFont="1" applyBorder="1" applyAlignment="1"/>
    <xf numFmtId="164" fontId="21" fillId="0" borderId="8" xfId="6" applyNumberFormat="1" applyFont="1" applyBorder="1" applyAlignment="1"/>
    <xf numFmtId="164" fontId="12" fillId="0" borderId="0" xfId="5" applyNumberFormat="1" applyFont="1" applyAlignment="1"/>
    <xf numFmtId="10" fontId="17" fillId="0" borderId="8" xfId="7" applyNumberFormat="1" applyFont="1" applyBorder="1" applyAlignment="1"/>
    <xf numFmtId="10" fontId="19" fillId="0" borderId="8" xfId="7" applyNumberFormat="1" applyFont="1" applyBorder="1" applyAlignment="1"/>
    <xf numFmtId="10" fontId="20" fillId="0" borderId="8" xfId="7" applyNumberFormat="1" applyFont="1" applyBorder="1" applyAlignment="1"/>
    <xf numFmtId="9" fontId="22" fillId="0" borderId="0" xfId="8" applyFont="1" applyAlignment="1">
      <alignment horizontal="center"/>
    </xf>
    <xf numFmtId="0" fontId="17" fillId="0" borderId="2" xfId="3" applyFont="1" applyBorder="1" applyAlignment="1"/>
    <xf numFmtId="169" fontId="17" fillId="0" borderId="2" xfId="3" applyNumberFormat="1" applyFont="1" applyBorder="1" applyAlignment="1"/>
    <xf numFmtId="9" fontId="19" fillId="0" borderId="2" xfId="8" applyFont="1" applyBorder="1" applyAlignment="1"/>
    <xf numFmtId="164" fontId="20" fillId="0" borderId="2" xfId="6" applyNumberFormat="1" applyFont="1" applyBorder="1" applyAlignment="1"/>
    <xf numFmtId="9" fontId="22" fillId="0" borderId="0" xfId="3" applyNumberFormat="1" applyFont="1" applyAlignment="1">
      <alignment horizontal="center"/>
    </xf>
    <xf numFmtId="164" fontId="19" fillId="0" borderId="2" xfId="6" applyNumberFormat="1" applyFont="1" applyBorder="1" applyAlignment="1"/>
    <xf numFmtId="170" fontId="19" fillId="0" borderId="8" xfId="7" applyNumberFormat="1" applyFont="1" applyBorder="1" applyAlignment="1"/>
    <xf numFmtId="0" fontId="18" fillId="0" borderId="2" xfId="3" applyFont="1" applyBorder="1" applyAlignment="1"/>
    <xf numFmtId="169" fontId="18" fillId="0" borderId="2" xfId="3" applyNumberFormat="1" applyFont="1" applyBorder="1" applyAlignment="1"/>
    <xf numFmtId="164" fontId="16" fillId="0" borderId="2" xfId="6" applyNumberFormat="1" applyFont="1" applyBorder="1" applyAlignment="1"/>
    <xf numFmtId="164" fontId="4" fillId="0" borderId="2" xfId="6" applyNumberFormat="1" applyBorder="1" applyAlignment="1"/>
    <xf numFmtId="164" fontId="3" fillId="0" borderId="2" xfId="6" applyNumberFormat="1" applyFont="1" applyBorder="1" applyAlignment="1"/>
    <xf numFmtId="169" fontId="17" fillId="0" borderId="18" xfId="3" applyNumberFormat="1" applyFont="1" applyBorder="1" applyAlignment="1"/>
    <xf numFmtId="10" fontId="17" fillId="0" borderId="18" xfId="7" applyNumberFormat="1" applyFont="1" applyBorder="1" applyAlignment="1"/>
    <xf numFmtId="10" fontId="19" fillId="0" borderId="18" xfId="7" applyNumberFormat="1" applyFont="1" applyBorder="1" applyAlignment="1"/>
    <xf numFmtId="10" fontId="20" fillId="0" borderId="18" xfId="7" applyNumberFormat="1" applyFont="1" applyBorder="1" applyAlignment="1"/>
    <xf numFmtId="0" fontId="17" fillId="0" borderId="18" xfId="3" applyFont="1" applyBorder="1" applyAlignment="1"/>
    <xf numFmtId="1" fontId="4" fillId="0" borderId="0" xfId="3" applyNumberFormat="1" applyAlignment="1"/>
    <xf numFmtId="164" fontId="22" fillId="0" borderId="0" xfId="3" applyNumberFormat="1" applyFont="1" applyAlignment="1"/>
    <xf numFmtId="164" fontId="3" fillId="0" borderId="8" xfId="6" applyNumberFormat="1" applyFont="1" applyBorder="1" applyAlignment="1"/>
    <xf numFmtId="169" fontId="18" fillId="0" borderId="18" xfId="3" applyNumberFormat="1" applyFont="1" applyBorder="1" applyAlignment="1"/>
    <xf numFmtId="164" fontId="16" fillId="0" borderId="18" xfId="6" applyNumberFormat="1" applyFont="1" applyBorder="1" applyAlignment="1"/>
    <xf numFmtId="164" fontId="4" fillId="0" borderId="18" xfId="6" applyNumberFormat="1" applyBorder="1" applyAlignment="1"/>
    <xf numFmtId="164" fontId="3" fillId="0" borderId="18" xfId="6" applyNumberFormat="1" applyFont="1" applyBorder="1" applyAlignment="1"/>
    <xf numFmtId="9" fontId="19" fillId="0" borderId="18" xfId="7" applyNumberFormat="1" applyFont="1" applyBorder="1" applyAlignment="1"/>
    <xf numFmtId="164" fontId="20" fillId="0" borderId="18" xfId="6" applyNumberFormat="1" applyFont="1" applyBorder="1" applyAlignment="1"/>
    <xf numFmtId="164" fontId="19" fillId="0" borderId="18" xfId="6" applyNumberFormat="1" applyFont="1" applyBorder="1" applyAlignment="1"/>
    <xf numFmtId="38" fontId="3" fillId="0" borderId="2" xfId="3" applyNumberFormat="1" applyFont="1" applyBorder="1" applyAlignment="1"/>
    <xf numFmtId="38" fontId="4" fillId="0" borderId="0" xfId="3" applyNumberFormat="1" applyAlignment="1"/>
    <xf numFmtId="164" fontId="3" fillId="0" borderId="2" xfId="3" applyNumberFormat="1" applyFont="1" applyBorder="1" applyAlignment="1">
      <alignment horizontal="center"/>
    </xf>
    <xf numFmtId="10" fontId="3" fillId="0" borderId="2" xfId="7" applyNumberFormat="1" applyFont="1" applyBorder="1" applyAlignment="1"/>
    <xf numFmtId="10" fontId="3" fillId="0" borderId="2" xfId="7" applyNumberFormat="1" applyFont="1" applyFill="1" applyBorder="1" applyAlignment="1"/>
    <xf numFmtId="9" fontId="3" fillId="0" borderId="2" xfId="8" applyFont="1" applyBorder="1" applyAlignment="1">
      <alignment horizontal="center"/>
    </xf>
    <xf numFmtId="0" fontId="3" fillId="0" borderId="23" xfId="3" applyFont="1" applyFill="1" applyBorder="1" applyAlignment="1"/>
    <xf numFmtId="164" fontId="3" fillId="0" borderId="18" xfId="5" applyNumberFormat="1" applyFont="1" applyFill="1" applyBorder="1" applyAlignment="1"/>
    <xf numFmtId="164" fontId="3" fillId="0" borderId="18" xfId="3" applyNumberFormat="1" applyFont="1" applyFill="1" applyBorder="1" applyAlignment="1"/>
    <xf numFmtId="164" fontId="3" fillId="0" borderId="24" xfId="3" applyNumberFormat="1" applyFont="1" applyFill="1" applyBorder="1" applyAlignment="1"/>
    <xf numFmtId="164" fontId="4" fillId="0" borderId="0" xfId="3" applyNumberFormat="1" applyAlignment="1"/>
    <xf numFmtId="0" fontId="23" fillId="0" borderId="0" xfId="3" applyFont="1" applyAlignment="1"/>
    <xf numFmtId="164" fontId="3" fillId="0" borderId="2" xfId="3" applyNumberFormat="1" applyFont="1" applyFill="1" applyBorder="1" applyAlignment="1"/>
    <xf numFmtId="164" fontId="3" fillId="0" borderId="2" xfId="5" applyNumberFormat="1" applyFont="1" applyFill="1" applyBorder="1" applyAlignment="1"/>
    <xf numFmtId="164" fontId="3" fillId="0" borderId="25" xfId="3" applyNumberFormat="1" applyFont="1" applyFill="1" applyBorder="1" applyAlignment="1"/>
    <xf numFmtId="0" fontId="4" fillId="8" borderId="0" xfId="3" applyFill="1" applyAlignment="1"/>
    <xf numFmtId="169" fontId="17" fillId="0" borderId="23" xfId="3" applyNumberFormat="1" applyFont="1" applyFill="1" applyBorder="1" applyAlignment="1"/>
    <xf numFmtId="9" fontId="3" fillId="0" borderId="2" xfId="8" applyFont="1" applyFill="1" applyBorder="1" applyAlignment="1"/>
    <xf numFmtId="9" fontId="3" fillId="0" borderId="2" xfId="8" applyNumberFormat="1" applyFont="1" applyFill="1" applyBorder="1" applyAlignment="1"/>
    <xf numFmtId="10" fontId="3" fillId="0" borderId="1" xfId="8" applyNumberFormat="1" applyFont="1" applyBorder="1" applyAlignment="1"/>
    <xf numFmtId="9" fontId="3" fillId="6" borderId="26" xfId="3" applyNumberFormat="1" applyFont="1" applyFill="1" applyBorder="1" applyAlignment="1"/>
    <xf numFmtId="164" fontId="3" fillId="6" borderId="27" xfId="5" applyNumberFormat="1" applyFont="1" applyFill="1" applyBorder="1" applyAlignment="1"/>
    <xf numFmtId="164" fontId="3" fillId="6" borderId="28" xfId="5" applyNumberFormat="1" applyFont="1" applyFill="1" applyBorder="1" applyAlignment="1"/>
    <xf numFmtId="0" fontId="3" fillId="0" borderId="29" xfId="3" applyFont="1" applyFill="1" applyBorder="1" applyAlignment="1"/>
    <xf numFmtId="164" fontId="3" fillId="0" borderId="30" xfId="5" applyNumberFormat="1" applyFont="1" applyFill="1" applyBorder="1" applyAlignment="1"/>
    <xf numFmtId="164" fontId="3" fillId="0" borderId="30" xfId="3" applyNumberFormat="1" applyFont="1" applyFill="1" applyBorder="1" applyAlignment="1"/>
    <xf numFmtId="164" fontId="3" fillId="0" borderId="31" xfId="3" applyNumberFormat="1" applyFont="1" applyFill="1" applyBorder="1" applyAlignment="1"/>
    <xf numFmtId="164" fontId="3" fillId="0" borderId="2" xfId="3" applyNumberFormat="1" applyFont="1" applyBorder="1" applyAlignment="1"/>
    <xf numFmtId="0" fontId="3" fillId="6" borderId="23" xfId="3" applyFont="1" applyFill="1" applyBorder="1" applyAlignment="1"/>
    <xf numFmtId="164" fontId="3" fillId="6" borderId="2" xfId="3" applyNumberFormat="1" applyFont="1" applyFill="1" applyBorder="1" applyAlignment="1"/>
    <xf numFmtId="164" fontId="3" fillId="6" borderId="25" xfId="3" applyNumberFormat="1" applyFont="1" applyFill="1" applyBorder="1" applyAlignment="1"/>
    <xf numFmtId="0" fontId="1" fillId="0" borderId="0" xfId="9" applyAlignment="1"/>
    <xf numFmtId="164" fontId="3" fillId="0" borderId="2" xfId="5" applyNumberFormat="1" applyFont="1" applyBorder="1" applyAlignment="1"/>
    <xf numFmtId="169" fontId="17" fillId="6" borderId="23" xfId="3" applyNumberFormat="1" applyFont="1" applyFill="1" applyBorder="1" applyAlignment="1"/>
    <xf numFmtId="9" fontId="3" fillId="6" borderId="2" xfId="8" applyFont="1" applyFill="1" applyBorder="1" applyAlignment="1"/>
    <xf numFmtId="0" fontId="1" fillId="6" borderId="2" xfId="9" applyFill="1" applyBorder="1" applyAlignment="1"/>
    <xf numFmtId="0" fontId="1" fillId="6" borderId="25" xfId="9" applyFill="1" applyBorder="1" applyAlignment="1"/>
    <xf numFmtId="0" fontId="3" fillId="6" borderId="32" xfId="3" applyFont="1" applyFill="1" applyBorder="1" applyAlignment="1"/>
    <xf numFmtId="9" fontId="0" fillId="6" borderId="33" xfId="8" applyFont="1" applyFill="1" applyBorder="1" applyAlignment="1"/>
    <xf numFmtId="0" fontId="1" fillId="6" borderId="33" xfId="9" applyFill="1" applyBorder="1" applyAlignment="1"/>
    <xf numFmtId="9" fontId="0" fillId="6" borderId="34" xfId="8" applyNumberFormat="1" applyFont="1" applyFill="1" applyBorder="1" applyAlignment="1"/>
    <xf numFmtId="9" fontId="3" fillId="0" borderId="10" xfId="3" applyNumberFormat="1" applyFont="1" applyBorder="1" applyAlignment="1">
      <alignment horizontal="center"/>
    </xf>
    <xf numFmtId="0" fontId="3" fillId="9" borderId="29" xfId="3" applyFont="1" applyFill="1" applyBorder="1" applyAlignment="1"/>
    <xf numFmtId="9" fontId="3" fillId="6" borderId="30" xfId="8" applyFont="1" applyFill="1" applyBorder="1" applyAlignment="1"/>
    <xf numFmtId="9" fontId="3" fillId="6" borderId="35" xfId="8" applyFont="1" applyFill="1" applyBorder="1" applyAlignment="1"/>
    <xf numFmtId="38" fontId="3" fillId="0" borderId="18" xfId="3" applyNumberFormat="1" applyFont="1" applyBorder="1" applyAlignment="1"/>
    <xf numFmtId="170" fontId="4" fillId="0" borderId="0" xfId="8" applyNumberFormat="1" applyFont="1" applyAlignment="1">
      <alignment horizontal="left"/>
    </xf>
    <xf numFmtId="10" fontId="4" fillId="0" borderId="0" xfId="8" applyNumberFormat="1" applyFont="1" applyAlignment="1"/>
    <xf numFmtId="9" fontId="4" fillId="0" borderId="0" xfId="8" applyFont="1" applyAlignment="1"/>
    <xf numFmtId="171" fontId="4" fillId="0" borderId="0" xfId="3" applyNumberFormat="1" applyAlignment="1"/>
    <xf numFmtId="9" fontId="4" fillId="0" borderId="0" xfId="3" applyNumberFormat="1" applyAlignment="1"/>
    <xf numFmtId="43" fontId="4" fillId="0" borderId="0" xfId="5" applyFont="1" applyAlignment="1">
      <alignment horizontal="left"/>
    </xf>
    <xf numFmtId="0" fontId="2" fillId="0" borderId="0" xfId="4" applyFont="1" applyAlignment="1"/>
    <xf numFmtId="9" fontId="2" fillId="0" borderId="0" xfId="4" applyNumberFormat="1" applyFont="1" applyAlignment="1"/>
    <xf numFmtId="164" fontId="2" fillId="0" borderId="0" xfId="5" applyNumberFormat="1" applyFont="1" applyAlignment="1"/>
    <xf numFmtId="0" fontId="12" fillId="6" borderId="0" xfId="4" applyFont="1" applyFill="1" applyAlignment="1"/>
    <xf numFmtId="9" fontId="12" fillId="6" borderId="0" xfId="8" applyFont="1" applyFill="1" applyAlignment="1"/>
    <xf numFmtId="164" fontId="12" fillId="6" borderId="0" xfId="5" applyNumberFormat="1" applyFont="1" applyFill="1" applyAlignment="1"/>
    <xf numFmtId="0" fontId="12" fillId="10" borderId="0" xfId="4" applyFont="1" applyFill="1" applyAlignment="1"/>
    <xf numFmtId="164" fontId="12" fillId="10" borderId="0" xfId="5" applyNumberFormat="1" applyFont="1" applyFill="1" applyAlignment="1"/>
    <xf numFmtId="0" fontId="4" fillId="0" borderId="0" xfId="3" applyAlignment="1">
      <alignment horizontal="center"/>
    </xf>
    <xf numFmtId="164" fontId="12" fillId="11" borderId="0" xfId="4" applyNumberFormat="1" applyFill="1" applyAlignment="1"/>
    <xf numFmtId="9" fontId="12" fillId="11" borderId="0" xfId="8" applyFont="1" applyFill="1" applyAlignment="1"/>
    <xf numFmtId="10" fontId="12" fillId="11" borderId="0" xfId="8" applyNumberFormat="1" applyFont="1" applyFill="1" applyAlignment="1"/>
    <xf numFmtId="9" fontId="17" fillId="0" borderId="2" xfId="8" applyFont="1" applyBorder="1" applyAlignment="1"/>
    <xf numFmtId="9" fontId="4" fillId="0" borderId="9" xfId="8" applyFont="1" applyBorder="1" applyAlignment="1"/>
    <xf numFmtId="9" fontId="4" fillId="0" borderId="11" xfId="8" applyFont="1" applyBorder="1" applyAlignment="1"/>
    <xf numFmtId="0" fontId="4" fillId="0" borderId="11" xfId="3" applyBorder="1" applyAlignment="1"/>
    <xf numFmtId="9" fontId="4" fillId="0" borderId="10" xfId="8" applyFont="1" applyBorder="1" applyAlignment="1"/>
    <xf numFmtId="0" fontId="17" fillId="0" borderId="0" xfId="3" applyFont="1" applyBorder="1" applyAlignment="1"/>
    <xf numFmtId="169" fontId="17" fillId="0" borderId="0" xfId="3" applyNumberFormat="1" applyFont="1" applyBorder="1" applyAlignment="1"/>
    <xf numFmtId="164" fontId="4" fillId="0" borderId="36" xfId="3" applyNumberFormat="1" applyBorder="1" applyAlignment="1"/>
    <xf numFmtId="164" fontId="4" fillId="0" borderId="39" xfId="3" applyNumberFormat="1" applyBorder="1" applyAlignment="1"/>
    <xf numFmtId="164" fontId="12" fillId="11" borderId="39" xfId="4" applyNumberFormat="1" applyFill="1" applyBorder="1" applyAlignment="1"/>
    <xf numFmtId="164" fontId="12" fillId="11" borderId="37" xfId="4" applyNumberFormat="1" applyFill="1" applyBorder="1" applyAlignment="1"/>
    <xf numFmtId="164" fontId="4" fillId="0" borderId="19" xfId="3" applyNumberFormat="1" applyBorder="1" applyAlignment="1"/>
    <xf numFmtId="164" fontId="4" fillId="0" borderId="0" xfId="3" applyNumberFormat="1" applyBorder="1" applyAlignment="1"/>
    <xf numFmtId="164" fontId="12" fillId="11" borderId="0" xfId="4" applyNumberFormat="1" applyFill="1" applyBorder="1" applyAlignment="1"/>
    <xf numFmtId="164" fontId="12" fillId="11" borderId="38" xfId="4" applyNumberFormat="1" applyFill="1" applyBorder="1" applyAlignment="1"/>
    <xf numFmtId="164" fontId="12" fillId="11" borderId="19" xfId="4" applyNumberFormat="1" applyFill="1" applyBorder="1" applyAlignment="1"/>
    <xf numFmtId="9" fontId="12" fillId="11" borderId="13" xfId="8" applyFont="1" applyFill="1" applyBorder="1" applyAlignment="1"/>
    <xf numFmtId="9" fontId="12" fillId="11" borderId="15" xfId="8" applyFont="1" applyFill="1" applyBorder="1" applyAlignment="1"/>
    <xf numFmtId="10" fontId="12" fillId="11" borderId="14" xfId="8" applyNumberFormat="1" applyFont="1" applyFill="1" applyBorder="1" applyAlignment="1"/>
    <xf numFmtId="0" fontId="4" fillId="0" borderId="0" xfId="3" applyAlignment="1">
      <alignment horizontal="right"/>
    </xf>
    <xf numFmtId="172" fontId="3" fillId="0" borderId="0" xfId="0" applyNumberFormat="1" applyFont="1"/>
    <xf numFmtId="172" fontId="0" fillId="0" borderId="20" xfId="0" applyNumberFormat="1" applyBorder="1"/>
    <xf numFmtId="172" fontId="0" fillId="0" borderId="21" xfId="0" applyNumberFormat="1" applyBorder="1"/>
    <xf numFmtId="172" fontId="0" fillId="0" borderId="21" xfId="0" applyNumberFormat="1" applyFill="1" applyBorder="1"/>
    <xf numFmtId="172" fontId="0" fillId="0" borderId="0" xfId="0" applyNumberForma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72" fontId="4" fillId="3" borderId="1" xfId="0" applyNumberFormat="1" applyFont="1" applyFill="1" applyBorder="1" applyAlignment="1">
      <alignment horizontal="center" vertical="center" wrapText="1"/>
    </xf>
    <xf numFmtId="172" fontId="4" fillId="3" borderId="8" xfId="0" applyNumberFormat="1" applyFont="1" applyFill="1" applyBorder="1" applyAlignment="1">
      <alignment horizontal="center" vertical="center" wrapText="1"/>
    </xf>
    <xf numFmtId="172" fontId="4" fillId="3" borderId="18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7" fillId="0" borderId="36" xfId="3" applyFont="1" applyBorder="1" applyAlignment="1">
      <alignment horizontal="center"/>
    </xf>
    <xf numFmtId="0" fontId="17" fillId="0" borderId="37" xfId="3" applyFont="1" applyBorder="1" applyAlignment="1">
      <alignment horizontal="center"/>
    </xf>
    <xf numFmtId="0" fontId="17" fillId="0" borderId="19" xfId="3" applyFont="1" applyBorder="1" applyAlignment="1">
      <alignment horizontal="center"/>
    </xf>
    <xf numFmtId="0" fontId="17" fillId="0" borderId="38" xfId="3" applyFont="1" applyBorder="1" applyAlignment="1">
      <alignment horizontal="center"/>
    </xf>
    <xf numFmtId="0" fontId="17" fillId="0" borderId="13" xfId="3" applyFont="1" applyBorder="1" applyAlignment="1">
      <alignment horizontal="center"/>
    </xf>
    <xf numFmtId="0" fontId="17" fillId="0" borderId="14" xfId="3" applyFont="1" applyBorder="1" applyAlignment="1">
      <alignment horizontal="center"/>
    </xf>
    <xf numFmtId="169" fontId="17" fillId="7" borderId="2" xfId="3" applyNumberFormat="1" applyFont="1" applyFill="1" applyBorder="1" applyAlignment="1">
      <alignment horizontal="center" wrapText="1"/>
    </xf>
    <xf numFmtId="169" fontId="17" fillId="7" borderId="2" xfId="3" applyNumberFormat="1" applyFont="1" applyFill="1" applyBorder="1" applyAlignment="1">
      <alignment horizontal="center"/>
    </xf>
    <xf numFmtId="0" fontId="17" fillId="0" borderId="18" xfId="3" applyFont="1" applyBorder="1" applyAlignment="1">
      <alignment horizontal="center"/>
    </xf>
    <xf numFmtId="0" fontId="17" fillId="7" borderId="2" xfId="3" applyNumberFormat="1" applyFont="1" applyFill="1" applyBorder="1" applyAlignment="1">
      <alignment horizontal="center"/>
    </xf>
    <xf numFmtId="0" fontId="15" fillId="0" borderId="0" xfId="3" applyFont="1" applyAlignment="1">
      <alignment horizontal="center"/>
    </xf>
    <xf numFmtId="169" fontId="17" fillId="7" borderId="1" xfId="3" applyNumberFormat="1" applyFont="1" applyFill="1" applyBorder="1" applyAlignment="1">
      <alignment horizontal="center"/>
    </xf>
    <xf numFmtId="169" fontId="17" fillId="7" borderId="18" xfId="3" applyNumberFormat="1" applyFont="1" applyFill="1" applyBorder="1" applyAlignment="1">
      <alignment horizontal="center"/>
    </xf>
  </cellXfs>
  <cellStyles count="10">
    <cellStyle name="Comma" xfId="1" builtinId="3"/>
    <cellStyle name="Comma [0]" xfId="2" builtinId="6"/>
    <cellStyle name="Comma 2" xfId="5" xr:uid="{00000000-0005-0000-0000-000002000000}"/>
    <cellStyle name="Comma 2 2" xfId="6" xr:uid="{00000000-0005-0000-0000-000003000000}"/>
    <cellStyle name="Normal" xfId="0" builtinId="0"/>
    <cellStyle name="Normal 2" xfId="9" xr:uid="{00000000-0005-0000-0000-000005000000}"/>
    <cellStyle name="Normal 2 2" xfId="3" xr:uid="{00000000-0005-0000-0000-000006000000}"/>
    <cellStyle name="Normal 4" xfId="4" xr:uid="{00000000-0005-0000-0000-000007000000}"/>
    <cellStyle name="Percent 2" xfId="8" xr:uid="{00000000-0005-0000-0000-000008000000}"/>
    <cellStyle name="Percent 2 2" xfId="7" xr:uid="{00000000-0005-0000-0000-000009000000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2018\DATA\EKU\Realisasi%20EKU\01%20data%20remise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2018\MONITORING\EKU\Monitoring%20EKU%202018%20Jan%20-%20Okt%20%20100%25%20(Nov%20+%20Des%202018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2018\DATA\Out%20In%20Flow\Monitoring%20Outflow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siKhaz"/>
      <sheetName val="HCS"/>
      <sheetName val="dari KOC"/>
      <sheetName val="kirim KOC"/>
      <sheetName val="REMISE"/>
      <sheetName val="RETUR"/>
      <sheetName val="Retur KBT"/>
      <sheetName val="input pemakaian KBT"/>
      <sheetName val="pemakaian KBT"/>
      <sheetName val="HCS (JT)"/>
      <sheetName val="dari KOC (JT)"/>
      <sheetName val="kirim KOC (JT)"/>
      <sheetName val="REMISE (JT)"/>
      <sheetName val="REMISE (Bilyet)"/>
      <sheetName val="REMISE LAMA (JT)"/>
      <sheetName val="REMISE TE 2016 (JT)"/>
      <sheetName val="RETUR (JT)"/>
      <sheetName val="Retur KBT (JT)"/>
      <sheetName val="KBT MAX"/>
      <sheetName val="Kirim jan KDK"/>
      <sheetName val="Kirim jan KDK Lama"/>
      <sheetName val="Kirim jan KDK TE 2016"/>
      <sheetName val="Retur jan KDK"/>
      <sheetName val="Kirim+KBT jan KDK"/>
      <sheetName val="Kirim+Retur jan KDK"/>
      <sheetName val="PgUK"/>
      <sheetName val="KDK"/>
      <sheetName val="Kirim KPw jun"/>
      <sheetName val="Retur KPw jun"/>
      <sheetName val="Kirim+Retur KPw jun"/>
      <sheetName val="data"/>
      <sheetName val="01 data remise jan 2018"/>
    </sheetNames>
    <sheetDataSet>
      <sheetData sheetId="0">
        <row r="31">
          <cell r="I31">
            <v>43803080.827500001</v>
          </cell>
        </row>
      </sheetData>
      <sheetData sheetId="1"/>
      <sheetData sheetId="2"/>
      <sheetData sheetId="3"/>
      <sheetData sheetId="4">
        <row r="8">
          <cell r="A8">
            <v>43103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4">
          <cell r="AQ104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">
          <cell r="D6">
            <v>0</v>
          </cell>
        </row>
      </sheetData>
      <sheetData sheetId="23"/>
      <sheetData sheetId="24">
        <row r="6">
          <cell r="D6">
            <v>20000</v>
          </cell>
        </row>
      </sheetData>
      <sheetData sheetId="25"/>
      <sheetData sheetId="26"/>
      <sheetData sheetId="27"/>
      <sheetData sheetId="28"/>
      <sheetData sheetId="29"/>
      <sheetData sheetId="30">
        <row r="1">
          <cell r="BB1">
            <v>0.99999999989999999</v>
          </cell>
        </row>
        <row r="2">
          <cell r="B2" t="str">
            <v>PgUK</v>
          </cell>
          <cell r="C2" t="str">
            <v>PgUK</v>
          </cell>
          <cell r="E2" t="str">
            <v>Medan</v>
          </cell>
          <cell r="F2" t="str">
            <v>Mdn KBT</v>
          </cell>
          <cell r="G2" t="str">
            <v>mdn</v>
          </cell>
          <cell r="BB2">
            <v>0</v>
          </cell>
        </row>
        <row r="3">
          <cell r="B3" t="str">
            <v>KBI Banda Aceh</v>
          </cell>
          <cell r="C3" t="str">
            <v>Bna</v>
          </cell>
          <cell r="E3" t="str">
            <v>Padang</v>
          </cell>
          <cell r="F3" t="str">
            <v>Pdg KBT</v>
          </cell>
          <cell r="G3" t="str">
            <v>pdg</v>
          </cell>
          <cell r="BB3">
            <v>0</v>
          </cell>
        </row>
        <row r="4">
          <cell r="B4" t="str">
            <v>KBI Medan</v>
          </cell>
          <cell r="C4" t="str">
            <v>Mdn</v>
          </cell>
          <cell r="E4" t="str">
            <v>Batam</v>
          </cell>
          <cell r="F4" t="str">
            <v>Btm KBT</v>
          </cell>
          <cell r="G4" t="str">
            <v>btm</v>
          </cell>
          <cell r="BB4">
            <v>0.99999999959999997</v>
          </cell>
        </row>
        <row r="5">
          <cell r="B5" t="str">
            <v>KBI Sibolga</v>
          </cell>
          <cell r="C5" t="str">
            <v>Sbg</v>
          </cell>
          <cell r="E5" t="str">
            <v>Palembang</v>
          </cell>
          <cell r="F5" t="str">
            <v>Pg KBT</v>
          </cell>
          <cell r="G5" t="str">
            <v>pg</v>
          </cell>
          <cell r="BB5">
            <v>0</v>
          </cell>
        </row>
        <row r="6">
          <cell r="B6" t="str">
            <v>KBI Lhokseumawe</v>
          </cell>
          <cell r="C6" t="str">
            <v>Lsm</v>
          </cell>
          <cell r="E6" t="str">
            <v>Bandar Lampung</v>
          </cell>
          <cell r="F6" t="str">
            <v>Bdl KBT</v>
          </cell>
          <cell r="G6" t="str">
            <v>bdl</v>
          </cell>
          <cell r="BB6">
            <v>0</v>
          </cell>
        </row>
        <row r="7">
          <cell r="B7" t="str">
            <v>KBI Pematangsiantar</v>
          </cell>
          <cell r="C7" t="str">
            <v>Pms</v>
          </cell>
          <cell r="E7" t="str">
            <v>Bandung</v>
          </cell>
          <cell r="F7" t="str">
            <v>Bd KBT</v>
          </cell>
          <cell r="G7" t="str">
            <v>bd</v>
          </cell>
          <cell r="BB7">
            <v>0</v>
          </cell>
        </row>
        <row r="8">
          <cell r="B8" t="str">
            <v>KBI Bengkulu</v>
          </cell>
          <cell r="C8" t="str">
            <v>Bn</v>
          </cell>
          <cell r="E8" t="str">
            <v>Semarang</v>
          </cell>
          <cell r="F8" t="str">
            <v>Sm KBT</v>
          </cell>
          <cell r="G8" t="str">
            <v>sm</v>
          </cell>
          <cell r="BB8">
            <v>0</v>
          </cell>
        </row>
        <row r="9">
          <cell r="B9" t="str">
            <v>KBI Padang</v>
          </cell>
          <cell r="C9" t="str">
            <v>Pdg</v>
          </cell>
          <cell r="E9" t="str">
            <v>Surabaya</v>
          </cell>
          <cell r="F9" t="str">
            <v>Sb KBT</v>
          </cell>
          <cell r="G9" t="str">
            <v>sb</v>
          </cell>
          <cell r="BB9">
            <v>0</v>
          </cell>
        </row>
        <row r="10">
          <cell r="B10" t="str">
            <v>KBI Pekanbaru</v>
          </cell>
          <cell r="C10" t="str">
            <v>Pbr</v>
          </cell>
          <cell r="E10" t="str">
            <v>Denpasar</v>
          </cell>
          <cell r="F10" t="str">
            <v>Dpr KBT</v>
          </cell>
          <cell r="G10" t="str">
            <v>dpr</v>
          </cell>
          <cell r="BB10">
            <v>0</v>
          </cell>
        </row>
        <row r="11">
          <cell r="B11" t="str">
            <v>KBI Palembang</v>
          </cell>
          <cell r="C11" t="str">
            <v>Pg</v>
          </cell>
          <cell r="E11" t="str">
            <v>Banjarmasin</v>
          </cell>
          <cell r="F11" t="str">
            <v>Bjm KBT</v>
          </cell>
          <cell r="G11" t="str">
            <v>bjm</v>
          </cell>
          <cell r="BB11">
            <v>0</v>
          </cell>
        </row>
        <row r="12">
          <cell r="B12" t="str">
            <v>KBI Jambi</v>
          </cell>
          <cell r="C12" t="str">
            <v>Jb</v>
          </cell>
          <cell r="E12" t="str">
            <v>Balikpapan</v>
          </cell>
          <cell r="F12" t="str">
            <v>Bpp KBT</v>
          </cell>
          <cell r="G12" t="str">
            <v>bpp</v>
          </cell>
          <cell r="BB12">
            <v>0</v>
          </cell>
        </row>
        <row r="13">
          <cell r="B13" t="str">
            <v>KBI Batam</v>
          </cell>
          <cell r="C13" t="str">
            <v>Btm</v>
          </cell>
          <cell r="E13" t="str">
            <v>Makassar</v>
          </cell>
          <cell r="F13" t="str">
            <v>Mks KBT</v>
          </cell>
          <cell r="G13" t="str">
            <v>mks</v>
          </cell>
          <cell r="BB13">
            <v>0.9999999987</v>
          </cell>
        </row>
        <row r="14">
          <cell r="B14" t="str">
            <v>KBI Bandung</v>
          </cell>
          <cell r="C14" t="str">
            <v>Bd</v>
          </cell>
          <cell r="E14" t="str">
            <v>Manado</v>
          </cell>
          <cell r="F14" t="str">
            <v>Mo KBT</v>
          </cell>
          <cell r="G14" t="str">
            <v>mo</v>
          </cell>
          <cell r="BB14">
            <v>0.9999999986</v>
          </cell>
        </row>
        <row r="15">
          <cell r="B15" t="str">
            <v>KBI Cirebon</v>
          </cell>
          <cell r="C15" t="str">
            <v>Cn</v>
          </cell>
          <cell r="E15" t="str">
            <v>Pekanbaru</v>
          </cell>
          <cell r="F15" t="str">
            <v>Pbr KBT</v>
          </cell>
          <cell r="G15" t="str">
            <v>pbr</v>
          </cell>
          <cell r="BB15">
            <v>0</v>
          </cell>
        </row>
        <row r="16">
          <cell r="B16" t="str">
            <v>KBI Tasikmalaya</v>
          </cell>
          <cell r="C16" t="str">
            <v>Tsm</v>
          </cell>
          <cell r="E16" t="str">
            <v>Pontianak</v>
          </cell>
          <cell r="F16" t="str">
            <v>Ptk KBT</v>
          </cell>
          <cell r="G16" t="str">
            <v>ptk</v>
          </cell>
          <cell r="BB16">
            <v>0</v>
          </cell>
        </row>
        <row r="17">
          <cell r="B17" t="str">
            <v>KBI B.Lampung</v>
          </cell>
          <cell r="C17" t="str">
            <v>Bdl</v>
          </cell>
          <cell r="E17" t="str">
            <v>Samarinda</v>
          </cell>
          <cell r="F17" t="str">
            <v>Smr KBT</v>
          </cell>
          <cell r="G17" t="str">
            <v>smr</v>
          </cell>
          <cell r="BB17">
            <v>0</v>
          </cell>
        </row>
        <row r="18">
          <cell r="B18" t="str">
            <v>KBI Yogyakarta</v>
          </cell>
          <cell r="C18" t="str">
            <v>Yk</v>
          </cell>
          <cell r="E18" t="str">
            <v>Yogyakarta</v>
          </cell>
          <cell r="F18" t="str">
            <v>Yk KBT</v>
          </cell>
          <cell r="G18" t="str">
            <v>yk</v>
          </cell>
          <cell r="BB18">
            <v>0</v>
          </cell>
        </row>
        <row r="19">
          <cell r="B19" t="str">
            <v>KBI Semarang</v>
          </cell>
          <cell r="C19" t="str">
            <v>Sm</v>
          </cell>
          <cell r="E19" t="str">
            <v>Solo</v>
          </cell>
          <cell r="F19" t="str">
            <v>Slo KBT</v>
          </cell>
          <cell r="G19" t="str">
            <v>slo</v>
          </cell>
          <cell r="BB19">
            <v>0</v>
          </cell>
        </row>
        <row r="20">
          <cell r="B20" t="str">
            <v>KBI Solo</v>
          </cell>
          <cell r="C20" t="str">
            <v>Slo</v>
          </cell>
          <cell r="E20" t="str">
            <v>Jember</v>
          </cell>
          <cell r="F20" t="str">
            <v>Jr KBT</v>
          </cell>
          <cell r="G20" t="str">
            <v>jr</v>
          </cell>
          <cell r="BB20">
            <v>0.99999999799999995</v>
          </cell>
        </row>
        <row r="21">
          <cell r="B21" t="str">
            <v>KBI Purwokerto</v>
          </cell>
          <cell r="C21" t="str">
            <v>Pwt</v>
          </cell>
          <cell r="BB21">
            <v>0.99999999790000005</v>
          </cell>
        </row>
        <row r="22">
          <cell r="B22" t="str">
            <v>KBI Tegal</v>
          </cell>
          <cell r="C22" t="str">
            <v>Tgl</v>
          </cell>
          <cell r="BB22">
            <v>0</v>
          </cell>
        </row>
        <row r="23">
          <cell r="B23" t="str">
            <v>KBI Jember</v>
          </cell>
          <cell r="C23" t="str">
            <v>Jr</v>
          </cell>
          <cell r="BB23">
            <v>0</v>
          </cell>
        </row>
        <row r="24">
          <cell r="B24" t="str">
            <v>KBI Kediri</v>
          </cell>
          <cell r="C24" t="str">
            <v>Kd</v>
          </cell>
          <cell r="BB24">
            <v>0.99999999760000002</v>
          </cell>
        </row>
        <row r="25">
          <cell r="B25" t="str">
            <v>KBI Malang</v>
          </cell>
          <cell r="C25" t="str">
            <v>Ml</v>
          </cell>
          <cell r="BB25">
            <v>0</v>
          </cell>
        </row>
        <row r="26">
          <cell r="B26" t="str">
            <v>KBI Surabaya</v>
          </cell>
          <cell r="C26" t="str">
            <v>Sb</v>
          </cell>
          <cell r="BB26">
            <v>0</v>
          </cell>
        </row>
        <row r="27">
          <cell r="B27" t="str">
            <v>KBI Mataram</v>
          </cell>
          <cell r="C27" t="str">
            <v>Mtr</v>
          </cell>
          <cell r="BB27">
            <v>0.9999999973</v>
          </cell>
        </row>
        <row r="28">
          <cell r="B28" t="str">
            <v>KBI Denpasar</v>
          </cell>
          <cell r="C28" t="str">
            <v>Dpr</v>
          </cell>
          <cell r="BB28">
            <v>0.99999999719999999</v>
          </cell>
        </row>
        <row r="29">
          <cell r="B29" t="str">
            <v>KBI Banjarmasin</v>
          </cell>
          <cell r="C29" t="str">
            <v>Bjm</v>
          </cell>
          <cell r="BB29">
            <v>0.99999999709999998</v>
          </cell>
        </row>
        <row r="30">
          <cell r="B30" t="str">
            <v>KBI Palangkaraya</v>
          </cell>
          <cell r="C30" t="str">
            <v>Plk</v>
          </cell>
          <cell r="BB30">
            <v>0</v>
          </cell>
        </row>
        <row r="31">
          <cell r="B31" t="str">
            <v>KBI Balikpapan</v>
          </cell>
          <cell r="C31" t="str">
            <v>Bpp</v>
          </cell>
          <cell r="BB31">
            <v>0</v>
          </cell>
        </row>
        <row r="32">
          <cell r="B32" t="str">
            <v>KBI Samarinda</v>
          </cell>
          <cell r="C32" t="str">
            <v>Smr</v>
          </cell>
          <cell r="BB32">
            <v>0</v>
          </cell>
        </row>
        <row r="33">
          <cell r="B33" t="str">
            <v>KBI Palu</v>
          </cell>
          <cell r="C33" t="str">
            <v>Pal</v>
          </cell>
          <cell r="BB33">
            <v>0</v>
          </cell>
        </row>
        <row r="34">
          <cell r="B34" t="str">
            <v>KBI Pontianak</v>
          </cell>
          <cell r="C34" t="str">
            <v>Ptk</v>
          </cell>
          <cell r="BB34">
            <v>0</v>
          </cell>
        </row>
        <row r="35">
          <cell r="B35" t="str">
            <v>KBI Makassar</v>
          </cell>
          <cell r="C35" t="str">
            <v>Mks</v>
          </cell>
          <cell r="BB35">
            <v>0</v>
          </cell>
        </row>
        <row r="36">
          <cell r="B36" t="str">
            <v>KBI Kupang</v>
          </cell>
          <cell r="C36" t="str">
            <v>Kpa</v>
          </cell>
          <cell r="BB36">
            <v>0</v>
          </cell>
        </row>
        <row r="37">
          <cell r="B37" t="str">
            <v>KBI Kendari</v>
          </cell>
          <cell r="C37" t="str">
            <v>Kdi</v>
          </cell>
          <cell r="BB37">
            <v>0</v>
          </cell>
        </row>
        <row r="38">
          <cell r="B38" t="str">
            <v>KBI Ambon</v>
          </cell>
          <cell r="C38" t="str">
            <v>Ab</v>
          </cell>
          <cell r="BB38">
            <v>0</v>
          </cell>
        </row>
        <row r="39">
          <cell r="B39" t="str">
            <v>KBI Menado</v>
          </cell>
          <cell r="C39" t="str">
            <v>Mo</v>
          </cell>
          <cell r="BB39">
            <v>0</v>
          </cell>
        </row>
        <row r="40">
          <cell r="B40" t="str">
            <v>KBI Ternate</v>
          </cell>
          <cell r="C40" t="str">
            <v>Tt</v>
          </cell>
          <cell r="BB40">
            <v>0</v>
          </cell>
        </row>
        <row r="41">
          <cell r="B41" t="str">
            <v>KBI Jayapura</v>
          </cell>
          <cell r="C41" t="str">
            <v>Jap</v>
          </cell>
          <cell r="BB41">
            <v>0</v>
          </cell>
        </row>
        <row r="42">
          <cell r="B42" t="str">
            <v>KBI Pangkal Pinang/Babel</v>
          </cell>
          <cell r="C42" t="str">
            <v>Pkp</v>
          </cell>
          <cell r="BB42">
            <v>0</v>
          </cell>
        </row>
        <row r="43">
          <cell r="B43" t="str">
            <v>KBI Manokwari</v>
          </cell>
          <cell r="C43" t="str">
            <v>Mw</v>
          </cell>
          <cell r="BB43">
            <v>0</v>
          </cell>
        </row>
        <row r="44">
          <cell r="B44" t="str">
            <v>KBI Serang</v>
          </cell>
          <cell r="C44" t="str">
            <v>Sr</v>
          </cell>
          <cell r="BB44">
            <v>0</v>
          </cell>
        </row>
        <row r="45">
          <cell r="B45" t="str">
            <v>KBI Gorontalo</v>
          </cell>
          <cell r="C45" t="str">
            <v>Gto</v>
          </cell>
          <cell r="BB45">
            <v>0</v>
          </cell>
        </row>
        <row r="46">
          <cell r="B46" t="str">
            <v>KBI Mamuju</v>
          </cell>
          <cell r="C46" t="str">
            <v>Mju</v>
          </cell>
          <cell r="BB46">
            <v>0</v>
          </cell>
        </row>
        <row r="47">
          <cell r="B47" t="str">
            <v>KBI Tarakan</v>
          </cell>
          <cell r="C47" t="str">
            <v>Trk</v>
          </cell>
          <cell r="BB47">
            <v>0</v>
          </cell>
        </row>
        <row r="48">
          <cell r="BB48">
            <v>0</v>
          </cell>
        </row>
        <row r="49">
          <cell r="BB49">
            <v>0</v>
          </cell>
        </row>
        <row r="50">
          <cell r="BB50">
            <v>0</v>
          </cell>
        </row>
        <row r="51">
          <cell r="BB51">
            <v>0</v>
          </cell>
        </row>
        <row r="52">
          <cell r="BB52">
            <v>0</v>
          </cell>
        </row>
        <row r="53">
          <cell r="BB53">
            <v>0</v>
          </cell>
        </row>
        <row r="54">
          <cell r="BB54">
            <v>0</v>
          </cell>
        </row>
        <row r="55">
          <cell r="BB55">
            <v>0</v>
          </cell>
        </row>
        <row r="56">
          <cell r="BB56">
            <v>0</v>
          </cell>
        </row>
        <row r="57">
          <cell r="BB57">
            <v>0</v>
          </cell>
        </row>
        <row r="58">
          <cell r="BB58">
            <v>0</v>
          </cell>
        </row>
        <row r="59">
          <cell r="BB59">
            <v>0</v>
          </cell>
        </row>
        <row r="60">
          <cell r="BB60">
            <v>0</v>
          </cell>
        </row>
        <row r="61">
          <cell r="BB61">
            <v>0</v>
          </cell>
        </row>
        <row r="62">
          <cell r="BB62">
            <v>0</v>
          </cell>
        </row>
        <row r="63">
          <cell r="BB63">
            <v>0</v>
          </cell>
        </row>
        <row r="64">
          <cell r="BB64">
            <v>0</v>
          </cell>
        </row>
        <row r="65">
          <cell r="BB65">
            <v>0</v>
          </cell>
        </row>
        <row r="66">
          <cell r="BB66">
            <v>0</v>
          </cell>
        </row>
        <row r="67">
          <cell r="BB67">
            <v>0</v>
          </cell>
        </row>
        <row r="68">
          <cell r="BB68">
            <v>0</v>
          </cell>
        </row>
        <row r="69">
          <cell r="BB69">
            <v>0</v>
          </cell>
        </row>
        <row r="70">
          <cell r="BB70">
            <v>0</v>
          </cell>
        </row>
        <row r="71">
          <cell r="BB71">
            <v>0</v>
          </cell>
        </row>
        <row r="72">
          <cell r="BB72">
            <v>0</v>
          </cell>
        </row>
        <row r="73">
          <cell r="BB73">
            <v>0</v>
          </cell>
        </row>
        <row r="74">
          <cell r="BB74">
            <v>0</v>
          </cell>
        </row>
        <row r="75">
          <cell r="BB75">
            <v>0</v>
          </cell>
        </row>
        <row r="76">
          <cell r="BB76">
            <v>0</v>
          </cell>
        </row>
        <row r="77">
          <cell r="BB77">
            <v>0</v>
          </cell>
        </row>
        <row r="78">
          <cell r="BB78">
            <v>0</v>
          </cell>
        </row>
        <row r="79">
          <cell r="BB79">
            <v>0</v>
          </cell>
        </row>
        <row r="80">
          <cell r="BB80">
            <v>0</v>
          </cell>
        </row>
        <row r="81">
          <cell r="BB81">
            <v>0</v>
          </cell>
        </row>
        <row r="82">
          <cell r="BB82">
            <v>0</v>
          </cell>
        </row>
        <row r="83">
          <cell r="BB83">
            <v>0</v>
          </cell>
        </row>
        <row r="84">
          <cell r="BB84">
            <v>0</v>
          </cell>
        </row>
        <row r="85">
          <cell r="BB85">
            <v>0</v>
          </cell>
        </row>
        <row r="86">
          <cell r="BB86">
            <v>0</v>
          </cell>
        </row>
        <row r="87">
          <cell r="BB87">
            <v>0</v>
          </cell>
        </row>
        <row r="88">
          <cell r="BB88">
            <v>0</v>
          </cell>
        </row>
        <row r="89">
          <cell r="BB89">
            <v>0</v>
          </cell>
        </row>
        <row r="90">
          <cell r="BB90">
            <v>0</v>
          </cell>
        </row>
        <row r="91">
          <cell r="BB91">
            <v>0</v>
          </cell>
        </row>
        <row r="92">
          <cell r="BB92">
            <v>0</v>
          </cell>
        </row>
        <row r="93">
          <cell r="BB93">
            <v>0</v>
          </cell>
        </row>
        <row r="94">
          <cell r="BB94">
            <v>0</v>
          </cell>
        </row>
      </sheetData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al"/>
      <sheetName val="Monitoring"/>
      <sheetName val="renc krm"/>
      <sheetName val="Monitoring exc"/>
      <sheetName val="EKU OUT IN PTTB"/>
      <sheetName val="rekap"/>
      <sheetName val="Sheet1 exc"/>
      <sheetName val="Sheet1 (2)"/>
      <sheetName val="Sheet1"/>
      <sheetName val="Monitoring (2)"/>
      <sheetName val="Sheet2"/>
      <sheetName val="prog rev"/>
      <sheetName val="RDU"/>
      <sheetName val="Kpw"/>
      <sheetName val="Bdl"/>
    </sheetNames>
    <sheetDataSet>
      <sheetData sheetId="0">
        <row r="3">
          <cell r="B3" t="str">
            <v>KDK Bdl</v>
          </cell>
          <cell r="C3" t="str">
            <v>BTM</v>
          </cell>
          <cell r="D3" t="str">
            <v>Cn</v>
          </cell>
          <cell r="E3" t="str">
            <v>KDK Bd</v>
          </cell>
          <cell r="F3" t="str">
            <v>KDK Bjm</v>
          </cell>
          <cell r="G3" t="str">
            <v>KDK Bpp</v>
          </cell>
          <cell r="H3" t="str">
            <v>KDK Dpr</v>
          </cell>
          <cell r="I3" t="str">
            <v>KDK Mdn</v>
          </cell>
          <cell r="J3" t="str">
            <v>KDK Mks</v>
          </cell>
          <cell r="K3" t="str">
            <v>KDK Mo</v>
          </cell>
          <cell r="L3" t="str">
            <v>KDK Pbr</v>
          </cell>
          <cell r="M3" t="str">
            <v>KDK Pg</v>
          </cell>
          <cell r="N3" t="str">
            <v>KDK Sb</v>
          </cell>
          <cell r="O3" t="str">
            <v>KDK Sm</v>
          </cell>
          <cell r="P3" t="str">
            <v>PgUK</v>
          </cell>
          <cell r="Q3" t="str">
            <v>PTK</v>
          </cell>
          <cell r="R3" t="str">
            <v>Sr</v>
          </cell>
          <cell r="S3" t="str">
            <v>TOTAL NAS</v>
          </cell>
          <cell r="V3" t="str">
            <v>KDK Bdl</v>
          </cell>
          <cell r="W3" t="str">
            <v>BTM</v>
          </cell>
          <cell r="X3" t="str">
            <v>Cn</v>
          </cell>
          <cell r="Y3" t="str">
            <v>KDK Bd</v>
          </cell>
          <cell r="Z3" t="str">
            <v>KDK Bjm</v>
          </cell>
          <cell r="AA3" t="str">
            <v>KDK Bpp</v>
          </cell>
          <cell r="AB3" t="str">
            <v>KDK Dpr</v>
          </cell>
          <cell r="AC3" t="str">
            <v>KDK Mdn</v>
          </cell>
          <cell r="AD3" t="str">
            <v>KDK Mks</v>
          </cell>
          <cell r="AE3" t="str">
            <v>KDK Mo</v>
          </cell>
          <cell r="AF3" t="str">
            <v>KDK Pbr</v>
          </cell>
          <cell r="AG3" t="str">
            <v>KDK Pg</v>
          </cell>
          <cell r="AH3" t="str">
            <v>KDK Sb</v>
          </cell>
          <cell r="AI3" t="str">
            <v>KDK Sm</v>
          </cell>
          <cell r="AJ3" t="str">
            <v>PgUK</v>
          </cell>
          <cell r="AK3" t="str">
            <v>PTK</v>
          </cell>
          <cell r="AL3" t="str">
            <v>Sr</v>
          </cell>
          <cell r="AM3" t="str">
            <v>TOTAL NAS</v>
          </cell>
          <cell r="AP3" t="str">
            <v>KDK Bdl</v>
          </cell>
          <cell r="AQ3" t="str">
            <v>BTM</v>
          </cell>
          <cell r="AR3" t="str">
            <v>Cn</v>
          </cell>
          <cell r="AS3" t="str">
            <v>KDK Bd</v>
          </cell>
          <cell r="AT3" t="str">
            <v>KDK Bjm</v>
          </cell>
          <cell r="AU3" t="str">
            <v>KDK Bpp</v>
          </cell>
          <cell r="AV3" t="str">
            <v>KDK Dpr</v>
          </cell>
          <cell r="AW3" t="str">
            <v>KDK Mdn</v>
          </cell>
          <cell r="AX3" t="str">
            <v>KDK Mks</v>
          </cell>
          <cell r="AY3" t="str">
            <v>KDK Mo</v>
          </cell>
          <cell r="AZ3" t="str">
            <v>KDK Pbr</v>
          </cell>
          <cell r="BA3" t="str">
            <v>KDK Pg</v>
          </cell>
          <cell r="BB3" t="str">
            <v>KDK Sb</v>
          </cell>
          <cell r="BC3" t="str">
            <v>KDK Sm</v>
          </cell>
          <cell r="BD3" t="str">
            <v>PgUK</v>
          </cell>
          <cell r="BE3" t="str">
            <v>PTK</v>
          </cell>
          <cell r="BF3" t="str">
            <v>Sr</v>
          </cell>
          <cell r="BG3" t="str">
            <v>TOTAL NAS</v>
          </cell>
          <cell r="BJ3" t="str">
            <v>KDK Bdl</v>
          </cell>
          <cell r="BK3" t="str">
            <v>BTM</v>
          </cell>
          <cell r="BL3" t="str">
            <v>Cn</v>
          </cell>
          <cell r="BM3" t="str">
            <v>KDK Bd</v>
          </cell>
          <cell r="BN3" t="str">
            <v>KDK Bjm</v>
          </cell>
          <cell r="BO3" t="str">
            <v>KDK Bpp</v>
          </cell>
          <cell r="BP3" t="str">
            <v>KDK Dpr</v>
          </cell>
          <cell r="BQ3" t="str">
            <v>KDK Mdn</v>
          </cell>
          <cell r="BR3" t="str">
            <v>KDK Mks</v>
          </cell>
          <cell r="BS3" t="str">
            <v>KDK Mo</v>
          </cell>
          <cell r="BT3" t="str">
            <v>KDK Pbr</v>
          </cell>
          <cell r="BU3" t="str">
            <v>KDK Pg</v>
          </cell>
          <cell r="BV3" t="str">
            <v>KDK Sb</v>
          </cell>
          <cell r="BW3" t="str">
            <v>KDK Sm</v>
          </cell>
          <cell r="BX3" t="str">
            <v>PgUK</v>
          </cell>
          <cell r="BY3" t="str">
            <v>PTK</v>
          </cell>
          <cell r="BZ3" t="str">
            <v>Sr</v>
          </cell>
          <cell r="CA3" t="str">
            <v>TOTAL NAS</v>
          </cell>
          <cell r="CD3" t="str">
            <v>KDK Bdl</v>
          </cell>
          <cell r="CE3" t="str">
            <v>BTM</v>
          </cell>
          <cell r="CF3" t="str">
            <v>Cn</v>
          </cell>
          <cell r="CG3" t="str">
            <v>KDK Bd</v>
          </cell>
          <cell r="CH3" t="str">
            <v>KDK Bjm</v>
          </cell>
          <cell r="CI3" t="str">
            <v>KDK Bpp</v>
          </cell>
          <cell r="CJ3" t="str">
            <v>KDK Dpr</v>
          </cell>
          <cell r="CK3" t="str">
            <v>KDK Mdn</v>
          </cell>
          <cell r="CL3" t="str">
            <v>KDK Mks</v>
          </cell>
          <cell r="CM3" t="str">
            <v>KDK Mo</v>
          </cell>
          <cell r="CN3" t="str">
            <v>KDK Pbr</v>
          </cell>
          <cell r="CO3" t="str">
            <v>KDK Pg</v>
          </cell>
          <cell r="CP3" t="str">
            <v>KDK Sb</v>
          </cell>
          <cell r="CQ3" t="str">
            <v>KDK Sm</v>
          </cell>
          <cell r="CR3" t="str">
            <v>PgUK</v>
          </cell>
          <cell r="CS3" t="str">
            <v>PTK</v>
          </cell>
          <cell r="CT3" t="str">
            <v>Sr</v>
          </cell>
          <cell r="CU3" t="str">
            <v>TOTAL NAS</v>
          </cell>
          <cell r="CX3" t="str">
            <v>KDK Bdl</v>
          </cell>
          <cell r="CY3" t="str">
            <v>BTM</v>
          </cell>
          <cell r="CZ3" t="str">
            <v>Cn</v>
          </cell>
          <cell r="DA3" t="str">
            <v>KDK Bd</v>
          </cell>
          <cell r="DB3" t="str">
            <v>KDK Bjm</v>
          </cell>
          <cell r="DC3" t="str">
            <v>KDK Bpp</v>
          </cell>
          <cell r="DD3" t="str">
            <v>KDK Dpr</v>
          </cell>
          <cell r="DE3" t="str">
            <v>KDK Mdn</v>
          </cell>
          <cell r="DF3" t="str">
            <v>KDK Mks</v>
          </cell>
          <cell r="DG3" t="str">
            <v>KDK Mo</v>
          </cell>
          <cell r="DH3" t="str">
            <v>KDK Pbr</v>
          </cell>
          <cell r="DI3" t="str">
            <v>KDK Pg</v>
          </cell>
          <cell r="DJ3" t="str">
            <v>KDK Sb</v>
          </cell>
          <cell r="DK3" t="str">
            <v>KDK Sm</v>
          </cell>
          <cell r="DL3" t="str">
            <v>PgUK</v>
          </cell>
          <cell r="DM3" t="str">
            <v>PTK</v>
          </cell>
          <cell r="DN3" t="str">
            <v>Sr</v>
          </cell>
          <cell r="DO3" t="str">
            <v>TOTAL NAS</v>
          </cell>
          <cell r="DR3" t="str">
            <v>KDK Bdl</v>
          </cell>
          <cell r="DS3" t="str">
            <v>BTM</v>
          </cell>
          <cell r="DT3" t="str">
            <v>Cn</v>
          </cell>
          <cell r="DU3" t="str">
            <v>KDK Bd</v>
          </cell>
          <cell r="DV3" t="str">
            <v>KDK Bjm</v>
          </cell>
          <cell r="DW3" t="str">
            <v>KDK Bpp</v>
          </cell>
          <cell r="DX3" t="str">
            <v>KDK Dpr</v>
          </cell>
          <cell r="DY3" t="str">
            <v>KDK Mdn</v>
          </cell>
          <cell r="DZ3" t="str">
            <v>KDK Mks</v>
          </cell>
          <cell r="EA3" t="str">
            <v>KDK Mo</v>
          </cell>
          <cell r="EB3" t="str">
            <v>KDK Pbr</v>
          </cell>
          <cell r="EC3" t="str">
            <v>KDK Pg</v>
          </cell>
          <cell r="ED3" t="str">
            <v>KDK Sb</v>
          </cell>
          <cell r="EE3" t="str">
            <v>KDK Sm</v>
          </cell>
          <cell r="EF3" t="str">
            <v>PgUK</v>
          </cell>
          <cell r="EG3" t="str">
            <v>PTK</v>
          </cell>
          <cell r="EH3" t="str">
            <v>Sr</v>
          </cell>
          <cell r="EI3" t="str">
            <v>TOTAL NAS</v>
          </cell>
          <cell r="EL3" t="str">
            <v>KDK Bdl</v>
          </cell>
          <cell r="EM3" t="str">
            <v>BTM</v>
          </cell>
          <cell r="EN3" t="str">
            <v>Cn</v>
          </cell>
          <cell r="EO3" t="str">
            <v>KDK Bd</v>
          </cell>
          <cell r="EP3" t="str">
            <v>KDK Bjm</v>
          </cell>
          <cell r="EQ3" t="str">
            <v>KDK Bpp</v>
          </cell>
          <cell r="ER3" t="str">
            <v>KDK Dpr</v>
          </cell>
          <cell r="ES3" t="str">
            <v>KDK Mdn</v>
          </cell>
          <cell r="ET3" t="str">
            <v>KDK Mks</v>
          </cell>
          <cell r="EU3" t="str">
            <v>KDK Mo</v>
          </cell>
          <cell r="EV3" t="str">
            <v>KDK Pbr</v>
          </cell>
          <cell r="EW3" t="str">
            <v>KDK Pg</v>
          </cell>
          <cell r="EX3" t="str">
            <v>KDK Sb</v>
          </cell>
          <cell r="EY3" t="str">
            <v>KDK Sm</v>
          </cell>
          <cell r="EZ3" t="str">
            <v>PgUK</v>
          </cell>
          <cell r="FA3" t="str">
            <v>PTK</v>
          </cell>
          <cell r="FB3" t="str">
            <v>Sr</v>
          </cell>
          <cell r="FC3" t="str">
            <v>TOTAL NAS</v>
          </cell>
          <cell r="FF3" t="str">
            <v>KDK Bdl</v>
          </cell>
          <cell r="FG3" t="str">
            <v>BTM</v>
          </cell>
          <cell r="FH3" t="str">
            <v>Cn</v>
          </cell>
          <cell r="FI3" t="str">
            <v>KDK Bd</v>
          </cell>
          <cell r="FJ3" t="str">
            <v>KDK Bjm</v>
          </cell>
          <cell r="FK3" t="str">
            <v>KDK Bpp</v>
          </cell>
          <cell r="FL3" t="str">
            <v>KDK Dpr</v>
          </cell>
          <cell r="FM3" t="str">
            <v>KDK Mdn</v>
          </cell>
          <cell r="FN3" t="str">
            <v>KDK Mks</v>
          </cell>
          <cell r="FO3" t="str">
            <v>KDK Mo</v>
          </cell>
          <cell r="FP3" t="str">
            <v>KDK Pbr</v>
          </cell>
          <cell r="FQ3" t="str">
            <v>KDK Pg</v>
          </cell>
          <cell r="FR3" t="str">
            <v>KDK Sb</v>
          </cell>
          <cell r="FS3" t="str">
            <v>KDK Sm</v>
          </cell>
          <cell r="FT3" t="str">
            <v>PgUK</v>
          </cell>
          <cell r="FU3" t="str">
            <v>PTK</v>
          </cell>
          <cell r="FV3" t="str">
            <v>Sr</v>
          </cell>
          <cell r="FW3" t="str">
            <v>TOTAL NAS</v>
          </cell>
          <cell r="FZ3" t="str">
            <v>KDK Bdl</v>
          </cell>
          <cell r="GA3" t="str">
            <v>BTM</v>
          </cell>
          <cell r="GB3" t="str">
            <v>Cn</v>
          </cell>
          <cell r="GC3" t="str">
            <v>KDK Bd</v>
          </cell>
          <cell r="GD3" t="str">
            <v>KDK Bjm</v>
          </cell>
          <cell r="GE3" t="str">
            <v>KDK Bpp</v>
          </cell>
          <cell r="GF3" t="str">
            <v>KDK Dpr</v>
          </cell>
          <cell r="GG3" t="str">
            <v>KDK Mdn</v>
          </cell>
          <cell r="GH3" t="str">
            <v>KDK Mks</v>
          </cell>
          <cell r="GI3" t="str">
            <v>KDK Mo</v>
          </cell>
          <cell r="GJ3" t="str">
            <v>KDK Pbr</v>
          </cell>
          <cell r="GK3" t="str">
            <v>KDK Pg</v>
          </cell>
          <cell r="GL3" t="str">
            <v>KDK Sb</v>
          </cell>
          <cell r="GM3" t="str">
            <v>KDK Sm</v>
          </cell>
          <cell r="GN3" t="str">
            <v>PgUK</v>
          </cell>
          <cell r="GO3" t="str">
            <v>PTK</v>
          </cell>
          <cell r="GP3" t="str">
            <v>Sr</v>
          </cell>
          <cell r="GQ3" t="str">
            <v>TOTAL NAS</v>
          </cell>
          <cell r="GT3" t="str">
            <v>KDK Bdl</v>
          </cell>
          <cell r="GU3" t="str">
            <v>BTM</v>
          </cell>
          <cell r="GV3" t="str">
            <v>Cn</v>
          </cell>
          <cell r="GW3" t="str">
            <v>KDK Bd</v>
          </cell>
          <cell r="GX3" t="str">
            <v>KDK Bjm</v>
          </cell>
          <cell r="GY3" t="str">
            <v>KDK Bpp</v>
          </cell>
          <cell r="GZ3" t="str">
            <v>KDK Dpr</v>
          </cell>
          <cell r="HA3" t="str">
            <v>KDK Mdn</v>
          </cell>
          <cell r="HB3" t="str">
            <v>KDK Mks</v>
          </cell>
          <cell r="HC3" t="str">
            <v>KDK Mo</v>
          </cell>
          <cell r="HD3" t="str">
            <v>KDK Pbr</v>
          </cell>
          <cell r="HE3" t="str">
            <v>KDK Pg</v>
          </cell>
          <cell r="HF3" t="str">
            <v>KDK Sb</v>
          </cell>
          <cell r="HG3" t="str">
            <v>KDK Sm</v>
          </cell>
          <cell r="HH3" t="str">
            <v>PgUK</v>
          </cell>
          <cell r="HI3" t="str">
            <v>PTK</v>
          </cell>
          <cell r="HJ3" t="str">
            <v>Sr</v>
          </cell>
          <cell r="HK3" t="str">
            <v>TOTAL NAS</v>
          </cell>
          <cell r="HN3" t="str">
            <v>KDK Bdl</v>
          </cell>
          <cell r="HO3" t="str">
            <v>BTM</v>
          </cell>
          <cell r="HP3" t="str">
            <v>Cn</v>
          </cell>
          <cell r="HQ3" t="str">
            <v>KDK Bd</v>
          </cell>
          <cell r="HR3" t="str">
            <v>KDK Bjm</v>
          </cell>
          <cell r="HS3" t="str">
            <v>KDK Bpp</v>
          </cell>
          <cell r="HT3" t="str">
            <v>KDK Dpr</v>
          </cell>
          <cell r="HU3" t="str">
            <v>KDK Mdn</v>
          </cell>
          <cell r="HV3" t="str">
            <v>KDK Mks</v>
          </cell>
          <cell r="HW3" t="str">
            <v>KDK Mo</v>
          </cell>
          <cell r="HX3" t="str">
            <v>KDK Pbr</v>
          </cell>
          <cell r="HY3" t="str">
            <v>KDK Pg</v>
          </cell>
          <cell r="HZ3" t="str">
            <v>KDK Sb</v>
          </cell>
          <cell r="IA3" t="str">
            <v>KDK Sm</v>
          </cell>
          <cell r="IB3" t="str">
            <v>PgUK</v>
          </cell>
          <cell r="IC3" t="str">
            <v>PTK</v>
          </cell>
          <cell r="ID3" t="str">
            <v>Sr</v>
          </cell>
          <cell r="IE3" t="str">
            <v>TOTAL NAS</v>
          </cell>
          <cell r="IH3" t="str">
            <v>KDK Bdl</v>
          </cell>
          <cell r="II3" t="str">
            <v>BTM</v>
          </cell>
          <cell r="IJ3" t="str">
            <v>Cn</v>
          </cell>
          <cell r="IK3" t="str">
            <v>KDK Bd</v>
          </cell>
          <cell r="IL3" t="str">
            <v>KDK Bjm</v>
          </cell>
          <cell r="IM3" t="str">
            <v>KDK Bpp</v>
          </cell>
          <cell r="IN3" t="str">
            <v>KDK Dpr</v>
          </cell>
          <cell r="IO3" t="str">
            <v>KDK Mdn</v>
          </cell>
          <cell r="IP3" t="str">
            <v>KDK Mks</v>
          </cell>
          <cell r="IQ3" t="str">
            <v>KDK Mo</v>
          </cell>
          <cell r="IR3" t="str">
            <v>KDK Pbr</v>
          </cell>
          <cell r="IS3" t="str">
            <v>KDK Pg</v>
          </cell>
          <cell r="IT3" t="str">
            <v>KDK Sb</v>
          </cell>
          <cell r="IU3" t="str">
            <v>KDK Sm</v>
          </cell>
          <cell r="IV3" t="str">
            <v>PgUK</v>
          </cell>
          <cell r="IW3" t="str">
            <v>PTK</v>
          </cell>
          <cell r="IX3" t="str">
            <v>Sr</v>
          </cell>
          <cell r="IY3" t="str">
            <v>TOTAL NAS</v>
          </cell>
          <cell r="JB3" t="str">
            <v>KDK Bdl</v>
          </cell>
          <cell r="JC3" t="str">
            <v>BTM</v>
          </cell>
          <cell r="JD3" t="str">
            <v>Cn</v>
          </cell>
          <cell r="JE3" t="str">
            <v>KDK Bd</v>
          </cell>
          <cell r="JF3" t="str">
            <v>KDK Bjm</v>
          </cell>
          <cell r="JG3" t="str">
            <v>KDK Bpp</v>
          </cell>
          <cell r="JH3" t="str">
            <v>KDK Dpr</v>
          </cell>
          <cell r="JI3" t="str">
            <v>KDK Mdn</v>
          </cell>
          <cell r="JJ3" t="str">
            <v>KDK Mks</v>
          </cell>
          <cell r="JK3" t="str">
            <v>KDK Mo</v>
          </cell>
          <cell r="JL3" t="str">
            <v>KDK Pbr</v>
          </cell>
          <cell r="JM3" t="str">
            <v>KDK Pg</v>
          </cell>
          <cell r="JN3" t="str">
            <v>KDK Sb</v>
          </cell>
          <cell r="JO3" t="str">
            <v>KDK Sm</v>
          </cell>
          <cell r="JP3" t="str">
            <v>PgUK</v>
          </cell>
          <cell r="JQ3" t="str">
            <v>PTK</v>
          </cell>
          <cell r="JR3" t="str">
            <v>Sr</v>
          </cell>
          <cell r="JS3" t="str">
            <v>TOTAL NAS</v>
          </cell>
          <cell r="JV3" t="str">
            <v>KDK Bdl</v>
          </cell>
          <cell r="JW3" t="str">
            <v>BTM</v>
          </cell>
          <cell r="JX3" t="str">
            <v>Cn</v>
          </cell>
          <cell r="JY3" t="str">
            <v>KDK Bd</v>
          </cell>
          <cell r="JZ3" t="str">
            <v>KDK Bjm</v>
          </cell>
          <cell r="KA3" t="str">
            <v>KDK Bpp</v>
          </cell>
          <cell r="KB3" t="str">
            <v>KDK Dpr</v>
          </cell>
          <cell r="KC3" t="str">
            <v>KDK Mdn</v>
          </cell>
          <cell r="KD3" t="str">
            <v>KDK Mks</v>
          </cell>
          <cell r="KE3" t="str">
            <v>KDK Mo</v>
          </cell>
          <cell r="KF3" t="str">
            <v>KDK Pbr</v>
          </cell>
          <cell r="KG3" t="str">
            <v>KDK Pg</v>
          </cell>
          <cell r="KH3" t="str">
            <v>KDK Sb</v>
          </cell>
          <cell r="KI3" t="str">
            <v>KDK Sm</v>
          </cell>
          <cell r="KJ3" t="str">
            <v>PgUK</v>
          </cell>
          <cell r="KK3" t="str">
            <v>PTK</v>
          </cell>
          <cell r="KL3" t="str">
            <v>Sr</v>
          </cell>
          <cell r="KM3" t="str">
            <v>TOTAL NAS</v>
          </cell>
          <cell r="KP3" t="str">
            <v>KDK Bdl</v>
          </cell>
          <cell r="KQ3" t="str">
            <v>BTM</v>
          </cell>
          <cell r="KR3" t="str">
            <v>Cn</v>
          </cell>
          <cell r="KS3" t="str">
            <v>KDK Bd</v>
          </cell>
          <cell r="KT3" t="str">
            <v>KDK Bjm</v>
          </cell>
          <cell r="KU3" t="str">
            <v>KDK Bpp</v>
          </cell>
          <cell r="KV3" t="str">
            <v>KDK Dpr</v>
          </cell>
          <cell r="KW3" t="str">
            <v>KDK Mdn</v>
          </cell>
          <cell r="KX3" t="str">
            <v>KDK Mks</v>
          </cell>
          <cell r="KY3" t="str">
            <v>KDK Mo</v>
          </cell>
          <cell r="KZ3" t="str">
            <v>KDK Pbr</v>
          </cell>
          <cell r="LA3" t="str">
            <v>KDK Pg</v>
          </cell>
          <cell r="LB3" t="str">
            <v>KDK Sb</v>
          </cell>
          <cell r="LC3" t="str">
            <v>KDK Sm</v>
          </cell>
          <cell r="LD3" t="str">
            <v>PgUK</v>
          </cell>
          <cell r="LE3" t="str">
            <v>PTK</v>
          </cell>
          <cell r="LF3" t="str">
            <v>Sr</v>
          </cell>
          <cell r="LG3" t="str">
            <v>TOTAL NAS</v>
          </cell>
          <cell r="LJ3" t="str">
            <v>KDK Bdl</v>
          </cell>
          <cell r="LK3" t="str">
            <v>BTM</v>
          </cell>
          <cell r="LL3" t="str">
            <v>Cn</v>
          </cell>
          <cell r="LM3" t="str">
            <v>KDK Bd</v>
          </cell>
          <cell r="LN3" t="str">
            <v>KDK Bjm</v>
          </cell>
          <cell r="LO3" t="str">
            <v>KDK Bpp</v>
          </cell>
          <cell r="LP3" t="str">
            <v>KDK Dpr</v>
          </cell>
          <cell r="LQ3" t="str">
            <v>KDK Mdn</v>
          </cell>
          <cell r="LR3" t="str">
            <v>KDK Mks</v>
          </cell>
          <cell r="LS3" t="str">
            <v>KDK Mo</v>
          </cell>
          <cell r="LT3" t="str">
            <v>KDK Pbr</v>
          </cell>
          <cell r="LU3" t="str">
            <v>KDK Pg</v>
          </cell>
          <cell r="LV3" t="str">
            <v>KDK Sb</v>
          </cell>
          <cell r="LW3" t="str">
            <v>KDK Sm</v>
          </cell>
          <cell r="LX3" t="str">
            <v>PgUK</v>
          </cell>
          <cell r="LY3" t="str">
            <v>PTK</v>
          </cell>
          <cell r="LZ3" t="str">
            <v>Sr</v>
          </cell>
          <cell r="MA3" t="str">
            <v>TOTAL NAS</v>
          </cell>
          <cell r="MD3" t="str">
            <v>KDK Bdl</v>
          </cell>
          <cell r="ME3" t="str">
            <v>BTM</v>
          </cell>
          <cell r="MF3" t="str">
            <v>Cn</v>
          </cell>
          <cell r="MG3" t="str">
            <v>KDK Bd</v>
          </cell>
          <cell r="MH3" t="str">
            <v>KDK Bjm</v>
          </cell>
          <cell r="MI3" t="str">
            <v>KDK Bpp</v>
          </cell>
          <cell r="MJ3" t="str">
            <v>KDK Dpr</v>
          </cell>
          <cell r="MK3" t="str">
            <v>KDK Mdn</v>
          </cell>
          <cell r="ML3" t="str">
            <v>KDK Mks</v>
          </cell>
          <cell r="MM3" t="str">
            <v>KDK Mo</v>
          </cell>
          <cell r="MN3" t="str">
            <v>KDK Pbr</v>
          </cell>
          <cell r="MO3" t="str">
            <v>KDK Pg</v>
          </cell>
          <cell r="MP3" t="str">
            <v>KDK Sb</v>
          </cell>
          <cell r="MQ3" t="str">
            <v>KDK Sm</v>
          </cell>
          <cell r="MR3" t="str">
            <v>PgUK</v>
          </cell>
          <cell r="MS3" t="str">
            <v>PTK</v>
          </cell>
          <cell r="MT3" t="str">
            <v>Sr</v>
          </cell>
          <cell r="MU3" t="str">
            <v>TOTAL NAS</v>
          </cell>
          <cell r="MX3" t="str">
            <v>KDK Bdl</v>
          </cell>
          <cell r="MY3" t="str">
            <v>BTM</v>
          </cell>
          <cell r="MZ3" t="str">
            <v>Cn</v>
          </cell>
          <cell r="NA3" t="str">
            <v>KDK Bd</v>
          </cell>
          <cell r="NB3" t="str">
            <v>KDK Bjm</v>
          </cell>
          <cell r="NC3" t="str">
            <v>KDK Bpp</v>
          </cell>
          <cell r="ND3" t="str">
            <v>KDK Dpr</v>
          </cell>
          <cell r="NE3" t="str">
            <v>KDK Mdn</v>
          </cell>
          <cell r="NF3" t="str">
            <v>KDK Mks</v>
          </cell>
          <cell r="NG3" t="str">
            <v>KDK Mo</v>
          </cell>
          <cell r="NH3" t="str">
            <v>KDK Pbr</v>
          </cell>
          <cell r="NI3" t="str">
            <v>KDK Pg</v>
          </cell>
          <cell r="NJ3" t="str">
            <v>KDK Sb</v>
          </cell>
          <cell r="NK3" t="str">
            <v>KDK Sm</v>
          </cell>
          <cell r="NL3" t="str">
            <v>PgUK</v>
          </cell>
          <cell r="NM3" t="str">
            <v>PTK</v>
          </cell>
          <cell r="NN3" t="str">
            <v>Sr</v>
          </cell>
          <cell r="NO3" t="str">
            <v>TOTAL NAS</v>
          </cell>
        </row>
        <row r="4">
          <cell r="B4">
            <v>0</v>
          </cell>
          <cell r="C4">
            <v>1000000</v>
          </cell>
          <cell r="D4">
            <v>0</v>
          </cell>
          <cell r="E4">
            <v>0</v>
          </cell>
          <cell r="F4">
            <v>1100000</v>
          </cell>
          <cell r="G4">
            <v>0</v>
          </cell>
          <cell r="H4">
            <v>1000000</v>
          </cell>
          <cell r="I4">
            <v>1000000</v>
          </cell>
          <cell r="J4">
            <v>1600000</v>
          </cell>
          <cell r="K4">
            <v>0</v>
          </cell>
          <cell r="L4">
            <v>0</v>
          </cell>
          <cell r="M4">
            <v>1000000</v>
          </cell>
          <cell r="N4">
            <v>0</v>
          </cell>
          <cell r="O4">
            <v>0</v>
          </cell>
          <cell r="P4">
            <v>20000</v>
          </cell>
          <cell r="Q4">
            <v>0</v>
          </cell>
          <cell r="R4">
            <v>0</v>
          </cell>
          <cell r="S4">
            <v>6720000</v>
          </cell>
          <cell r="V4">
            <v>500000</v>
          </cell>
          <cell r="W4">
            <v>200000</v>
          </cell>
          <cell r="X4">
            <v>0</v>
          </cell>
          <cell r="Y4">
            <v>0</v>
          </cell>
          <cell r="Z4">
            <v>0</v>
          </cell>
          <cell r="AA4">
            <v>1000000</v>
          </cell>
          <cell r="AB4">
            <v>800000</v>
          </cell>
          <cell r="AC4">
            <v>600000</v>
          </cell>
          <cell r="AD4">
            <v>200000</v>
          </cell>
          <cell r="AE4">
            <v>400000</v>
          </cell>
          <cell r="AF4">
            <v>1600000</v>
          </cell>
          <cell r="AG4">
            <v>600000</v>
          </cell>
          <cell r="AH4">
            <v>0</v>
          </cell>
          <cell r="AI4">
            <v>400000</v>
          </cell>
          <cell r="AJ4">
            <v>12000</v>
          </cell>
          <cell r="AK4">
            <v>600000</v>
          </cell>
          <cell r="AL4">
            <v>400000</v>
          </cell>
          <cell r="AM4">
            <v>7312000</v>
          </cell>
          <cell r="AP4">
            <v>0</v>
          </cell>
          <cell r="AQ4">
            <v>200000</v>
          </cell>
          <cell r="AR4">
            <v>0</v>
          </cell>
          <cell r="AS4">
            <v>-1800000</v>
          </cell>
          <cell r="AT4">
            <v>400000</v>
          </cell>
          <cell r="AU4">
            <v>400000</v>
          </cell>
          <cell r="AV4">
            <v>0</v>
          </cell>
          <cell r="AW4">
            <v>400000</v>
          </cell>
          <cell r="AX4">
            <v>0</v>
          </cell>
          <cell r="AY4">
            <v>0</v>
          </cell>
          <cell r="AZ4">
            <v>0</v>
          </cell>
          <cell r="BA4">
            <v>200000</v>
          </cell>
          <cell r="BB4">
            <v>400000</v>
          </cell>
          <cell r="BC4">
            <v>0</v>
          </cell>
          <cell r="BD4">
            <v>1800000</v>
          </cell>
          <cell r="BE4">
            <v>400000</v>
          </cell>
          <cell r="BF4">
            <v>0</v>
          </cell>
          <cell r="BG4">
            <v>2400000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-600000</v>
          </cell>
          <cell r="BX4">
            <v>1995986</v>
          </cell>
          <cell r="BY4">
            <v>0</v>
          </cell>
          <cell r="BZ4">
            <v>-330000</v>
          </cell>
          <cell r="CA4">
            <v>1065986</v>
          </cell>
          <cell r="CD4">
            <v>3190000</v>
          </cell>
          <cell r="CE4">
            <v>700000</v>
          </cell>
          <cell r="CF4">
            <v>700000</v>
          </cell>
          <cell r="CG4">
            <v>4030000</v>
          </cell>
          <cell r="CH4">
            <v>0</v>
          </cell>
          <cell r="CI4">
            <v>400000</v>
          </cell>
          <cell r="CJ4">
            <v>0</v>
          </cell>
          <cell r="CK4">
            <v>1200000</v>
          </cell>
          <cell r="CL4">
            <v>0</v>
          </cell>
          <cell r="CM4">
            <v>-100000</v>
          </cell>
          <cell r="CN4">
            <v>1320000</v>
          </cell>
          <cell r="CO4">
            <v>1880000</v>
          </cell>
          <cell r="CP4">
            <v>4900000</v>
          </cell>
          <cell r="CQ4">
            <v>2600000</v>
          </cell>
          <cell r="CR4">
            <v>12218000</v>
          </cell>
          <cell r="CS4">
            <v>0</v>
          </cell>
          <cell r="CT4">
            <v>-300000</v>
          </cell>
          <cell r="CU4">
            <v>32738000</v>
          </cell>
          <cell r="CX4">
            <v>0</v>
          </cell>
          <cell r="CY4">
            <v>0</v>
          </cell>
          <cell r="CZ4">
            <v>1100000</v>
          </cell>
          <cell r="DA4">
            <v>2500000</v>
          </cell>
          <cell r="DB4">
            <v>800000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600000</v>
          </cell>
          <cell r="DI4">
            <v>0</v>
          </cell>
          <cell r="DJ4">
            <v>3500000</v>
          </cell>
          <cell r="DK4">
            <v>2026000</v>
          </cell>
          <cell r="DL4">
            <v>9174000</v>
          </cell>
          <cell r="DM4">
            <v>200000</v>
          </cell>
          <cell r="DN4">
            <v>300000</v>
          </cell>
          <cell r="DO4">
            <v>20200000</v>
          </cell>
          <cell r="DR4">
            <v>400000</v>
          </cell>
          <cell r="DS4">
            <v>1000000</v>
          </cell>
          <cell r="DT4">
            <v>0</v>
          </cell>
          <cell r="DU4">
            <v>0</v>
          </cell>
          <cell r="DV4">
            <v>600000</v>
          </cell>
          <cell r="DW4">
            <v>1400000</v>
          </cell>
          <cell r="DX4">
            <v>600000</v>
          </cell>
          <cell r="DY4">
            <v>1600000</v>
          </cell>
          <cell r="DZ4">
            <v>1800000</v>
          </cell>
          <cell r="EA4">
            <v>800000</v>
          </cell>
          <cell r="EB4">
            <v>0</v>
          </cell>
          <cell r="EC4">
            <v>1540000</v>
          </cell>
          <cell r="ED4">
            <v>600000</v>
          </cell>
          <cell r="EE4">
            <v>0</v>
          </cell>
          <cell r="EF4">
            <v>-816000</v>
          </cell>
          <cell r="EG4">
            <v>600000</v>
          </cell>
          <cell r="EH4">
            <v>0</v>
          </cell>
          <cell r="EI4">
            <v>10124000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800000</v>
          </cell>
          <cell r="EQ4">
            <v>600000</v>
          </cell>
          <cell r="ER4">
            <v>0</v>
          </cell>
          <cell r="ES4">
            <v>0</v>
          </cell>
          <cell r="ET4">
            <v>2200000</v>
          </cell>
          <cell r="EU4">
            <v>600000</v>
          </cell>
          <cell r="EV4">
            <v>0</v>
          </cell>
          <cell r="EW4">
            <v>200000</v>
          </cell>
          <cell r="EX4">
            <v>-1600000</v>
          </cell>
          <cell r="EY4">
            <v>0</v>
          </cell>
          <cell r="EZ4">
            <v>468000</v>
          </cell>
          <cell r="FA4">
            <v>0</v>
          </cell>
          <cell r="FB4">
            <v>0</v>
          </cell>
          <cell r="FC4">
            <v>3268000</v>
          </cell>
          <cell r="FF4">
            <v>400000</v>
          </cell>
          <cell r="FG4">
            <v>1200000</v>
          </cell>
          <cell r="FH4">
            <v>-300000</v>
          </cell>
          <cell r="FI4">
            <v>0</v>
          </cell>
          <cell r="FJ4">
            <v>0</v>
          </cell>
          <cell r="FK4">
            <v>0</v>
          </cell>
          <cell r="FL4">
            <v>1000000</v>
          </cell>
          <cell r="FM4">
            <v>400000</v>
          </cell>
          <cell r="FN4">
            <v>2200000</v>
          </cell>
          <cell r="FO4">
            <v>0</v>
          </cell>
          <cell r="FP4">
            <v>200000</v>
          </cell>
          <cell r="FQ4">
            <v>0</v>
          </cell>
          <cell r="FR4">
            <v>-2200000</v>
          </cell>
          <cell r="FS4">
            <v>0</v>
          </cell>
          <cell r="FT4">
            <v>-992000</v>
          </cell>
          <cell r="FU4">
            <v>0</v>
          </cell>
          <cell r="FV4">
            <v>0</v>
          </cell>
          <cell r="FW4">
            <v>1908000</v>
          </cell>
          <cell r="FZ4">
            <v>2200000</v>
          </cell>
          <cell r="GA4">
            <v>0</v>
          </cell>
          <cell r="GB4">
            <v>0</v>
          </cell>
          <cell r="GC4">
            <v>-3000000</v>
          </cell>
          <cell r="GD4">
            <v>0</v>
          </cell>
          <cell r="GE4">
            <v>600000</v>
          </cell>
          <cell r="GF4">
            <v>600000</v>
          </cell>
          <cell r="GG4">
            <v>1400000</v>
          </cell>
          <cell r="GH4">
            <v>3400000</v>
          </cell>
          <cell r="GI4">
            <v>400000</v>
          </cell>
          <cell r="GJ4">
            <v>1000000</v>
          </cell>
          <cell r="GK4">
            <v>2600000</v>
          </cell>
          <cell r="GL4">
            <v>3300000</v>
          </cell>
          <cell r="GM4">
            <v>-2000000</v>
          </cell>
          <cell r="GN4">
            <v>4145980.3</v>
          </cell>
          <cell r="GO4">
            <v>750000</v>
          </cell>
          <cell r="GP4">
            <v>0</v>
          </cell>
          <cell r="GQ4">
            <v>15395980.300000001</v>
          </cell>
          <cell r="GT4">
            <v>-2260000</v>
          </cell>
          <cell r="GU4">
            <v>624000</v>
          </cell>
          <cell r="GV4">
            <v>-890000</v>
          </cell>
          <cell r="GW4">
            <v>-3060000</v>
          </cell>
          <cell r="GX4">
            <v>-40000</v>
          </cell>
          <cell r="GY4">
            <v>1398000</v>
          </cell>
          <cell r="GZ4">
            <v>-186000</v>
          </cell>
          <cell r="HA4">
            <v>20000</v>
          </cell>
          <cell r="HB4">
            <v>-894000</v>
          </cell>
          <cell r="HC4">
            <v>-1578000</v>
          </cell>
          <cell r="HD4">
            <v>6000</v>
          </cell>
          <cell r="HE4">
            <v>1346000</v>
          </cell>
          <cell r="HF4">
            <v>1198000</v>
          </cell>
          <cell r="HG4">
            <v>-3940000</v>
          </cell>
          <cell r="HH4">
            <v>6860000</v>
          </cell>
          <cell r="HI4">
            <v>-86000</v>
          </cell>
          <cell r="HJ4">
            <v>-730000</v>
          </cell>
          <cell r="HK4">
            <v>-2212000</v>
          </cell>
          <cell r="HN4">
            <v>1084000</v>
          </cell>
          <cell r="HO4">
            <v>636000</v>
          </cell>
          <cell r="HP4">
            <v>458000</v>
          </cell>
          <cell r="HQ4">
            <v>2956000</v>
          </cell>
          <cell r="HR4">
            <v>1876000</v>
          </cell>
          <cell r="HS4">
            <v>2580000</v>
          </cell>
          <cell r="HT4">
            <v>1566000</v>
          </cell>
          <cell r="HU4">
            <v>4596000</v>
          </cell>
          <cell r="HV4">
            <v>8160000</v>
          </cell>
          <cell r="HW4">
            <v>1304000</v>
          </cell>
          <cell r="HX4">
            <v>3170000</v>
          </cell>
          <cell r="HY4">
            <v>2022000</v>
          </cell>
          <cell r="HZ4">
            <v>6136000</v>
          </cell>
          <cell r="IA4">
            <v>3948000</v>
          </cell>
          <cell r="IB4">
            <v>11008000</v>
          </cell>
          <cell r="IC4">
            <v>1184000</v>
          </cell>
          <cell r="ID4">
            <v>860000</v>
          </cell>
          <cell r="IE4">
            <v>53544000</v>
          </cell>
          <cell r="IH4">
            <v>500000</v>
          </cell>
          <cell r="II4">
            <v>1400000</v>
          </cell>
          <cell r="IJ4">
            <v>0</v>
          </cell>
          <cell r="IK4">
            <v>-1800000</v>
          </cell>
          <cell r="IL4">
            <v>1500000</v>
          </cell>
          <cell r="IM4">
            <v>1400000</v>
          </cell>
          <cell r="IN4">
            <v>1800000</v>
          </cell>
          <cell r="IO4">
            <v>2000000</v>
          </cell>
          <cell r="IP4">
            <v>1800000</v>
          </cell>
          <cell r="IQ4">
            <v>400000</v>
          </cell>
          <cell r="IR4">
            <v>1600000</v>
          </cell>
          <cell r="IS4">
            <v>1800000</v>
          </cell>
          <cell r="IT4">
            <v>400000</v>
          </cell>
          <cell r="IU4">
            <v>400000</v>
          </cell>
          <cell r="IV4">
            <v>1832000</v>
          </cell>
          <cell r="IW4">
            <v>1000000</v>
          </cell>
          <cell r="IX4">
            <v>400000</v>
          </cell>
          <cell r="IY4">
            <v>16432000</v>
          </cell>
          <cell r="JB4">
            <v>3190000</v>
          </cell>
          <cell r="JC4">
            <v>700000</v>
          </cell>
          <cell r="JD4">
            <v>1800000</v>
          </cell>
          <cell r="JE4">
            <v>6530000</v>
          </cell>
          <cell r="JF4">
            <v>800000</v>
          </cell>
          <cell r="JG4">
            <v>400000</v>
          </cell>
          <cell r="JH4">
            <v>0</v>
          </cell>
          <cell r="JI4">
            <v>1200000</v>
          </cell>
          <cell r="JJ4">
            <v>0</v>
          </cell>
          <cell r="JK4">
            <v>-100000</v>
          </cell>
          <cell r="JL4">
            <v>1920000</v>
          </cell>
          <cell r="JM4">
            <v>1880000</v>
          </cell>
          <cell r="JN4">
            <v>8400000</v>
          </cell>
          <cell r="JO4">
            <v>4026000</v>
          </cell>
          <cell r="JP4">
            <v>23387986</v>
          </cell>
          <cell r="JQ4">
            <v>200000</v>
          </cell>
          <cell r="JR4">
            <v>-330000</v>
          </cell>
          <cell r="JS4">
            <v>54003986</v>
          </cell>
          <cell r="JV4">
            <v>800000</v>
          </cell>
          <cell r="JW4">
            <v>2200000</v>
          </cell>
          <cell r="JX4">
            <v>-300000</v>
          </cell>
          <cell r="JY4">
            <v>0</v>
          </cell>
          <cell r="JZ4">
            <v>1400000</v>
          </cell>
          <cell r="KA4">
            <v>2000000</v>
          </cell>
          <cell r="KB4">
            <v>1600000</v>
          </cell>
          <cell r="KC4">
            <v>2000000</v>
          </cell>
          <cell r="KD4">
            <v>6200000</v>
          </cell>
          <cell r="KE4">
            <v>1400000</v>
          </cell>
          <cell r="KF4">
            <v>200000</v>
          </cell>
          <cell r="KG4">
            <v>1740000</v>
          </cell>
          <cell r="KH4">
            <v>-3200000</v>
          </cell>
          <cell r="KI4">
            <v>0</v>
          </cell>
          <cell r="KJ4">
            <v>-1340000</v>
          </cell>
          <cell r="KK4">
            <v>600000</v>
          </cell>
          <cell r="KL4">
            <v>0</v>
          </cell>
          <cell r="KM4">
            <v>15300000</v>
          </cell>
          <cell r="KP4">
            <v>1024000</v>
          </cell>
          <cell r="KQ4">
            <v>1260000</v>
          </cell>
          <cell r="KR4">
            <v>-432000</v>
          </cell>
          <cell r="KS4">
            <v>-3104000</v>
          </cell>
          <cell r="KT4">
            <v>1836000</v>
          </cell>
          <cell r="KU4">
            <v>4578000</v>
          </cell>
          <cell r="KV4">
            <v>1980000</v>
          </cell>
          <cell r="KW4">
            <v>6016000</v>
          </cell>
          <cell r="KX4">
            <v>10666000</v>
          </cell>
          <cell r="KY4">
            <v>126000</v>
          </cell>
          <cell r="KZ4">
            <v>4176000</v>
          </cell>
          <cell r="LA4">
            <v>5968000</v>
          </cell>
          <cell r="LB4">
            <v>10634000</v>
          </cell>
          <cell r="LC4">
            <v>-1992000</v>
          </cell>
          <cell r="LD4">
            <v>22013980.300000001</v>
          </cell>
          <cell r="LE4">
            <v>1848000</v>
          </cell>
          <cell r="LF4">
            <v>130000</v>
          </cell>
          <cell r="LG4">
            <v>66727980.299999997</v>
          </cell>
          <cell r="LJ4">
            <v>3690000</v>
          </cell>
          <cell r="LK4">
            <v>2100000</v>
          </cell>
          <cell r="LL4">
            <v>1800000</v>
          </cell>
          <cell r="LM4">
            <v>4730000</v>
          </cell>
          <cell r="LN4">
            <v>2300000</v>
          </cell>
          <cell r="LO4">
            <v>1800000</v>
          </cell>
          <cell r="LP4">
            <v>1800000</v>
          </cell>
          <cell r="LQ4">
            <v>3200000</v>
          </cell>
          <cell r="LR4">
            <v>1800000</v>
          </cell>
          <cell r="LS4">
            <v>300000</v>
          </cell>
          <cell r="LT4">
            <v>3520000</v>
          </cell>
          <cell r="LU4">
            <v>3680000</v>
          </cell>
          <cell r="LV4">
            <v>8800000</v>
          </cell>
          <cell r="LW4">
            <v>4426000</v>
          </cell>
          <cell r="LX4">
            <v>25219986</v>
          </cell>
          <cell r="LY4">
            <v>1200000</v>
          </cell>
          <cell r="LZ4">
            <v>70000</v>
          </cell>
          <cell r="MA4">
            <v>70435986</v>
          </cell>
          <cell r="MD4">
            <v>1824000</v>
          </cell>
          <cell r="ME4">
            <v>3460000</v>
          </cell>
          <cell r="MF4">
            <v>-732000</v>
          </cell>
          <cell r="MG4">
            <v>-3104000</v>
          </cell>
          <cell r="MH4">
            <v>3236000</v>
          </cell>
          <cell r="MI4">
            <v>6578000</v>
          </cell>
          <cell r="MJ4">
            <v>3580000</v>
          </cell>
          <cell r="MK4">
            <v>8016000</v>
          </cell>
          <cell r="ML4">
            <v>16866000</v>
          </cell>
          <cell r="MM4">
            <v>1526000</v>
          </cell>
          <cell r="MN4">
            <v>4376000</v>
          </cell>
          <cell r="MO4">
            <v>7708000</v>
          </cell>
          <cell r="MP4">
            <v>7434000</v>
          </cell>
          <cell r="MQ4">
            <v>-1992000</v>
          </cell>
          <cell r="MR4">
            <v>20673980.300000001</v>
          </cell>
          <cell r="MS4">
            <v>2448000</v>
          </cell>
          <cell r="MT4">
            <v>130000</v>
          </cell>
          <cell r="MU4">
            <v>82027980.299999997</v>
          </cell>
          <cell r="MX4">
            <v>5514000</v>
          </cell>
          <cell r="MY4">
            <v>5560000</v>
          </cell>
          <cell r="MZ4">
            <v>1068000</v>
          </cell>
          <cell r="NA4">
            <v>1626000</v>
          </cell>
          <cell r="NB4">
            <v>5536000</v>
          </cell>
          <cell r="NC4">
            <v>8378000</v>
          </cell>
          <cell r="ND4">
            <v>5380000</v>
          </cell>
          <cell r="NE4">
            <v>11216000</v>
          </cell>
          <cell r="NF4">
            <v>18666000</v>
          </cell>
          <cell r="NG4">
            <v>1826000</v>
          </cell>
          <cell r="NH4">
            <v>7896000</v>
          </cell>
          <cell r="NI4">
            <v>11388000</v>
          </cell>
          <cell r="NJ4">
            <v>16234000</v>
          </cell>
          <cell r="NK4">
            <v>2434000</v>
          </cell>
          <cell r="NL4">
            <v>45893966.299999997</v>
          </cell>
          <cell r="NM4">
            <v>3648000</v>
          </cell>
          <cell r="NN4">
            <v>200000</v>
          </cell>
          <cell r="NO4">
            <v>152463966.30000001</v>
          </cell>
        </row>
        <row r="5">
          <cell r="B5">
            <v>0</v>
          </cell>
          <cell r="C5">
            <v>1000000</v>
          </cell>
          <cell r="D5">
            <v>0</v>
          </cell>
          <cell r="E5">
            <v>0</v>
          </cell>
          <cell r="F5">
            <v>400000</v>
          </cell>
          <cell r="G5">
            <v>0</v>
          </cell>
          <cell r="H5">
            <v>0</v>
          </cell>
          <cell r="I5">
            <v>2000000</v>
          </cell>
          <cell r="J5">
            <v>1800000</v>
          </cell>
          <cell r="K5">
            <v>0</v>
          </cell>
          <cell r="L5">
            <v>0</v>
          </cell>
          <cell r="M5">
            <v>1000000</v>
          </cell>
          <cell r="N5">
            <v>0</v>
          </cell>
          <cell r="O5">
            <v>1250000</v>
          </cell>
          <cell r="P5">
            <v>10000</v>
          </cell>
          <cell r="Q5">
            <v>0</v>
          </cell>
          <cell r="R5">
            <v>0</v>
          </cell>
          <cell r="S5">
            <v>7460000</v>
          </cell>
          <cell r="V5">
            <v>0</v>
          </cell>
          <cell r="W5">
            <v>100000</v>
          </cell>
          <cell r="X5">
            <v>0</v>
          </cell>
          <cell r="Y5">
            <v>0</v>
          </cell>
          <cell r="Z5">
            <v>0</v>
          </cell>
          <cell r="AA5">
            <v>800000</v>
          </cell>
          <cell r="AB5">
            <v>500000</v>
          </cell>
          <cell r="AC5">
            <v>150000</v>
          </cell>
          <cell r="AD5">
            <v>100000</v>
          </cell>
          <cell r="AE5">
            <v>500000</v>
          </cell>
          <cell r="AF5">
            <v>900000</v>
          </cell>
          <cell r="AG5">
            <v>0</v>
          </cell>
          <cell r="AH5">
            <v>0</v>
          </cell>
          <cell r="AI5">
            <v>500000</v>
          </cell>
          <cell r="AJ5">
            <v>2000</v>
          </cell>
          <cell r="AK5">
            <v>200000</v>
          </cell>
          <cell r="AL5">
            <v>0</v>
          </cell>
          <cell r="AM5">
            <v>3752000</v>
          </cell>
          <cell r="AP5">
            <v>0</v>
          </cell>
          <cell r="AQ5">
            <v>0</v>
          </cell>
          <cell r="AR5">
            <v>-600000</v>
          </cell>
          <cell r="AS5">
            <v>-300000</v>
          </cell>
          <cell r="AT5">
            <v>200000</v>
          </cell>
          <cell r="AU5">
            <v>500000</v>
          </cell>
          <cell r="AV5">
            <v>200000</v>
          </cell>
          <cell r="AW5">
            <v>300000</v>
          </cell>
          <cell r="AX5">
            <v>0</v>
          </cell>
          <cell r="AY5">
            <v>0</v>
          </cell>
          <cell r="AZ5">
            <v>300000</v>
          </cell>
          <cell r="BA5">
            <v>200000</v>
          </cell>
          <cell r="BB5">
            <v>0</v>
          </cell>
          <cell r="BC5">
            <v>0</v>
          </cell>
          <cell r="BD5">
            <v>900000</v>
          </cell>
          <cell r="BE5">
            <v>400000</v>
          </cell>
          <cell r="BF5">
            <v>200000</v>
          </cell>
          <cell r="BG5">
            <v>2300000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100000</v>
          </cell>
          <cell r="BV5">
            <v>0</v>
          </cell>
          <cell r="BW5">
            <v>-700000</v>
          </cell>
          <cell r="BX5">
            <v>1059997</v>
          </cell>
          <cell r="BY5">
            <v>0</v>
          </cell>
          <cell r="BZ5">
            <v>-59000</v>
          </cell>
          <cell r="CA5">
            <v>400997</v>
          </cell>
          <cell r="CD5">
            <v>505000</v>
          </cell>
          <cell r="CE5">
            <v>375000</v>
          </cell>
          <cell r="CF5">
            <v>200000</v>
          </cell>
          <cell r="CG5">
            <v>600000</v>
          </cell>
          <cell r="CH5">
            <v>650000</v>
          </cell>
          <cell r="CI5">
            <v>800000</v>
          </cell>
          <cell r="CJ5">
            <v>0</v>
          </cell>
          <cell r="CK5">
            <v>0</v>
          </cell>
          <cell r="CL5">
            <v>0</v>
          </cell>
          <cell r="CM5">
            <v>-250000</v>
          </cell>
          <cell r="CN5">
            <v>230000</v>
          </cell>
          <cell r="CO5">
            <v>180000</v>
          </cell>
          <cell r="CP5">
            <v>1310000</v>
          </cell>
          <cell r="CQ5">
            <v>0</v>
          </cell>
          <cell r="CR5">
            <v>2830000</v>
          </cell>
          <cell r="CS5">
            <v>0</v>
          </cell>
          <cell r="CT5">
            <v>0</v>
          </cell>
          <cell r="CU5">
            <v>7430000</v>
          </cell>
          <cell r="CX5">
            <v>0</v>
          </cell>
          <cell r="CY5">
            <v>0</v>
          </cell>
          <cell r="CZ5">
            <v>0</v>
          </cell>
          <cell r="DA5">
            <v>900000</v>
          </cell>
          <cell r="DB5">
            <v>0</v>
          </cell>
          <cell r="DC5">
            <v>0</v>
          </cell>
          <cell r="DD5">
            <v>0</v>
          </cell>
          <cell r="DE5">
            <v>250000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1498000</v>
          </cell>
          <cell r="DM5">
            <v>0</v>
          </cell>
          <cell r="DN5">
            <v>0</v>
          </cell>
          <cell r="DO5">
            <v>2648000</v>
          </cell>
          <cell r="DR5">
            <v>300000</v>
          </cell>
          <cell r="DS5">
            <v>300000</v>
          </cell>
          <cell r="DT5">
            <v>0</v>
          </cell>
          <cell r="DU5">
            <v>0</v>
          </cell>
          <cell r="DV5">
            <v>500000</v>
          </cell>
          <cell r="DW5">
            <v>400000</v>
          </cell>
          <cell r="DX5">
            <v>200000</v>
          </cell>
          <cell r="DY5">
            <v>400000</v>
          </cell>
          <cell r="DZ5">
            <v>700000</v>
          </cell>
          <cell r="EA5">
            <v>200000</v>
          </cell>
          <cell r="EB5">
            <v>0</v>
          </cell>
          <cell r="EC5">
            <v>500000</v>
          </cell>
          <cell r="ED5">
            <v>300000</v>
          </cell>
          <cell r="EE5">
            <v>100000</v>
          </cell>
          <cell r="EF5">
            <v>6000</v>
          </cell>
          <cell r="EG5">
            <v>100000</v>
          </cell>
          <cell r="EH5">
            <v>0</v>
          </cell>
          <cell r="EI5">
            <v>4006000</v>
          </cell>
          <cell r="EL5">
            <v>1500000</v>
          </cell>
          <cell r="EM5">
            <v>1000000</v>
          </cell>
          <cell r="EN5">
            <v>0</v>
          </cell>
          <cell r="EO5">
            <v>0</v>
          </cell>
          <cell r="EP5">
            <v>400000</v>
          </cell>
          <cell r="EQ5">
            <v>2250000</v>
          </cell>
          <cell r="ER5">
            <v>1000000</v>
          </cell>
          <cell r="ES5">
            <v>1000000</v>
          </cell>
          <cell r="ET5">
            <v>2700000</v>
          </cell>
          <cell r="EU5">
            <v>1300000</v>
          </cell>
          <cell r="EV5">
            <v>0</v>
          </cell>
          <cell r="EW5">
            <v>200000</v>
          </cell>
          <cell r="EX5">
            <v>800000</v>
          </cell>
          <cell r="EY5">
            <v>1000000</v>
          </cell>
          <cell r="EZ5">
            <v>156000</v>
          </cell>
          <cell r="FA5">
            <v>1000000</v>
          </cell>
          <cell r="FB5">
            <v>0</v>
          </cell>
          <cell r="FC5">
            <v>14306000</v>
          </cell>
          <cell r="FF5">
            <v>400000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1800000</v>
          </cell>
          <cell r="FM5">
            <v>1500000</v>
          </cell>
          <cell r="FN5">
            <v>0</v>
          </cell>
          <cell r="FO5">
            <v>0</v>
          </cell>
          <cell r="FP5">
            <v>550000</v>
          </cell>
          <cell r="FQ5">
            <v>2200000</v>
          </cell>
          <cell r="FR5">
            <v>500000</v>
          </cell>
          <cell r="FS5">
            <v>500000</v>
          </cell>
          <cell r="FT5">
            <v>36000</v>
          </cell>
          <cell r="FU5">
            <v>0</v>
          </cell>
          <cell r="FV5">
            <v>0</v>
          </cell>
          <cell r="FW5">
            <v>7486000</v>
          </cell>
          <cell r="FZ5">
            <v>200000</v>
          </cell>
          <cell r="GA5">
            <v>0</v>
          </cell>
          <cell r="GB5">
            <v>0</v>
          </cell>
          <cell r="GC5">
            <v>-1500000</v>
          </cell>
          <cell r="GD5">
            <v>0</v>
          </cell>
          <cell r="GE5">
            <v>700000</v>
          </cell>
          <cell r="GF5">
            <v>0</v>
          </cell>
          <cell r="GG5">
            <v>800000</v>
          </cell>
          <cell r="GH5">
            <v>1200000</v>
          </cell>
          <cell r="GI5">
            <v>700000</v>
          </cell>
          <cell r="GJ5">
            <v>600000</v>
          </cell>
          <cell r="GK5">
            <v>1000000</v>
          </cell>
          <cell r="GL5">
            <v>500000</v>
          </cell>
          <cell r="GM5">
            <v>-500000</v>
          </cell>
          <cell r="GN5">
            <v>1159500</v>
          </cell>
          <cell r="GO5">
            <v>400000</v>
          </cell>
          <cell r="GP5">
            <v>0</v>
          </cell>
          <cell r="GQ5">
            <v>5259500</v>
          </cell>
          <cell r="GT5">
            <v>-2838000</v>
          </cell>
          <cell r="GU5">
            <v>304000</v>
          </cell>
          <cell r="GV5">
            <v>-985000</v>
          </cell>
          <cell r="GW5">
            <v>-2878000</v>
          </cell>
          <cell r="GX5">
            <v>-306000</v>
          </cell>
          <cell r="GY5">
            <v>-1392000</v>
          </cell>
          <cell r="GZ5">
            <v>-2022000</v>
          </cell>
          <cell r="HA5">
            <v>-3343000</v>
          </cell>
          <cell r="HB5">
            <v>-1698000</v>
          </cell>
          <cell r="HC5">
            <v>-1900000</v>
          </cell>
          <cell r="HD5">
            <v>-1657000</v>
          </cell>
          <cell r="HE5">
            <v>-3256000</v>
          </cell>
          <cell r="HF5">
            <v>-3576000</v>
          </cell>
          <cell r="HG5">
            <v>-6824000</v>
          </cell>
          <cell r="HH5">
            <v>854000</v>
          </cell>
          <cell r="HI5">
            <v>-1133000</v>
          </cell>
          <cell r="HJ5">
            <v>-1274000</v>
          </cell>
          <cell r="HK5">
            <v>-33924000</v>
          </cell>
          <cell r="HN5">
            <v>494000</v>
          </cell>
          <cell r="HO5">
            <v>471000</v>
          </cell>
          <cell r="HP5">
            <v>128000</v>
          </cell>
          <cell r="HQ5">
            <v>1650000</v>
          </cell>
          <cell r="HR5">
            <v>909000</v>
          </cell>
          <cell r="HS5">
            <v>989000</v>
          </cell>
          <cell r="HT5">
            <v>805000</v>
          </cell>
          <cell r="HU5">
            <v>3074000</v>
          </cell>
          <cell r="HV5">
            <v>2561000</v>
          </cell>
          <cell r="HW5">
            <v>991000</v>
          </cell>
          <cell r="HX5">
            <v>1442000</v>
          </cell>
          <cell r="HY5">
            <v>1078000</v>
          </cell>
          <cell r="HZ5">
            <v>3050000</v>
          </cell>
          <cell r="IA5">
            <v>1312000</v>
          </cell>
          <cell r="IB5">
            <v>7924000</v>
          </cell>
          <cell r="IC5">
            <v>605000</v>
          </cell>
          <cell r="ID5">
            <v>579000</v>
          </cell>
          <cell r="IE5">
            <v>28062000</v>
          </cell>
          <cell r="IH5">
            <v>0</v>
          </cell>
          <cell r="II5">
            <v>1100000</v>
          </cell>
          <cell r="IJ5">
            <v>-600000</v>
          </cell>
          <cell r="IK5">
            <v>-300000</v>
          </cell>
          <cell r="IL5">
            <v>600000</v>
          </cell>
          <cell r="IM5">
            <v>1300000</v>
          </cell>
          <cell r="IN5">
            <v>700000</v>
          </cell>
          <cell r="IO5">
            <v>2450000</v>
          </cell>
          <cell r="IP5">
            <v>1900000</v>
          </cell>
          <cell r="IQ5">
            <v>500000</v>
          </cell>
          <cell r="IR5">
            <v>1200000</v>
          </cell>
          <cell r="IS5">
            <v>1200000</v>
          </cell>
          <cell r="IT5">
            <v>0</v>
          </cell>
          <cell r="IU5">
            <v>1750000</v>
          </cell>
          <cell r="IV5">
            <v>912000</v>
          </cell>
          <cell r="IW5">
            <v>600000</v>
          </cell>
          <cell r="IX5">
            <v>200000</v>
          </cell>
          <cell r="IY5">
            <v>13512000</v>
          </cell>
          <cell r="JB5">
            <v>505000</v>
          </cell>
          <cell r="JC5">
            <v>375000</v>
          </cell>
          <cell r="JD5">
            <v>200000</v>
          </cell>
          <cell r="JE5">
            <v>1500000</v>
          </cell>
          <cell r="JF5">
            <v>650000</v>
          </cell>
          <cell r="JG5">
            <v>800000</v>
          </cell>
          <cell r="JH5">
            <v>0</v>
          </cell>
          <cell r="JI5">
            <v>250000</v>
          </cell>
          <cell r="JJ5">
            <v>0</v>
          </cell>
          <cell r="JK5">
            <v>-250000</v>
          </cell>
          <cell r="JL5">
            <v>230000</v>
          </cell>
          <cell r="JM5">
            <v>280000</v>
          </cell>
          <cell r="JN5">
            <v>1310000</v>
          </cell>
          <cell r="JO5">
            <v>-700000</v>
          </cell>
          <cell r="JP5">
            <v>5387997</v>
          </cell>
          <cell r="JQ5">
            <v>0</v>
          </cell>
          <cell r="JR5">
            <v>-59000</v>
          </cell>
          <cell r="JS5">
            <v>10478997</v>
          </cell>
          <cell r="JV5">
            <v>2200000</v>
          </cell>
          <cell r="JW5">
            <v>1300000</v>
          </cell>
          <cell r="JX5">
            <v>0</v>
          </cell>
          <cell r="JY5">
            <v>0</v>
          </cell>
          <cell r="JZ5">
            <v>900000</v>
          </cell>
          <cell r="KA5">
            <v>2650000</v>
          </cell>
          <cell r="KB5">
            <v>3000000</v>
          </cell>
          <cell r="KC5">
            <v>2900000</v>
          </cell>
          <cell r="KD5">
            <v>3400000</v>
          </cell>
          <cell r="KE5">
            <v>1500000</v>
          </cell>
          <cell r="KF5">
            <v>550000</v>
          </cell>
          <cell r="KG5">
            <v>2900000</v>
          </cell>
          <cell r="KH5">
            <v>1600000</v>
          </cell>
          <cell r="KI5">
            <v>1600000</v>
          </cell>
          <cell r="KJ5">
            <v>198000</v>
          </cell>
          <cell r="KK5">
            <v>1100000</v>
          </cell>
          <cell r="KL5">
            <v>0</v>
          </cell>
          <cell r="KM5">
            <v>25798000</v>
          </cell>
          <cell r="KP5">
            <v>-2144000</v>
          </cell>
          <cell r="KQ5">
            <v>775000</v>
          </cell>
          <cell r="KR5">
            <v>-857000</v>
          </cell>
          <cell r="KS5">
            <v>-2728000</v>
          </cell>
          <cell r="KT5">
            <v>603000</v>
          </cell>
          <cell r="KU5">
            <v>297000</v>
          </cell>
          <cell r="KV5">
            <v>-1217000</v>
          </cell>
          <cell r="KW5">
            <v>531000</v>
          </cell>
          <cell r="KX5">
            <v>2063000</v>
          </cell>
          <cell r="KY5">
            <v>-209000</v>
          </cell>
          <cell r="KZ5">
            <v>385000</v>
          </cell>
          <cell r="LA5">
            <v>-1178000</v>
          </cell>
          <cell r="LB5">
            <v>-26000</v>
          </cell>
          <cell r="LC5">
            <v>-6012000</v>
          </cell>
          <cell r="LD5">
            <v>9937500</v>
          </cell>
          <cell r="LE5">
            <v>-128000</v>
          </cell>
          <cell r="LF5">
            <v>-695000</v>
          </cell>
          <cell r="LG5">
            <v>-602500</v>
          </cell>
          <cell r="LJ5">
            <v>505000</v>
          </cell>
          <cell r="LK5">
            <v>1475000</v>
          </cell>
          <cell r="LL5">
            <v>-400000</v>
          </cell>
          <cell r="LM5">
            <v>1200000</v>
          </cell>
          <cell r="LN5">
            <v>1250000</v>
          </cell>
          <cell r="LO5">
            <v>2100000</v>
          </cell>
          <cell r="LP5">
            <v>700000</v>
          </cell>
          <cell r="LQ5">
            <v>2700000</v>
          </cell>
          <cell r="LR5">
            <v>1900000</v>
          </cell>
          <cell r="LS5">
            <v>250000</v>
          </cell>
          <cell r="LT5">
            <v>1430000</v>
          </cell>
          <cell r="LU5">
            <v>1480000</v>
          </cell>
          <cell r="LV5">
            <v>1310000</v>
          </cell>
          <cell r="LW5">
            <v>1050000</v>
          </cell>
          <cell r="LX5">
            <v>6299997</v>
          </cell>
          <cell r="LY5">
            <v>600000</v>
          </cell>
          <cell r="LZ5">
            <v>141000</v>
          </cell>
          <cell r="MA5">
            <v>23990997</v>
          </cell>
          <cell r="MD5">
            <v>56000</v>
          </cell>
          <cell r="ME5">
            <v>2075000</v>
          </cell>
          <cell r="MF5">
            <v>-857000</v>
          </cell>
          <cell r="MG5">
            <v>-2728000</v>
          </cell>
          <cell r="MH5">
            <v>1503000</v>
          </cell>
          <cell r="MI5">
            <v>2947000</v>
          </cell>
          <cell r="MJ5">
            <v>1783000</v>
          </cell>
          <cell r="MK5">
            <v>3431000</v>
          </cell>
          <cell r="ML5">
            <v>5463000</v>
          </cell>
          <cell r="MM5">
            <v>1291000</v>
          </cell>
          <cell r="MN5">
            <v>935000</v>
          </cell>
          <cell r="MO5">
            <v>1722000</v>
          </cell>
          <cell r="MP5">
            <v>1574000</v>
          </cell>
          <cell r="MQ5">
            <v>-4412000</v>
          </cell>
          <cell r="MR5">
            <v>10135500</v>
          </cell>
          <cell r="MS5">
            <v>972000</v>
          </cell>
          <cell r="MT5">
            <v>-695000</v>
          </cell>
          <cell r="MU5">
            <v>25195500</v>
          </cell>
          <cell r="MX5">
            <v>561000</v>
          </cell>
          <cell r="MY5">
            <v>3550000</v>
          </cell>
          <cell r="MZ5">
            <v>-1257000</v>
          </cell>
          <cell r="NA5">
            <v>-1528000</v>
          </cell>
          <cell r="NB5">
            <v>2753000</v>
          </cell>
          <cell r="NC5">
            <v>5047000</v>
          </cell>
          <cell r="ND5">
            <v>2483000</v>
          </cell>
          <cell r="NE5">
            <v>6131000</v>
          </cell>
          <cell r="NF5">
            <v>7363000</v>
          </cell>
          <cell r="NG5">
            <v>1541000</v>
          </cell>
          <cell r="NH5">
            <v>2365000</v>
          </cell>
          <cell r="NI5">
            <v>3202000</v>
          </cell>
          <cell r="NJ5">
            <v>2884000</v>
          </cell>
          <cell r="NK5">
            <v>-3362000</v>
          </cell>
          <cell r="NL5">
            <v>16435497</v>
          </cell>
          <cell r="NM5">
            <v>1572000</v>
          </cell>
          <cell r="NN5">
            <v>-554000</v>
          </cell>
          <cell r="NO5">
            <v>49186497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280000</v>
          </cell>
          <cell r="I6">
            <v>0</v>
          </cell>
          <cell r="J6">
            <v>160000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600000</v>
          </cell>
          <cell r="P6">
            <v>1600</v>
          </cell>
          <cell r="Q6">
            <v>0</v>
          </cell>
          <cell r="R6">
            <v>0</v>
          </cell>
          <cell r="S6">
            <v>1041600</v>
          </cell>
          <cell r="V6">
            <v>40000</v>
          </cell>
          <cell r="W6">
            <v>0</v>
          </cell>
          <cell r="X6">
            <v>40000</v>
          </cell>
          <cell r="Y6">
            <v>80000</v>
          </cell>
          <cell r="Z6">
            <v>0</v>
          </cell>
          <cell r="AA6">
            <v>0</v>
          </cell>
          <cell r="AB6">
            <v>0</v>
          </cell>
          <cell r="AC6">
            <v>200000</v>
          </cell>
          <cell r="AD6">
            <v>40000</v>
          </cell>
          <cell r="AE6">
            <v>80000</v>
          </cell>
          <cell r="AF6">
            <v>40000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120000</v>
          </cell>
          <cell r="AL6">
            <v>0</v>
          </cell>
          <cell r="AM6">
            <v>640000</v>
          </cell>
          <cell r="AP6">
            <v>120000</v>
          </cell>
          <cell r="AQ6">
            <v>0</v>
          </cell>
          <cell r="AR6">
            <v>0</v>
          </cell>
          <cell r="AS6">
            <v>80000</v>
          </cell>
          <cell r="AT6">
            <v>0</v>
          </cell>
          <cell r="AU6">
            <v>120000</v>
          </cell>
          <cell r="AV6">
            <v>0</v>
          </cell>
          <cell r="AW6">
            <v>80000</v>
          </cell>
          <cell r="AX6">
            <v>40000</v>
          </cell>
          <cell r="AY6">
            <v>0</v>
          </cell>
          <cell r="AZ6">
            <v>80000</v>
          </cell>
          <cell r="BA6">
            <v>220000</v>
          </cell>
          <cell r="BB6">
            <v>120000</v>
          </cell>
          <cell r="BC6">
            <v>80000</v>
          </cell>
          <cell r="BD6">
            <v>0</v>
          </cell>
          <cell r="BE6">
            <v>0</v>
          </cell>
          <cell r="BF6">
            <v>0</v>
          </cell>
          <cell r="BG6">
            <v>940000</v>
          </cell>
          <cell r="BJ6">
            <v>80000</v>
          </cell>
          <cell r="BK6">
            <v>0</v>
          </cell>
          <cell r="BL6">
            <v>0</v>
          </cell>
          <cell r="BM6">
            <v>320000</v>
          </cell>
          <cell r="BN6">
            <v>0</v>
          </cell>
          <cell r="BO6">
            <v>0</v>
          </cell>
          <cell r="BP6">
            <v>0</v>
          </cell>
          <cell r="BQ6">
            <v>160000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600000</v>
          </cell>
          <cell r="BX6">
            <v>1000385</v>
          </cell>
          <cell r="BY6">
            <v>0</v>
          </cell>
          <cell r="BZ6">
            <v>0</v>
          </cell>
          <cell r="CA6">
            <v>2160385</v>
          </cell>
          <cell r="CD6">
            <v>120000</v>
          </cell>
          <cell r="CE6">
            <v>80000</v>
          </cell>
          <cell r="CF6">
            <v>140000</v>
          </cell>
          <cell r="CG6">
            <v>180000</v>
          </cell>
          <cell r="CH6">
            <v>380000</v>
          </cell>
          <cell r="CI6">
            <v>240000</v>
          </cell>
          <cell r="CJ6">
            <v>80000</v>
          </cell>
          <cell r="CK6">
            <v>200000</v>
          </cell>
          <cell r="CL6">
            <v>460000</v>
          </cell>
          <cell r="CM6">
            <v>200000</v>
          </cell>
          <cell r="CN6">
            <v>200000</v>
          </cell>
          <cell r="CO6">
            <v>120000</v>
          </cell>
          <cell r="CP6">
            <v>600000</v>
          </cell>
          <cell r="CQ6">
            <v>80000</v>
          </cell>
          <cell r="CR6">
            <v>3400000</v>
          </cell>
          <cell r="CS6">
            <v>0</v>
          </cell>
          <cell r="CT6">
            <v>100000</v>
          </cell>
          <cell r="CU6">
            <v>6580000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R6">
            <v>0</v>
          </cell>
          <cell r="DS6">
            <v>100000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40000</v>
          </cell>
          <cell r="DZ6">
            <v>160000</v>
          </cell>
          <cell r="EA6">
            <v>0</v>
          </cell>
          <cell r="EB6">
            <v>0</v>
          </cell>
          <cell r="EC6">
            <v>80000</v>
          </cell>
          <cell r="ED6">
            <v>40000</v>
          </cell>
          <cell r="EE6">
            <v>0</v>
          </cell>
          <cell r="EF6">
            <v>0</v>
          </cell>
          <cell r="EG6">
            <v>140000</v>
          </cell>
          <cell r="EH6">
            <v>0</v>
          </cell>
          <cell r="EI6">
            <v>560000</v>
          </cell>
          <cell r="EL6">
            <v>0</v>
          </cell>
          <cell r="EM6">
            <v>0</v>
          </cell>
          <cell r="EN6">
            <v>0</v>
          </cell>
          <cell r="EO6">
            <v>80000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40000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84000</v>
          </cell>
          <cell r="FA6">
            <v>0</v>
          </cell>
          <cell r="FB6">
            <v>0</v>
          </cell>
          <cell r="FC6">
            <v>204000</v>
          </cell>
          <cell r="FF6">
            <v>0</v>
          </cell>
          <cell r="FG6">
            <v>20000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9600</v>
          </cell>
          <cell r="FU6">
            <v>0</v>
          </cell>
          <cell r="FV6">
            <v>0</v>
          </cell>
          <cell r="FW6">
            <v>29600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80000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41600</v>
          </cell>
          <cell r="GO6">
            <v>0</v>
          </cell>
          <cell r="GP6">
            <v>0</v>
          </cell>
          <cell r="GQ6">
            <v>121600</v>
          </cell>
          <cell r="GT6">
            <v>-256800</v>
          </cell>
          <cell r="GU6">
            <v>-272800</v>
          </cell>
          <cell r="GV6">
            <v>-254400</v>
          </cell>
          <cell r="GW6">
            <v>-352000</v>
          </cell>
          <cell r="GX6">
            <v>-131200</v>
          </cell>
          <cell r="GY6">
            <v>-555200</v>
          </cell>
          <cell r="GZ6">
            <v>-128400</v>
          </cell>
          <cell r="HA6">
            <v>-891200</v>
          </cell>
          <cell r="HB6">
            <v>-476400</v>
          </cell>
          <cell r="HC6">
            <v>-505200</v>
          </cell>
          <cell r="HD6">
            <v>-324000</v>
          </cell>
          <cell r="HE6">
            <v>-336800</v>
          </cell>
          <cell r="HF6">
            <v>-1570400</v>
          </cell>
          <cell r="HG6">
            <v>-1378800</v>
          </cell>
          <cell r="HH6">
            <v>-2887600</v>
          </cell>
          <cell r="HI6">
            <v>-267600</v>
          </cell>
          <cell r="HJ6">
            <v>-109200</v>
          </cell>
          <cell r="HK6">
            <v>-10698000</v>
          </cell>
          <cell r="HN6">
            <v>22400</v>
          </cell>
          <cell r="HO6">
            <v>12400</v>
          </cell>
          <cell r="HP6">
            <v>7200</v>
          </cell>
          <cell r="HQ6">
            <v>88000</v>
          </cell>
          <cell r="HR6">
            <v>22000</v>
          </cell>
          <cell r="HS6">
            <v>61200</v>
          </cell>
          <cell r="HT6">
            <v>35600</v>
          </cell>
          <cell r="HU6">
            <v>171600</v>
          </cell>
          <cell r="HV6">
            <v>152000</v>
          </cell>
          <cell r="HW6">
            <v>78000</v>
          </cell>
          <cell r="HX6">
            <v>31200</v>
          </cell>
          <cell r="HY6">
            <v>54800</v>
          </cell>
          <cell r="HZ6">
            <v>87200</v>
          </cell>
          <cell r="IA6">
            <v>88800</v>
          </cell>
          <cell r="IB6">
            <v>306400</v>
          </cell>
          <cell r="IC6">
            <v>56000</v>
          </cell>
          <cell r="ID6">
            <v>4400</v>
          </cell>
          <cell r="IE6">
            <v>1279200</v>
          </cell>
          <cell r="IH6">
            <v>160000</v>
          </cell>
          <cell r="II6">
            <v>0</v>
          </cell>
          <cell r="IJ6">
            <v>40000</v>
          </cell>
          <cell r="IK6">
            <v>160000</v>
          </cell>
          <cell r="IL6">
            <v>0</v>
          </cell>
          <cell r="IM6">
            <v>120000</v>
          </cell>
          <cell r="IN6">
            <v>280000</v>
          </cell>
          <cell r="IO6">
            <v>280000</v>
          </cell>
          <cell r="IP6">
            <v>240000</v>
          </cell>
          <cell r="IQ6">
            <v>80000</v>
          </cell>
          <cell r="IR6">
            <v>120000</v>
          </cell>
          <cell r="IS6">
            <v>220000</v>
          </cell>
          <cell r="IT6">
            <v>120000</v>
          </cell>
          <cell r="IU6">
            <v>680000</v>
          </cell>
          <cell r="IV6">
            <v>1600</v>
          </cell>
          <cell r="IW6">
            <v>120000</v>
          </cell>
          <cell r="IX6">
            <v>0</v>
          </cell>
          <cell r="IY6">
            <v>2621600</v>
          </cell>
          <cell r="JB6">
            <v>200000</v>
          </cell>
          <cell r="JC6">
            <v>80000</v>
          </cell>
          <cell r="JD6">
            <v>140000</v>
          </cell>
          <cell r="JE6">
            <v>500000</v>
          </cell>
          <cell r="JF6">
            <v>380000</v>
          </cell>
          <cell r="JG6">
            <v>240000</v>
          </cell>
          <cell r="JH6">
            <v>80000</v>
          </cell>
          <cell r="JI6">
            <v>360000</v>
          </cell>
          <cell r="JJ6">
            <v>460000</v>
          </cell>
          <cell r="JK6">
            <v>200000</v>
          </cell>
          <cell r="JL6">
            <v>200000</v>
          </cell>
          <cell r="JM6">
            <v>120000</v>
          </cell>
          <cell r="JN6">
            <v>600000</v>
          </cell>
          <cell r="JO6">
            <v>680000</v>
          </cell>
          <cell r="JP6">
            <v>4400385</v>
          </cell>
          <cell r="JQ6">
            <v>0</v>
          </cell>
          <cell r="JR6">
            <v>100000</v>
          </cell>
          <cell r="JS6">
            <v>8740385</v>
          </cell>
          <cell r="JV6">
            <v>0</v>
          </cell>
          <cell r="JW6">
            <v>120000</v>
          </cell>
          <cell r="JX6">
            <v>0</v>
          </cell>
          <cell r="JY6">
            <v>80000</v>
          </cell>
          <cell r="JZ6">
            <v>0</v>
          </cell>
          <cell r="KA6">
            <v>0</v>
          </cell>
          <cell r="KB6">
            <v>0</v>
          </cell>
          <cell r="KC6">
            <v>40000</v>
          </cell>
          <cell r="KD6">
            <v>160000</v>
          </cell>
          <cell r="KE6">
            <v>40000</v>
          </cell>
          <cell r="KF6">
            <v>0</v>
          </cell>
          <cell r="KG6">
            <v>80000</v>
          </cell>
          <cell r="KH6">
            <v>40000</v>
          </cell>
          <cell r="KI6">
            <v>0</v>
          </cell>
          <cell r="KJ6">
            <v>93600</v>
          </cell>
          <cell r="KK6">
            <v>140000</v>
          </cell>
          <cell r="KL6">
            <v>0</v>
          </cell>
          <cell r="KM6">
            <v>793600</v>
          </cell>
          <cell r="KP6">
            <v>-234400</v>
          </cell>
          <cell r="KQ6">
            <v>-260400</v>
          </cell>
          <cell r="KR6">
            <v>-247200</v>
          </cell>
          <cell r="KS6">
            <v>-264000</v>
          </cell>
          <cell r="KT6">
            <v>-109200</v>
          </cell>
          <cell r="KU6">
            <v>-494000</v>
          </cell>
          <cell r="KV6">
            <v>-92800</v>
          </cell>
          <cell r="KW6">
            <v>-719600</v>
          </cell>
          <cell r="KX6">
            <v>-244400</v>
          </cell>
          <cell r="KY6">
            <v>-427200</v>
          </cell>
          <cell r="KZ6">
            <v>-292800</v>
          </cell>
          <cell r="LA6">
            <v>-282000</v>
          </cell>
          <cell r="LB6">
            <v>-1483200</v>
          </cell>
          <cell r="LC6">
            <v>-1290000</v>
          </cell>
          <cell r="LD6">
            <v>-2539600</v>
          </cell>
          <cell r="LE6">
            <v>-211600</v>
          </cell>
          <cell r="LF6">
            <v>-104800</v>
          </cell>
          <cell r="LG6">
            <v>-9297200</v>
          </cell>
          <cell r="LJ6">
            <v>360000</v>
          </cell>
          <cell r="LK6">
            <v>80000</v>
          </cell>
          <cell r="LL6">
            <v>180000</v>
          </cell>
          <cell r="LM6">
            <v>660000</v>
          </cell>
          <cell r="LN6">
            <v>380000</v>
          </cell>
          <cell r="LO6">
            <v>360000</v>
          </cell>
          <cell r="LP6">
            <v>360000</v>
          </cell>
          <cell r="LQ6">
            <v>640000</v>
          </cell>
          <cell r="LR6">
            <v>700000</v>
          </cell>
          <cell r="LS6">
            <v>280000</v>
          </cell>
          <cell r="LT6">
            <v>320000</v>
          </cell>
          <cell r="LU6">
            <v>340000</v>
          </cell>
          <cell r="LV6">
            <v>720000</v>
          </cell>
          <cell r="LW6">
            <v>1360000</v>
          </cell>
          <cell r="LX6">
            <v>4401985</v>
          </cell>
          <cell r="LY6">
            <v>120000</v>
          </cell>
          <cell r="LZ6">
            <v>100000</v>
          </cell>
          <cell r="MA6">
            <v>11361985</v>
          </cell>
          <cell r="MD6">
            <v>-234400</v>
          </cell>
          <cell r="ME6">
            <v>-140400</v>
          </cell>
          <cell r="MF6">
            <v>-247200</v>
          </cell>
          <cell r="MG6">
            <v>-184000</v>
          </cell>
          <cell r="MH6">
            <v>-109200</v>
          </cell>
          <cell r="MI6">
            <v>-494000</v>
          </cell>
          <cell r="MJ6">
            <v>-92800</v>
          </cell>
          <cell r="MK6">
            <v>-679600</v>
          </cell>
          <cell r="ML6">
            <v>-84400</v>
          </cell>
          <cell r="MM6">
            <v>-387200</v>
          </cell>
          <cell r="MN6">
            <v>-292800</v>
          </cell>
          <cell r="MO6">
            <v>-202000</v>
          </cell>
          <cell r="MP6">
            <v>-1443200</v>
          </cell>
          <cell r="MQ6">
            <v>-1290000</v>
          </cell>
          <cell r="MR6">
            <v>-2446000</v>
          </cell>
          <cell r="MS6">
            <v>-71600</v>
          </cell>
          <cell r="MT6">
            <v>-104800</v>
          </cell>
          <cell r="MU6">
            <v>-8503600</v>
          </cell>
          <cell r="MX6">
            <v>125600</v>
          </cell>
          <cell r="MY6">
            <v>-60400</v>
          </cell>
          <cell r="MZ6">
            <v>-67200</v>
          </cell>
          <cell r="NA6">
            <v>476000</v>
          </cell>
          <cell r="NB6">
            <v>270800</v>
          </cell>
          <cell r="NC6">
            <v>-134000</v>
          </cell>
          <cell r="ND6">
            <v>267200</v>
          </cell>
          <cell r="NE6">
            <v>-39600</v>
          </cell>
          <cell r="NF6">
            <v>615600</v>
          </cell>
          <cell r="NG6">
            <v>-107200</v>
          </cell>
          <cell r="NH6">
            <v>27200</v>
          </cell>
          <cell r="NI6">
            <v>138000</v>
          </cell>
          <cell r="NJ6">
            <v>-723200</v>
          </cell>
          <cell r="NK6">
            <v>70000</v>
          </cell>
          <cell r="NL6">
            <v>1955985</v>
          </cell>
          <cell r="NM6">
            <v>48400</v>
          </cell>
          <cell r="NN6">
            <v>-4800</v>
          </cell>
          <cell r="NO6">
            <v>2858385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40000</v>
          </cell>
          <cell r="G7">
            <v>0</v>
          </cell>
          <cell r="H7">
            <v>140000</v>
          </cell>
          <cell r="I7">
            <v>0</v>
          </cell>
          <cell r="J7">
            <v>100000</v>
          </cell>
          <cell r="K7">
            <v>0</v>
          </cell>
          <cell r="L7">
            <v>0</v>
          </cell>
          <cell r="M7">
            <v>60000</v>
          </cell>
          <cell r="N7">
            <v>0</v>
          </cell>
          <cell r="O7">
            <v>0</v>
          </cell>
          <cell r="P7">
            <v>1600</v>
          </cell>
          <cell r="Q7">
            <v>0</v>
          </cell>
          <cell r="R7">
            <v>0</v>
          </cell>
          <cell r="S7">
            <v>341600</v>
          </cell>
          <cell r="V7">
            <v>40000</v>
          </cell>
          <cell r="W7">
            <v>0</v>
          </cell>
          <cell r="X7">
            <v>20000</v>
          </cell>
          <cell r="Y7">
            <v>100000</v>
          </cell>
          <cell r="Z7">
            <v>0</v>
          </cell>
          <cell r="AA7">
            <v>100000</v>
          </cell>
          <cell r="AB7">
            <v>0</v>
          </cell>
          <cell r="AC7">
            <v>210000</v>
          </cell>
          <cell r="AD7">
            <v>60000</v>
          </cell>
          <cell r="AE7">
            <v>30000</v>
          </cell>
          <cell r="AF7">
            <v>20000</v>
          </cell>
          <cell r="AG7">
            <v>0</v>
          </cell>
          <cell r="AH7">
            <v>80000</v>
          </cell>
          <cell r="AI7">
            <v>120000</v>
          </cell>
          <cell r="AJ7">
            <v>201200</v>
          </cell>
          <cell r="AK7">
            <v>80000</v>
          </cell>
          <cell r="AL7">
            <v>20000</v>
          </cell>
          <cell r="AM7">
            <v>1081200</v>
          </cell>
          <cell r="AP7">
            <v>120000</v>
          </cell>
          <cell r="AQ7">
            <v>20000</v>
          </cell>
          <cell r="AR7">
            <v>20000</v>
          </cell>
          <cell r="AS7">
            <v>140000</v>
          </cell>
          <cell r="AT7">
            <v>0</v>
          </cell>
          <cell r="AU7">
            <v>40000</v>
          </cell>
          <cell r="AV7">
            <v>100000</v>
          </cell>
          <cell r="AW7">
            <v>160000</v>
          </cell>
          <cell r="AX7">
            <v>100000</v>
          </cell>
          <cell r="AY7">
            <v>0</v>
          </cell>
          <cell r="AZ7">
            <v>120000</v>
          </cell>
          <cell r="BA7">
            <v>110000</v>
          </cell>
          <cell r="BB7">
            <v>120000</v>
          </cell>
          <cell r="BC7">
            <v>80000</v>
          </cell>
          <cell r="BD7">
            <v>200</v>
          </cell>
          <cell r="BE7">
            <v>20000</v>
          </cell>
          <cell r="BF7">
            <v>20000</v>
          </cell>
          <cell r="BG7">
            <v>1170200</v>
          </cell>
          <cell r="BJ7">
            <v>160000</v>
          </cell>
          <cell r="BK7">
            <v>0</v>
          </cell>
          <cell r="BL7">
            <v>0</v>
          </cell>
          <cell r="BM7">
            <v>250000</v>
          </cell>
          <cell r="BN7">
            <v>0</v>
          </cell>
          <cell r="BO7">
            <v>0</v>
          </cell>
          <cell r="BP7">
            <v>0</v>
          </cell>
          <cell r="BQ7">
            <v>120000</v>
          </cell>
          <cell r="BR7">
            <v>0</v>
          </cell>
          <cell r="BS7">
            <v>0</v>
          </cell>
          <cell r="BT7">
            <v>0</v>
          </cell>
          <cell r="BU7">
            <v>80000</v>
          </cell>
          <cell r="BV7">
            <v>100000</v>
          </cell>
          <cell r="BW7">
            <v>360000</v>
          </cell>
          <cell r="BX7">
            <v>350552</v>
          </cell>
          <cell r="BY7">
            <v>0</v>
          </cell>
          <cell r="BZ7">
            <v>0</v>
          </cell>
          <cell r="CA7">
            <v>1420552</v>
          </cell>
          <cell r="CD7">
            <v>-200000</v>
          </cell>
          <cell r="CE7">
            <v>0</v>
          </cell>
          <cell r="CF7">
            <v>20000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40000</v>
          </cell>
          <cell r="CO7">
            <v>0</v>
          </cell>
          <cell r="CP7">
            <v>140000</v>
          </cell>
          <cell r="CQ7">
            <v>0</v>
          </cell>
          <cell r="CR7">
            <v>750000</v>
          </cell>
          <cell r="CS7">
            <v>0</v>
          </cell>
          <cell r="CT7">
            <v>40000</v>
          </cell>
          <cell r="CU7">
            <v>790000</v>
          </cell>
          <cell r="CX7">
            <v>0</v>
          </cell>
          <cell r="CY7">
            <v>0</v>
          </cell>
          <cell r="CZ7">
            <v>10000</v>
          </cell>
          <cell r="DA7">
            <v>0</v>
          </cell>
          <cell r="DB7">
            <v>20000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20000</v>
          </cell>
          <cell r="DI7">
            <v>0</v>
          </cell>
          <cell r="DJ7">
            <v>0</v>
          </cell>
          <cell r="DK7">
            <v>0</v>
          </cell>
          <cell r="DL7">
            <v>200000</v>
          </cell>
          <cell r="DM7">
            <v>0</v>
          </cell>
          <cell r="DN7">
            <v>0</v>
          </cell>
          <cell r="DO7">
            <v>250000</v>
          </cell>
          <cell r="DR7">
            <v>0</v>
          </cell>
          <cell r="DS7">
            <v>40000</v>
          </cell>
          <cell r="DT7">
            <v>0</v>
          </cell>
          <cell r="DU7">
            <v>0</v>
          </cell>
          <cell r="DV7">
            <v>40000</v>
          </cell>
          <cell r="DW7">
            <v>0</v>
          </cell>
          <cell r="DX7">
            <v>20000</v>
          </cell>
          <cell r="DY7">
            <v>60000</v>
          </cell>
          <cell r="DZ7">
            <v>60000</v>
          </cell>
          <cell r="EA7">
            <v>20000</v>
          </cell>
          <cell r="EB7">
            <v>0</v>
          </cell>
          <cell r="EC7">
            <v>20000</v>
          </cell>
          <cell r="ED7">
            <v>40000</v>
          </cell>
          <cell r="EE7">
            <v>0</v>
          </cell>
          <cell r="EF7">
            <v>1200</v>
          </cell>
          <cell r="EG7">
            <v>20000</v>
          </cell>
          <cell r="EH7">
            <v>0</v>
          </cell>
          <cell r="EI7">
            <v>321200</v>
          </cell>
          <cell r="EL7">
            <v>200000</v>
          </cell>
          <cell r="EM7">
            <v>30000</v>
          </cell>
          <cell r="EN7">
            <v>0</v>
          </cell>
          <cell r="EO7">
            <v>20000</v>
          </cell>
          <cell r="EP7">
            <v>80000</v>
          </cell>
          <cell r="EQ7">
            <v>200000</v>
          </cell>
          <cell r="ER7">
            <v>100000</v>
          </cell>
          <cell r="ES7">
            <v>140000</v>
          </cell>
          <cell r="ET7">
            <v>180000</v>
          </cell>
          <cell r="EU7">
            <v>40000</v>
          </cell>
          <cell r="EV7">
            <v>0</v>
          </cell>
          <cell r="EW7">
            <v>40000</v>
          </cell>
          <cell r="EX7">
            <v>60000</v>
          </cell>
          <cell r="EY7">
            <v>40000</v>
          </cell>
          <cell r="EZ7">
            <v>53000</v>
          </cell>
          <cell r="FA7">
            <v>50000</v>
          </cell>
          <cell r="FB7">
            <v>0</v>
          </cell>
          <cell r="FC7">
            <v>1233000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120000</v>
          </cell>
          <cell r="FM7">
            <v>260000</v>
          </cell>
          <cell r="FN7">
            <v>0</v>
          </cell>
          <cell r="FO7">
            <v>0</v>
          </cell>
          <cell r="FP7">
            <v>0</v>
          </cell>
          <cell r="FQ7">
            <v>100000</v>
          </cell>
          <cell r="FR7">
            <v>0</v>
          </cell>
          <cell r="FS7">
            <v>60000</v>
          </cell>
          <cell r="FT7">
            <v>7200</v>
          </cell>
          <cell r="FU7">
            <v>0</v>
          </cell>
          <cell r="FV7">
            <v>0</v>
          </cell>
          <cell r="FW7">
            <v>547200</v>
          </cell>
          <cell r="FZ7">
            <v>0</v>
          </cell>
          <cell r="GA7">
            <v>100000</v>
          </cell>
          <cell r="GB7">
            <v>0</v>
          </cell>
          <cell r="GC7">
            <v>0</v>
          </cell>
          <cell r="GD7">
            <v>60000</v>
          </cell>
          <cell r="GE7">
            <v>80000</v>
          </cell>
          <cell r="GF7">
            <v>0</v>
          </cell>
          <cell r="GG7">
            <v>200000</v>
          </cell>
          <cell r="GH7">
            <v>180000</v>
          </cell>
          <cell r="GI7">
            <v>120000</v>
          </cell>
          <cell r="GJ7">
            <v>0</v>
          </cell>
          <cell r="GK7">
            <v>220000</v>
          </cell>
          <cell r="GL7">
            <v>100000</v>
          </cell>
          <cell r="GM7">
            <v>40000</v>
          </cell>
          <cell r="GN7">
            <v>46698.03</v>
          </cell>
          <cell r="GO7">
            <v>20000</v>
          </cell>
          <cell r="GP7">
            <v>0</v>
          </cell>
          <cell r="GQ7">
            <v>1166698.03</v>
          </cell>
          <cell r="GT7">
            <v>-207600</v>
          </cell>
          <cell r="GU7">
            <v>-202000</v>
          </cell>
          <cell r="GV7">
            <v>-44600</v>
          </cell>
          <cell r="GW7">
            <v>-191400</v>
          </cell>
          <cell r="GX7">
            <v>-119400</v>
          </cell>
          <cell r="GY7">
            <v>-396600</v>
          </cell>
          <cell r="GZ7">
            <v>-100000</v>
          </cell>
          <cell r="HA7">
            <v>-694000</v>
          </cell>
          <cell r="HB7">
            <v>-246800</v>
          </cell>
          <cell r="HC7">
            <v>-268000</v>
          </cell>
          <cell r="HD7">
            <v>11400</v>
          </cell>
          <cell r="HE7">
            <v>-253200</v>
          </cell>
          <cell r="HF7">
            <v>-427400</v>
          </cell>
          <cell r="HG7">
            <v>-712800</v>
          </cell>
          <cell r="HH7">
            <v>126400</v>
          </cell>
          <cell r="HI7">
            <v>-204400</v>
          </cell>
          <cell r="HJ7">
            <v>-49600</v>
          </cell>
          <cell r="HK7">
            <v>-3980000</v>
          </cell>
          <cell r="HN7">
            <v>22800</v>
          </cell>
          <cell r="HO7">
            <v>11600</v>
          </cell>
          <cell r="HP7">
            <v>8200</v>
          </cell>
          <cell r="HQ7">
            <v>67800</v>
          </cell>
          <cell r="HR7">
            <v>17800</v>
          </cell>
          <cell r="HS7">
            <v>43200</v>
          </cell>
          <cell r="HT7">
            <v>35600</v>
          </cell>
          <cell r="HU7">
            <v>165400</v>
          </cell>
          <cell r="HV7">
            <v>112400</v>
          </cell>
          <cell r="HW7">
            <v>43800</v>
          </cell>
          <cell r="HX7">
            <v>85400</v>
          </cell>
          <cell r="HY7">
            <v>63600</v>
          </cell>
          <cell r="HZ7">
            <v>61600</v>
          </cell>
          <cell r="IA7">
            <v>72000</v>
          </cell>
          <cell r="IB7">
            <v>386000</v>
          </cell>
          <cell r="IC7">
            <v>23200</v>
          </cell>
          <cell r="ID7">
            <v>6200</v>
          </cell>
          <cell r="IE7">
            <v>1226600</v>
          </cell>
          <cell r="IH7">
            <v>160000</v>
          </cell>
          <cell r="II7">
            <v>20000</v>
          </cell>
          <cell r="IJ7">
            <v>40000</v>
          </cell>
          <cell r="IK7">
            <v>240000</v>
          </cell>
          <cell r="IL7">
            <v>40000</v>
          </cell>
          <cell r="IM7">
            <v>140000</v>
          </cell>
          <cell r="IN7">
            <v>240000</v>
          </cell>
          <cell r="IO7">
            <v>370000</v>
          </cell>
          <cell r="IP7">
            <v>260000</v>
          </cell>
          <cell r="IQ7">
            <v>30000</v>
          </cell>
          <cell r="IR7">
            <v>140000</v>
          </cell>
          <cell r="IS7">
            <v>170000</v>
          </cell>
          <cell r="IT7">
            <v>200000</v>
          </cell>
          <cell r="IU7">
            <v>200000</v>
          </cell>
          <cell r="IV7">
            <v>203000</v>
          </cell>
          <cell r="IW7">
            <v>100000</v>
          </cell>
          <cell r="IX7">
            <v>40000</v>
          </cell>
          <cell r="IY7">
            <v>2593000</v>
          </cell>
          <cell r="JB7">
            <v>-40000</v>
          </cell>
          <cell r="JC7">
            <v>0</v>
          </cell>
          <cell r="JD7">
            <v>30000</v>
          </cell>
          <cell r="JE7">
            <v>250000</v>
          </cell>
          <cell r="JF7">
            <v>20000</v>
          </cell>
          <cell r="JG7">
            <v>0</v>
          </cell>
          <cell r="JH7">
            <v>0</v>
          </cell>
          <cell r="JI7">
            <v>120000</v>
          </cell>
          <cell r="JJ7">
            <v>0</v>
          </cell>
          <cell r="JK7">
            <v>0</v>
          </cell>
          <cell r="JL7">
            <v>60000</v>
          </cell>
          <cell r="JM7">
            <v>80000</v>
          </cell>
          <cell r="JN7">
            <v>240000</v>
          </cell>
          <cell r="JO7">
            <v>360000</v>
          </cell>
          <cell r="JP7">
            <v>1300552</v>
          </cell>
          <cell r="JQ7">
            <v>0</v>
          </cell>
          <cell r="JR7">
            <v>40000</v>
          </cell>
          <cell r="JS7">
            <v>2460552</v>
          </cell>
          <cell r="JV7">
            <v>200000</v>
          </cell>
          <cell r="JW7">
            <v>70000</v>
          </cell>
          <cell r="JX7">
            <v>0</v>
          </cell>
          <cell r="JY7">
            <v>20000</v>
          </cell>
          <cell r="JZ7">
            <v>120000</v>
          </cell>
          <cell r="KA7">
            <v>200000</v>
          </cell>
          <cell r="KB7">
            <v>240000</v>
          </cell>
          <cell r="KC7">
            <v>460000</v>
          </cell>
          <cell r="KD7">
            <v>240000</v>
          </cell>
          <cell r="KE7">
            <v>60000</v>
          </cell>
          <cell r="KF7">
            <v>0</v>
          </cell>
          <cell r="KG7">
            <v>160000</v>
          </cell>
          <cell r="KH7">
            <v>100000</v>
          </cell>
          <cell r="KI7">
            <v>100000</v>
          </cell>
          <cell r="KJ7">
            <v>61400</v>
          </cell>
          <cell r="KK7">
            <v>70000</v>
          </cell>
          <cell r="KL7">
            <v>0</v>
          </cell>
          <cell r="KM7">
            <v>2101400</v>
          </cell>
          <cell r="KP7">
            <v>-184800</v>
          </cell>
          <cell r="KQ7">
            <v>-90400</v>
          </cell>
          <cell r="KR7">
            <v>-36400</v>
          </cell>
          <cell r="KS7">
            <v>-123600</v>
          </cell>
          <cell r="KT7">
            <v>-41600</v>
          </cell>
          <cell r="KU7">
            <v>-273400</v>
          </cell>
          <cell r="KV7">
            <v>-64400</v>
          </cell>
          <cell r="KW7">
            <v>-328600</v>
          </cell>
          <cell r="KX7">
            <v>45600</v>
          </cell>
          <cell r="KY7">
            <v>-104200</v>
          </cell>
          <cell r="KZ7">
            <v>96800</v>
          </cell>
          <cell r="LA7">
            <v>30400</v>
          </cell>
          <cell r="LB7">
            <v>-265800</v>
          </cell>
          <cell r="LC7">
            <v>-600800</v>
          </cell>
          <cell r="LD7">
            <v>559098.03</v>
          </cell>
          <cell r="LE7">
            <v>-161200</v>
          </cell>
          <cell r="LF7">
            <v>-43400</v>
          </cell>
          <cell r="LG7">
            <v>-1586701.97</v>
          </cell>
          <cell r="LJ7">
            <v>120000</v>
          </cell>
          <cell r="LK7">
            <v>20000</v>
          </cell>
          <cell r="LL7">
            <v>70000</v>
          </cell>
          <cell r="LM7">
            <v>490000</v>
          </cell>
          <cell r="LN7">
            <v>60000</v>
          </cell>
          <cell r="LO7">
            <v>140000</v>
          </cell>
          <cell r="LP7">
            <v>240000</v>
          </cell>
          <cell r="LQ7">
            <v>490000</v>
          </cell>
          <cell r="LR7">
            <v>260000</v>
          </cell>
          <cell r="LS7">
            <v>30000</v>
          </cell>
          <cell r="LT7">
            <v>200000</v>
          </cell>
          <cell r="LU7">
            <v>250000</v>
          </cell>
          <cell r="LV7">
            <v>440000</v>
          </cell>
          <cell r="LW7">
            <v>560000</v>
          </cell>
          <cell r="LX7">
            <v>1503552</v>
          </cell>
          <cell r="LY7">
            <v>100000</v>
          </cell>
          <cell r="LZ7">
            <v>80000</v>
          </cell>
          <cell r="MA7">
            <v>5053552</v>
          </cell>
          <cell r="MD7">
            <v>15200</v>
          </cell>
          <cell r="ME7">
            <v>-20400</v>
          </cell>
          <cell r="MF7">
            <v>-36400</v>
          </cell>
          <cell r="MG7">
            <v>-103600</v>
          </cell>
          <cell r="MH7">
            <v>78400</v>
          </cell>
          <cell r="MI7">
            <v>-73400</v>
          </cell>
          <cell r="MJ7">
            <v>175600</v>
          </cell>
          <cell r="MK7">
            <v>131400</v>
          </cell>
          <cell r="ML7">
            <v>285600</v>
          </cell>
          <cell r="MM7">
            <v>-44200</v>
          </cell>
          <cell r="MN7">
            <v>96800</v>
          </cell>
          <cell r="MO7">
            <v>190400</v>
          </cell>
          <cell r="MP7">
            <v>-165800</v>
          </cell>
          <cell r="MQ7">
            <v>-500800</v>
          </cell>
          <cell r="MR7">
            <v>620498.03</v>
          </cell>
          <cell r="MS7">
            <v>-91200</v>
          </cell>
          <cell r="MT7">
            <v>-43400</v>
          </cell>
          <cell r="MU7">
            <v>514698.03</v>
          </cell>
          <cell r="MX7">
            <v>135200</v>
          </cell>
          <cell r="MY7">
            <v>-400</v>
          </cell>
          <cell r="MZ7">
            <v>33600</v>
          </cell>
          <cell r="NA7">
            <v>386400</v>
          </cell>
          <cell r="NB7">
            <v>138400</v>
          </cell>
          <cell r="NC7">
            <v>66600</v>
          </cell>
          <cell r="ND7">
            <v>415600</v>
          </cell>
          <cell r="NE7">
            <v>621400</v>
          </cell>
          <cell r="NF7">
            <v>545600</v>
          </cell>
          <cell r="NG7">
            <v>-14200</v>
          </cell>
          <cell r="NH7">
            <v>296800</v>
          </cell>
          <cell r="NI7">
            <v>440400</v>
          </cell>
          <cell r="NJ7">
            <v>274200</v>
          </cell>
          <cell r="NK7">
            <v>59200</v>
          </cell>
          <cell r="NL7">
            <v>2124050.0300000003</v>
          </cell>
          <cell r="NM7">
            <v>8800</v>
          </cell>
          <cell r="NN7">
            <v>36600</v>
          </cell>
          <cell r="NO7">
            <v>5568250.0300000003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20000</v>
          </cell>
          <cell r="G8">
            <v>0</v>
          </cell>
          <cell r="H8">
            <v>0</v>
          </cell>
          <cell r="I8">
            <v>50000</v>
          </cell>
          <cell r="J8">
            <v>65000</v>
          </cell>
          <cell r="K8">
            <v>0</v>
          </cell>
          <cell r="L8">
            <v>0</v>
          </cell>
          <cell r="M8">
            <v>20000</v>
          </cell>
          <cell r="N8">
            <v>0</v>
          </cell>
          <cell r="O8">
            <v>0</v>
          </cell>
          <cell r="P8">
            <v>76000</v>
          </cell>
          <cell r="Q8">
            <v>0</v>
          </cell>
          <cell r="R8">
            <v>0</v>
          </cell>
          <cell r="S8">
            <v>231000</v>
          </cell>
          <cell r="V8">
            <v>20000</v>
          </cell>
          <cell r="W8">
            <v>0</v>
          </cell>
          <cell r="X8">
            <v>10000</v>
          </cell>
          <cell r="Y8">
            <v>85000</v>
          </cell>
          <cell r="Z8">
            <v>0</v>
          </cell>
          <cell r="AA8">
            <v>60000</v>
          </cell>
          <cell r="AB8">
            <v>80000</v>
          </cell>
          <cell r="AC8">
            <v>80000</v>
          </cell>
          <cell r="AD8">
            <v>30000</v>
          </cell>
          <cell r="AE8">
            <v>20000</v>
          </cell>
          <cell r="AF8">
            <v>10000</v>
          </cell>
          <cell r="AG8">
            <v>0</v>
          </cell>
          <cell r="AH8">
            <v>15000</v>
          </cell>
          <cell r="AI8">
            <v>40000</v>
          </cell>
          <cell r="AJ8">
            <v>600</v>
          </cell>
          <cell r="AK8">
            <v>50000</v>
          </cell>
          <cell r="AL8">
            <v>10000</v>
          </cell>
          <cell r="AM8">
            <v>510600</v>
          </cell>
          <cell r="AP8">
            <v>60000</v>
          </cell>
          <cell r="AQ8">
            <v>40000</v>
          </cell>
          <cell r="AR8">
            <v>20000</v>
          </cell>
          <cell r="AS8">
            <v>90000</v>
          </cell>
          <cell r="AT8">
            <v>0</v>
          </cell>
          <cell r="AU8">
            <v>30000</v>
          </cell>
          <cell r="AV8">
            <v>60000</v>
          </cell>
          <cell r="AW8">
            <v>100000</v>
          </cell>
          <cell r="AX8">
            <v>70000</v>
          </cell>
          <cell r="AY8">
            <v>0</v>
          </cell>
          <cell r="AZ8">
            <v>80000</v>
          </cell>
          <cell r="BA8">
            <v>25000</v>
          </cell>
          <cell r="BB8">
            <v>120000</v>
          </cell>
          <cell r="BC8">
            <v>130000</v>
          </cell>
          <cell r="BD8">
            <v>31000</v>
          </cell>
          <cell r="BE8">
            <v>20000</v>
          </cell>
          <cell r="BF8">
            <v>10000</v>
          </cell>
          <cell r="BG8">
            <v>886000</v>
          </cell>
          <cell r="BJ8">
            <v>100000</v>
          </cell>
          <cell r="BK8">
            <v>0</v>
          </cell>
          <cell r="BL8">
            <v>0</v>
          </cell>
          <cell r="BM8">
            <v>175000</v>
          </cell>
          <cell r="BN8">
            <v>0</v>
          </cell>
          <cell r="BO8">
            <v>0</v>
          </cell>
          <cell r="BP8">
            <v>0</v>
          </cell>
          <cell r="BQ8">
            <v>110000</v>
          </cell>
          <cell r="BR8">
            <v>0</v>
          </cell>
          <cell r="BS8">
            <v>0</v>
          </cell>
          <cell r="BT8">
            <v>0</v>
          </cell>
          <cell r="BU8">
            <v>95000</v>
          </cell>
          <cell r="BV8">
            <v>80000</v>
          </cell>
          <cell r="BW8">
            <v>470000</v>
          </cell>
          <cell r="BX8">
            <v>411173</v>
          </cell>
          <cell r="BY8">
            <v>0</v>
          </cell>
          <cell r="BZ8">
            <v>0</v>
          </cell>
          <cell r="CA8">
            <v>1441173</v>
          </cell>
          <cell r="CD8">
            <v>20000</v>
          </cell>
          <cell r="CE8">
            <v>40000</v>
          </cell>
          <cell r="CF8">
            <v>40000</v>
          </cell>
          <cell r="CG8">
            <v>50000</v>
          </cell>
          <cell r="CH8">
            <v>90000</v>
          </cell>
          <cell r="CI8">
            <v>30000</v>
          </cell>
          <cell r="CJ8">
            <v>25000</v>
          </cell>
          <cell r="CK8">
            <v>70000</v>
          </cell>
          <cell r="CL8">
            <v>120000</v>
          </cell>
          <cell r="CM8">
            <v>25000</v>
          </cell>
          <cell r="CN8">
            <v>220000</v>
          </cell>
          <cell r="CO8">
            <v>70000</v>
          </cell>
          <cell r="CP8">
            <v>545000</v>
          </cell>
          <cell r="CQ8">
            <v>50000</v>
          </cell>
          <cell r="CR8">
            <v>1900400</v>
          </cell>
          <cell r="CS8">
            <v>0</v>
          </cell>
          <cell r="CT8">
            <v>45000</v>
          </cell>
          <cell r="CU8">
            <v>3340400</v>
          </cell>
          <cell r="CX8">
            <v>0</v>
          </cell>
          <cell r="CY8">
            <v>0</v>
          </cell>
          <cell r="CZ8">
            <v>50000</v>
          </cell>
          <cell r="DA8">
            <v>0</v>
          </cell>
          <cell r="DB8">
            <v>10000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40000</v>
          </cell>
          <cell r="DI8">
            <v>0</v>
          </cell>
          <cell r="DJ8">
            <v>35000</v>
          </cell>
          <cell r="DK8">
            <v>13700</v>
          </cell>
          <cell r="DL8">
            <v>150200</v>
          </cell>
          <cell r="DM8">
            <v>0</v>
          </cell>
          <cell r="DN8">
            <v>40000</v>
          </cell>
          <cell r="DO8">
            <v>338900</v>
          </cell>
          <cell r="DR8">
            <v>0</v>
          </cell>
          <cell r="DS8">
            <v>40000</v>
          </cell>
          <cell r="DT8">
            <v>0</v>
          </cell>
          <cell r="DU8">
            <v>0</v>
          </cell>
          <cell r="DV8">
            <v>40000</v>
          </cell>
          <cell r="DW8">
            <v>70000</v>
          </cell>
          <cell r="DX8">
            <v>75000</v>
          </cell>
          <cell r="DY8">
            <v>80000</v>
          </cell>
          <cell r="DZ8">
            <v>75000</v>
          </cell>
          <cell r="EA8">
            <v>70000</v>
          </cell>
          <cell r="EB8">
            <v>0</v>
          </cell>
          <cell r="EC8">
            <v>108000</v>
          </cell>
          <cell r="ED8">
            <v>30000</v>
          </cell>
          <cell r="EE8">
            <v>20000</v>
          </cell>
          <cell r="EF8">
            <v>1200</v>
          </cell>
          <cell r="EG8">
            <v>50000</v>
          </cell>
          <cell r="EH8">
            <v>0</v>
          </cell>
          <cell r="EI8">
            <v>659200</v>
          </cell>
          <cell r="EL8">
            <v>50000</v>
          </cell>
          <cell r="EM8">
            <v>0</v>
          </cell>
          <cell r="EN8">
            <v>0</v>
          </cell>
          <cell r="EO8">
            <v>10000</v>
          </cell>
          <cell r="EP8">
            <v>30000</v>
          </cell>
          <cell r="EQ8">
            <v>50000</v>
          </cell>
          <cell r="ER8">
            <v>20000</v>
          </cell>
          <cell r="ES8">
            <v>60000</v>
          </cell>
          <cell r="ET8">
            <v>80000</v>
          </cell>
          <cell r="EU8">
            <v>30000</v>
          </cell>
          <cell r="EV8">
            <v>0</v>
          </cell>
          <cell r="EW8">
            <v>0</v>
          </cell>
          <cell r="EX8">
            <v>25000</v>
          </cell>
          <cell r="EY8">
            <v>20000</v>
          </cell>
          <cell r="EZ8">
            <v>25600</v>
          </cell>
          <cell r="FA8">
            <v>10000</v>
          </cell>
          <cell r="FB8">
            <v>0</v>
          </cell>
          <cell r="FC8">
            <v>410600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120000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20000</v>
          </cell>
          <cell r="FT8">
            <v>3500</v>
          </cell>
          <cell r="FU8">
            <v>0</v>
          </cell>
          <cell r="FV8">
            <v>0</v>
          </cell>
          <cell r="FW8">
            <v>143500</v>
          </cell>
          <cell r="FZ8">
            <v>0</v>
          </cell>
          <cell r="GA8">
            <v>10000</v>
          </cell>
          <cell r="GB8">
            <v>0</v>
          </cell>
          <cell r="GC8">
            <v>0</v>
          </cell>
          <cell r="GD8">
            <v>20000</v>
          </cell>
          <cell r="GE8">
            <v>0</v>
          </cell>
          <cell r="GF8">
            <v>0</v>
          </cell>
          <cell r="GG8">
            <v>75000</v>
          </cell>
          <cell r="GH8">
            <v>65000</v>
          </cell>
          <cell r="GI8">
            <v>30000</v>
          </cell>
          <cell r="GJ8">
            <v>0</v>
          </cell>
          <cell r="GK8">
            <v>0</v>
          </cell>
          <cell r="GL8">
            <v>20000</v>
          </cell>
          <cell r="GM8">
            <v>0</v>
          </cell>
          <cell r="GN8">
            <v>4276.5149999999994</v>
          </cell>
          <cell r="GO8">
            <v>0</v>
          </cell>
          <cell r="GP8">
            <v>0</v>
          </cell>
          <cell r="GQ8">
            <v>224276.51500000001</v>
          </cell>
          <cell r="GT8">
            <v>-131700</v>
          </cell>
          <cell r="GU8">
            <v>-102800</v>
          </cell>
          <cell r="GV8">
            <v>-84700</v>
          </cell>
          <cell r="GW8">
            <v>-219600</v>
          </cell>
          <cell r="GX8">
            <v>-97100</v>
          </cell>
          <cell r="GY8">
            <v>-175000</v>
          </cell>
          <cell r="GZ8">
            <v>-60500</v>
          </cell>
          <cell r="HA8">
            <v>-350200</v>
          </cell>
          <cell r="HB8">
            <v>-159700</v>
          </cell>
          <cell r="HC8">
            <v>-199200</v>
          </cell>
          <cell r="HD8">
            <v>-101400</v>
          </cell>
          <cell r="HE8">
            <v>-201200</v>
          </cell>
          <cell r="HF8">
            <v>-432100</v>
          </cell>
          <cell r="HG8">
            <v>-578200</v>
          </cell>
          <cell r="HH8">
            <v>-349700</v>
          </cell>
          <cell r="HI8">
            <v>-131600</v>
          </cell>
          <cell r="HJ8">
            <v>-87300</v>
          </cell>
          <cell r="HK8">
            <v>-3462000</v>
          </cell>
          <cell r="HN8">
            <v>14400</v>
          </cell>
          <cell r="HO8">
            <v>6800</v>
          </cell>
          <cell r="HP8">
            <v>9300</v>
          </cell>
          <cell r="HQ8">
            <v>56300</v>
          </cell>
          <cell r="HR8">
            <v>11600</v>
          </cell>
          <cell r="HS8">
            <v>29600</v>
          </cell>
          <cell r="HT8">
            <v>21000</v>
          </cell>
          <cell r="HU8">
            <v>118900</v>
          </cell>
          <cell r="HV8">
            <v>66800</v>
          </cell>
          <cell r="HW8">
            <v>29400</v>
          </cell>
          <cell r="HX8">
            <v>39400</v>
          </cell>
          <cell r="HY8">
            <v>25800</v>
          </cell>
          <cell r="HZ8">
            <v>34000</v>
          </cell>
          <cell r="IA8">
            <v>22900</v>
          </cell>
          <cell r="IB8">
            <v>242500</v>
          </cell>
          <cell r="IC8">
            <v>15700</v>
          </cell>
          <cell r="ID8">
            <v>7400</v>
          </cell>
          <cell r="IE8">
            <v>751800</v>
          </cell>
          <cell r="IH8">
            <v>80000</v>
          </cell>
          <cell r="II8">
            <v>40000</v>
          </cell>
          <cell r="IJ8">
            <v>30000</v>
          </cell>
          <cell r="IK8">
            <v>175000</v>
          </cell>
          <cell r="IL8">
            <v>20000</v>
          </cell>
          <cell r="IM8">
            <v>90000</v>
          </cell>
          <cell r="IN8">
            <v>140000</v>
          </cell>
          <cell r="IO8">
            <v>230000</v>
          </cell>
          <cell r="IP8">
            <v>165000</v>
          </cell>
          <cell r="IQ8">
            <v>20000</v>
          </cell>
          <cell r="IR8">
            <v>90000</v>
          </cell>
          <cell r="IS8">
            <v>45000</v>
          </cell>
          <cell r="IT8">
            <v>135000</v>
          </cell>
          <cell r="IU8">
            <v>170000</v>
          </cell>
          <cell r="IV8">
            <v>107600</v>
          </cell>
          <cell r="IW8">
            <v>70000</v>
          </cell>
          <cell r="IX8">
            <v>20000</v>
          </cell>
          <cell r="IY8">
            <v>1627600</v>
          </cell>
          <cell r="JB8">
            <v>120000</v>
          </cell>
          <cell r="JC8">
            <v>40000</v>
          </cell>
          <cell r="JD8">
            <v>90000</v>
          </cell>
          <cell r="JE8">
            <v>225000</v>
          </cell>
          <cell r="JF8">
            <v>100000</v>
          </cell>
          <cell r="JG8">
            <v>30000</v>
          </cell>
          <cell r="JH8">
            <v>25000</v>
          </cell>
          <cell r="JI8">
            <v>180000</v>
          </cell>
          <cell r="JJ8">
            <v>120000</v>
          </cell>
          <cell r="JK8">
            <v>25000</v>
          </cell>
          <cell r="JL8">
            <v>260000</v>
          </cell>
          <cell r="JM8">
            <v>165000</v>
          </cell>
          <cell r="JN8">
            <v>660000</v>
          </cell>
          <cell r="JO8">
            <v>533700</v>
          </cell>
          <cell r="JP8">
            <v>2461773</v>
          </cell>
          <cell r="JQ8">
            <v>0</v>
          </cell>
          <cell r="JR8">
            <v>85000</v>
          </cell>
          <cell r="JS8">
            <v>5120473</v>
          </cell>
          <cell r="JV8">
            <v>50000</v>
          </cell>
          <cell r="JW8">
            <v>40000</v>
          </cell>
          <cell r="JX8">
            <v>0</v>
          </cell>
          <cell r="JY8">
            <v>10000</v>
          </cell>
          <cell r="JZ8">
            <v>70000</v>
          </cell>
          <cell r="KA8">
            <v>120000</v>
          </cell>
          <cell r="KB8">
            <v>95000</v>
          </cell>
          <cell r="KC8">
            <v>260000</v>
          </cell>
          <cell r="KD8">
            <v>155000</v>
          </cell>
          <cell r="KE8">
            <v>100000</v>
          </cell>
          <cell r="KF8">
            <v>0</v>
          </cell>
          <cell r="KG8">
            <v>108000</v>
          </cell>
          <cell r="KH8">
            <v>55000</v>
          </cell>
          <cell r="KI8">
            <v>60000</v>
          </cell>
          <cell r="KJ8">
            <v>30300</v>
          </cell>
          <cell r="KK8">
            <v>60000</v>
          </cell>
          <cell r="KL8">
            <v>0</v>
          </cell>
          <cell r="KM8">
            <v>1213300</v>
          </cell>
          <cell r="KP8">
            <v>-117300</v>
          </cell>
          <cell r="KQ8">
            <v>-86000</v>
          </cell>
          <cell r="KR8">
            <v>-75400</v>
          </cell>
          <cell r="KS8">
            <v>-163300</v>
          </cell>
          <cell r="KT8">
            <v>-65500</v>
          </cell>
          <cell r="KU8">
            <v>-145400</v>
          </cell>
          <cell r="KV8">
            <v>-39500</v>
          </cell>
          <cell r="KW8">
            <v>-156300</v>
          </cell>
          <cell r="KX8">
            <v>-27900</v>
          </cell>
          <cell r="KY8">
            <v>-139800</v>
          </cell>
          <cell r="KZ8">
            <v>-62000</v>
          </cell>
          <cell r="LA8">
            <v>-175400</v>
          </cell>
          <cell r="LB8">
            <v>-378100</v>
          </cell>
          <cell r="LC8">
            <v>-555300</v>
          </cell>
          <cell r="LD8">
            <v>-102923.48499999999</v>
          </cell>
          <cell r="LE8">
            <v>-115900</v>
          </cell>
          <cell r="LF8">
            <v>-79900</v>
          </cell>
          <cell r="LG8">
            <v>-2485923.4849999999</v>
          </cell>
          <cell r="LJ8">
            <v>200000</v>
          </cell>
          <cell r="LK8">
            <v>80000</v>
          </cell>
          <cell r="LL8">
            <v>120000</v>
          </cell>
          <cell r="LM8">
            <v>400000</v>
          </cell>
          <cell r="LN8">
            <v>120000</v>
          </cell>
          <cell r="LO8">
            <v>120000</v>
          </cell>
          <cell r="LP8">
            <v>165000</v>
          </cell>
          <cell r="LQ8">
            <v>410000</v>
          </cell>
          <cell r="LR8">
            <v>285000</v>
          </cell>
          <cell r="LS8">
            <v>45000</v>
          </cell>
          <cell r="LT8">
            <v>350000</v>
          </cell>
          <cell r="LU8">
            <v>210000</v>
          </cell>
          <cell r="LV8">
            <v>795000</v>
          </cell>
          <cell r="LW8">
            <v>703700</v>
          </cell>
          <cell r="LX8">
            <v>2569373</v>
          </cell>
          <cell r="LY8">
            <v>70000</v>
          </cell>
          <cell r="LZ8">
            <v>105000</v>
          </cell>
          <cell r="MA8">
            <v>6748073</v>
          </cell>
          <cell r="MD8">
            <v>-67300</v>
          </cell>
          <cell r="ME8">
            <v>-46000</v>
          </cell>
          <cell r="MF8">
            <v>-75400</v>
          </cell>
          <cell r="MG8">
            <v>-153300</v>
          </cell>
          <cell r="MH8">
            <v>4500</v>
          </cell>
          <cell r="MI8">
            <v>-25400</v>
          </cell>
          <cell r="MJ8">
            <v>55500</v>
          </cell>
          <cell r="MK8">
            <v>103700</v>
          </cell>
          <cell r="ML8">
            <v>127100</v>
          </cell>
          <cell r="MM8">
            <v>-39800</v>
          </cell>
          <cell r="MN8">
            <v>-62000</v>
          </cell>
          <cell r="MO8">
            <v>-67400</v>
          </cell>
          <cell r="MP8">
            <v>-323100</v>
          </cell>
          <cell r="MQ8">
            <v>-495300</v>
          </cell>
          <cell r="MR8">
            <v>-72623.484999999986</v>
          </cell>
          <cell r="MS8">
            <v>-55900</v>
          </cell>
          <cell r="MT8">
            <v>-79900</v>
          </cell>
          <cell r="MU8">
            <v>-1272623.4849999999</v>
          </cell>
          <cell r="MX8">
            <v>132700</v>
          </cell>
          <cell r="MY8">
            <v>34000</v>
          </cell>
          <cell r="MZ8">
            <v>44600</v>
          </cell>
          <cell r="NA8">
            <v>246700</v>
          </cell>
          <cell r="NB8">
            <v>124500</v>
          </cell>
          <cell r="NC8">
            <v>94600</v>
          </cell>
          <cell r="ND8">
            <v>220500</v>
          </cell>
          <cell r="NE8">
            <v>513700</v>
          </cell>
          <cell r="NF8">
            <v>412100</v>
          </cell>
          <cell r="NG8">
            <v>5200</v>
          </cell>
          <cell r="NH8">
            <v>288000</v>
          </cell>
          <cell r="NI8">
            <v>142600</v>
          </cell>
          <cell r="NJ8">
            <v>471900</v>
          </cell>
          <cell r="NK8">
            <v>208400</v>
          </cell>
          <cell r="NL8">
            <v>2496749.5150000001</v>
          </cell>
          <cell r="NM8">
            <v>14100</v>
          </cell>
          <cell r="NN8">
            <v>25100</v>
          </cell>
          <cell r="NO8">
            <v>5475449.5150000006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8000</v>
          </cell>
          <cell r="G9">
            <v>0</v>
          </cell>
          <cell r="H9">
            <v>0</v>
          </cell>
          <cell r="I9">
            <v>30000</v>
          </cell>
          <cell r="J9">
            <v>12000</v>
          </cell>
          <cell r="K9">
            <v>0</v>
          </cell>
          <cell r="L9">
            <v>0</v>
          </cell>
          <cell r="M9">
            <v>20000</v>
          </cell>
          <cell r="N9">
            <v>20000</v>
          </cell>
          <cell r="O9">
            <v>34000</v>
          </cell>
          <cell r="P9">
            <v>30400</v>
          </cell>
          <cell r="Q9">
            <v>0</v>
          </cell>
          <cell r="R9">
            <v>0</v>
          </cell>
          <cell r="S9">
            <v>154400</v>
          </cell>
          <cell r="V9">
            <v>12000</v>
          </cell>
          <cell r="W9">
            <v>0</v>
          </cell>
          <cell r="X9">
            <v>8000</v>
          </cell>
          <cell r="Y9">
            <v>24000</v>
          </cell>
          <cell r="Z9">
            <v>0</v>
          </cell>
          <cell r="AA9">
            <v>0</v>
          </cell>
          <cell r="AB9">
            <v>40000</v>
          </cell>
          <cell r="AC9">
            <v>44000</v>
          </cell>
          <cell r="AD9">
            <v>16000</v>
          </cell>
          <cell r="AE9">
            <v>14000</v>
          </cell>
          <cell r="AF9">
            <v>8000</v>
          </cell>
          <cell r="AG9">
            <v>8000</v>
          </cell>
          <cell r="AH9">
            <v>0</v>
          </cell>
          <cell r="AI9">
            <v>24000</v>
          </cell>
          <cell r="AJ9">
            <v>240</v>
          </cell>
          <cell r="AK9">
            <v>20000</v>
          </cell>
          <cell r="AL9">
            <v>8000</v>
          </cell>
          <cell r="AM9">
            <v>226240</v>
          </cell>
          <cell r="AP9">
            <v>12000</v>
          </cell>
          <cell r="AQ9">
            <v>16000</v>
          </cell>
          <cell r="AR9">
            <v>8000</v>
          </cell>
          <cell r="AS9">
            <v>56000</v>
          </cell>
          <cell r="AT9">
            <v>0</v>
          </cell>
          <cell r="AU9">
            <v>28000</v>
          </cell>
          <cell r="AV9">
            <v>36000</v>
          </cell>
          <cell r="AW9">
            <v>40000</v>
          </cell>
          <cell r="AX9">
            <v>52000</v>
          </cell>
          <cell r="AY9">
            <v>0</v>
          </cell>
          <cell r="AZ9">
            <v>50000</v>
          </cell>
          <cell r="BA9">
            <v>24000</v>
          </cell>
          <cell r="BB9">
            <v>40000</v>
          </cell>
          <cell r="BC9">
            <v>4000</v>
          </cell>
          <cell r="BD9">
            <v>38400</v>
          </cell>
          <cell r="BE9">
            <v>12000</v>
          </cell>
          <cell r="BF9">
            <v>6000</v>
          </cell>
          <cell r="BG9">
            <v>422400</v>
          </cell>
          <cell r="BJ9">
            <v>60000</v>
          </cell>
          <cell r="BK9">
            <v>0</v>
          </cell>
          <cell r="BL9">
            <v>0</v>
          </cell>
          <cell r="BM9">
            <v>118000</v>
          </cell>
          <cell r="BN9">
            <v>0</v>
          </cell>
          <cell r="BO9">
            <v>0</v>
          </cell>
          <cell r="BP9">
            <v>0</v>
          </cell>
          <cell r="BQ9">
            <v>44000</v>
          </cell>
          <cell r="BR9">
            <v>0</v>
          </cell>
          <cell r="BS9">
            <v>0</v>
          </cell>
          <cell r="BT9">
            <v>0</v>
          </cell>
          <cell r="BU9">
            <v>32000</v>
          </cell>
          <cell r="BV9">
            <v>32000</v>
          </cell>
          <cell r="BW9">
            <v>156000</v>
          </cell>
          <cell r="BX9">
            <v>178447</v>
          </cell>
          <cell r="BY9">
            <v>0</v>
          </cell>
          <cell r="BZ9">
            <v>0</v>
          </cell>
          <cell r="CA9">
            <v>620447</v>
          </cell>
          <cell r="CD9">
            <v>32000</v>
          </cell>
          <cell r="CE9">
            <v>13000</v>
          </cell>
          <cell r="CF9">
            <v>29000</v>
          </cell>
          <cell r="CG9">
            <v>128000</v>
          </cell>
          <cell r="CH9">
            <v>56000</v>
          </cell>
          <cell r="CI9">
            <v>60000</v>
          </cell>
          <cell r="CJ9">
            <v>38000</v>
          </cell>
          <cell r="CK9">
            <v>66000</v>
          </cell>
          <cell r="CL9">
            <v>60000</v>
          </cell>
          <cell r="CM9">
            <v>32000</v>
          </cell>
          <cell r="CN9">
            <v>144000</v>
          </cell>
          <cell r="CO9">
            <v>40000</v>
          </cell>
          <cell r="CP9">
            <v>279600</v>
          </cell>
          <cell r="CQ9">
            <v>48000</v>
          </cell>
          <cell r="CR9">
            <v>760000</v>
          </cell>
          <cell r="CS9">
            <v>0</v>
          </cell>
          <cell r="CT9">
            <v>16000</v>
          </cell>
          <cell r="CU9">
            <v>1801600</v>
          </cell>
          <cell r="CX9">
            <v>0</v>
          </cell>
          <cell r="CY9">
            <v>0</v>
          </cell>
          <cell r="CZ9">
            <v>26000</v>
          </cell>
          <cell r="DA9">
            <v>0</v>
          </cell>
          <cell r="DB9">
            <v>6000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6000</v>
          </cell>
          <cell r="DI9">
            <v>0</v>
          </cell>
          <cell r="DJ9">
            <v>24000</v>
          </cell>
          <cell r="DK9">
            <v>6000</v>
          </cell>
          <cell r="DL9">
            <v>0</v>
          </cell>
          <cell r="DM9">
            <v>0</v>
          </cell>
          <cell r="DN9">
            <v>26000</v>
          </cell>
          <cell r="DO9">
            <v>94000</v>
          </cell>
          <cell r="DR9">
            <v>0</v>
          </cell>
          <cell r="DS9">
            <v>24000</v>
          </cell>
          <cell r="DT9">
            <v>0</v>
          </cell>
          <cell r="DU9">
            <v>0</v>
          </cell>
          <cell r="DV9">
            <v>12000</v>
          </cell>
          <cell r="DW9">
            <v>14000</v>
          </cell>
          <cell r="DX9">
            <v>20000</v>
          </cell>
          <cell r="DY9">
            <v>28000</v>
          </cell>
          <cell r="DZ9">
            <v>40000</v>
          </cell>
          <cell r="EA9">
            <v>12000</v>
          </cell>
          <cell r="EB9">
            <v>0</v>
          </cell>
          <cell r="EC9">
            <v>32000</v>
          </cell>
          <cell r="ED9">
            <v>16000</v>
          </cell>
          <cell r="EE9">
            <v>12000</v>
          </cell>
          <cell r="EF9">
            <v>320</v>
          </cell>
          <cell r="EG9">
            <v>26000</v>
          </cell>
          <cell r="EH9">
            <v>0</v>
          </cell>
          <cell r="EI9">
            <v>236320</v>
          </cell>
          <cell r="EL9">
            <v>0</v>
          </cell>
          <cell r="EM9">
            <v>0</v>
          </cell>
          <cell r="EN9">
            <v>0</v>
          </cell>
          <cell r="EO9">
            <v>4000</v>
          </cell>
          <cell r="EP9">
            <v>8000</v>
          </cell>
          <cell r="EQ9">
            <v>20000</v>
          </cell>
          <cell r="ER9">
            <v>0</v>
          </cell>
          <cell r="ES9">
            <v>20000</v>
          </cell>
          <cell r="ET9">
            <v>20000</v>
          </cell>
          <cell r="EU9">
            <v>16000</v>
          </cell>
          <cell r="EV9">
            <v>0</v>
          </cell>
          <cell r="EW9">
            <v>0</v>
          </cell>
          <cell r="EX9">
            <v>0</v>
          </cell>
          <cell r="EY9">
            <v>12000</v>
          </cell>
          <cell r="EZ9">
            <v>10080</v>
          </cell>
          <cell r="FA9">
            <v>0</v>
          </cell>
          <cell r="FB9">
            <v>0</v>
          </cell>
          <cell r="FC9">
            <v>110080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1440</v>
          </cell>
          <cell r="FU9">
            <v>0</v>
          </cell>
          <cell r="FV9">
            <v>0</v>
          </cell>
          <cell r="FW9">
            <v>1440</v>
          </cell>
          <cell r="FZ9">
            <v>0</v>
          </cell>
          <cell r="GA9">
            <v>4000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16000</v>
          </cell>
          <cell r="GI9">
            <v>4000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1690.606</v>
          </cell>
          <cell r="GO9">
            <v>0</v>
          </cell>
          <cell r="GP9">
            <v>0</v>
          </cell>
          <cell r="GQ9">
            <v>25690.606</v>
          </cell>
          <cell r="GT9">
            <v>-53800</v>
          </cell>
          <cell r="GU9">
            <v>-37160</v>
          </cell>
          <cell r="GV9">
            <v>-30560</v>
          </cell>
          <cell r="GW9">
            <v>-115520</v>
          </cell>
          <cell r="GX9">
            <v>-33880</v>
          </cell>
          <cell r="GY9">
            <v>-72840</v>
          </cell>
          <cell r="GZ9">
            <v>-43200</v>
          </cell>
          <cell r="HA9">
            <v>-67560</v>
          </cell>
          <cell r="HB9">
            <v>-64880</v>
          </cell>
          <cell r="HC9">
            <v>-65160</v>
          </cell>
          <cell r="HD9">
            <v>-74880</v>
          </cell>
          <cell r="HE9">
            <v>-75360</v>
          </cell>
          <cell r="HF9">
            <v>-125960</v>
          </cell>
          <cell r="HG9">
            <v>-171360</v>
          </cell>
          <cell r="HH9">
            <v>-64880</v>
          </cell>
          <cell r="HI9">
            <v>-50480</v>
          </cell>
          <cell r="HJ9">
            <v>-51480</v>
          </cell>
          <cell r="HK9">
            <v>-1198960</v>
          </cell>
          <cell r="HN9">
            <v>6040</v>
          </cell>
          <cell r="HO9">
            <v>4120</v>
          </cell>
          <cell r="HP9">
            <v>6760</v>
          </cell>
          <cell r="HQ9">
            <v>24520</v>
          </cell>
          <cell r="HR9">
            <v>6440</v>
          </cell>
          <cell r="HS9">
            <v>12200</v>
          </cell>
          <cell r="HT9">
            <v>12240</v>
          </cell>
          <cell r="HU9">
            <v>51640</v>
          </cell>
          <cell r="HV9">
            <v>29200</v>
          </cell>
          <cell r="HW9">
            <v>11440</v>
          </cell>
          <cell r="HX9">
            <v>17600</v>
          </cell>
          <cell r="HY9">
            <v>9560</v>
          </cell>
          <cell r="HZ9">
            <v>6280</v>
          </cell>
          <cell r="IA9">
            <v>7160</v>
          </cell>
          <cell r="IB9">
            <v>126560</v>
          </cell>
          <cell r="IC9">
            <v>5920</v>
          </cell>
          <cell r="ID9">
            <v>5520</v>
          </cell>
          <cell r="IE9">
            <v>343200</v>
          </cell>
          <cell r="IH9">
            <v>24000</v>
          </cell>
          <cell r="II9">
            <v>16000</v>
          </cell>
          <cell r="IJ9">
            <v>16000</v>
          </cell>
          <cell r="IK9">
            <v>80000</v>
          </cell>
          <cell r="IL9">
            <v>8000</v>
          </cell>
          <cell r="IM9">
            <v>28000</v>
          </cell>
          <cell r="IN9">
            <v>76000</v>
          </cell>
          <cell r="IO9">
            <v>114000</v>
          </cell>
          <cell r="IP9">
            <v>80000</v>
          </cell>
          <cell r="IQ9">
            <v>14000</v>
          </cell>
          <cell r="IR9">
            <v>58000</v>
          </cell>
          <cell r="IS9">
            <v>52000</v>
          </cell>
          <cell r="IT9">
            <v>60000</v>
          </cell>
          <cell r="IU9">
            <v>62000</v>
          </cell>
          <cell r="IV9">
            <v>69040</v>
          </cell>
          <cell r="IW9">
            <v>32000</v>
          </cell>
          <cell r="IX9">
            <v>14000</v>
          </cell>
          <cell r="IY9">
            <v>803040</v>
          </cell>
          <cell r="JB9">
            <v>92000</v>
          </cell>
          <cell r="JC9">
            <v>13000</v>
          </cell>
          <cell r="JD9">
            <v>55000</v>
          </cell>
          <cell r="JE9">
            <v>246000</v>
          </cell>
          <cell r="JF9">
            <v>62000</v>
          </cell>
          <cell r="JG9">
            <v>60000</v>
          </cell>
          <cell r="JH9">
            <v>38000</v>
          </cell>
          <cell r="JI9">
            <v>110000</v>
          </cell>
          <cell r="JJ9">
            <v>60000</v>
          </cell>
          <cell r="JK9">
            <v>32000</v>
          </cell>
          <cell r="JL9">
            <v>150000</v>
          </cell>
          <cell r="JM9">
            <v>72000</v>
          </cell>
          <cell r="JN9">
            <v>335600</v>
          </cell>
          <cell r="JO9">
            <v>210000</v>
          </cell>
          <cell r="JP9">
            <v>938447</v>
          </cell>
          <cell r="JQ9">
            <v>0</v>
          </cell>
          <cell r="JR9">
            <v>42000</v>
          </cell>
          <cell r="JS9">
            <v>2516047</v>
          </cell>
          <cell r="JV9">
            <v>0</v>
          </cell>
          <cell r="JW9">
            <v>24000</v>
          </cell>
          <cell r="JX9">
            <v>0</v>
          </cell>
          <cell r="JY9">
            <v>4000</v>
          </cell>
          <cell r="JZ9">
            <v>20000</v>
          </cell>
          <cell r="KA9">
            <v>34000</v>
          </cell>
          <cell r="KB9">
            <v>20000</v>
          </cell>
          <cell r="KC9">
            <v>48000</v>
          </cell>
          <cell r="KD9">
            <v>60000</v>
          </cell>
          <cell r="KE9">
            <v>28000</v>
          </cell>
          <cell r="KF9">
            <v>0</v>
          </cell>
          <cell r="KG9">
            <v>32000</v>
          </cell>
          <cell r="KH9">
            <v>16000</v>
          </cell>
          <cell r="KI9">
            <v>24000</v>
          </cell>
          <cell r="KJ9">
            <v>11840</v>
          </cell>
          <cell r="KK9">
            <v>26000</v>
          </cell>
          <cell r="KL9">
            <v>0</v>
          </cell>
          <cell r="KM9">
            <v>347840</v>
          </cell>
          <cell r="KP9">
            <v>-47760</v>
          </cell>
          <cell r="KQ9">
            <v>-29040</v>
          </cell>
          <cell r="KR9">
            <v>-23800</v>
          </cell>
          <cell r="KS9">
            <v>-91000</v>
          </cell>
          <cell r="KT9">
            <v>-27440</v>
          </cell>
          <cell r="KU9">
            <v>-60640</v>
          </cell>
          <cell r="KV9">
            <v>-30960</v>
          </cell>
          <cell r="KW9">
            <v>-15920</v>
          </cell>
          <cell r="KX9">
            <v>-19680</v>
          </cell>
          <cell r="KY9">
            <v>-49720</v>
          </cell>
          <cell r="KZ9">
            <v>-57280</v>
          </cell>
          <cell r="LA9">
            <v>-65800</v>
          </cell>
          <cell r="LB9">
            <v>-119680</v>
          </cell>
          <cell r="LC9">
            <v>-164200</v>
          </cell>
          <cell r="LD9">
            <v>63370.606</v>
          </cell>
          <cell r="LE9">
            <v>-44560</v>
          </cell>
          <cell r="LF9">
            <v>-45960</v>
          </cell>
          <cell r="LG9">
            <v>-830069.39399999997</v>
          </cell>
          <cell r="LJ9">
            <v>116000</v>
          </cell>
          <cell r="LK9">
            <v>29000</v>
          </cell>
          <cell r="LL9">
            <v>71000</v>
          </cell>
          <cell r="LM9">
            <v>326000</v>
          </cell>
          <cell r="LN9">
            <v>70000</v>
          </cell>
          <cell r="LO9">
            <v>88000</v>
          </cell>
          <cell r="LP9">
            <v>114000</v>
          </cell>
          <cell r="LQ9">
            <v>224000</v>
          </cell>
          <cell r="LR9">
            <v>140000</v>
          </cell>
          <cell r="LS9">
            <v>46000</v>
          </cell>
          <cell r="LT9">
            <v>208000</v>
          </cell>
          <cell r="LU9">
            <v>124000</v>
          </cell>
          <cell r="LV9">
            <v>395600</v>
          </cell>
          <cell r="LW9">
            <v>272000</v>
          </cell>
          <cell r="LX9">
            <v>1007487</v>
          </cell>
          <cell r="LY9">
            <v>32000</v>
          </cell>
          <cell r="LZ9">
            <v>56000</v>
          </cell>
          <cell r="MA9">
            <v>3319087</v>
          </cell>
          <cell r="MD9">
            <v>-47760</v>
          </cell>
          <cell r="ME9">
            <v>-5040</v>
          </cell>
          <cell r="MF9">
            <v>-23800</v>
          </cell>
          <cell r="MG9">
            <v>-87000</v>
          </cell>
          <cell r="MH9">
            <v>-7440</v>
          </cell>
          <cell r="MI9">
            <v>-26640</v>
          </cell>
          <cell r="MJ9">
            <v>-10960</v>
          </cell>
          <cell r="MK9">
            <v>32080</v>
          </cell>
          <cell r="ML9">
            <v>40320</v>
          </cell>
          <cell r="MM9">
            <v>-21720</v>
          </cell>
          <cell r="MN9">
            <v>-57280</v>
          </cell>
          <cell r="MO9">
            <v>-33800</v>
          </cell>
          <cell r="MP9">
            <v>-103680</v>
          </cell>
          <cell r="MQ9">
            <v>-140200</v>
          </cell>
          <cell r="MR9">
            <v>75210.606</v>
          </cell>
          <cell r="MS9">
            <v>-18560</v>
          </cell>
          <cell r="MT9">
            <v>-45960</v>
          </cell>
          <cell r="MU9">
            <v>-482229.39399999997</v>
          </cell>
          <cell r="MX9">
            <v>68240</v>
          </cell>
          <cell r="MY9">
            <v>23960</v>
          </cell>
          <cell r="MZ9">
            <v>47200</v>
          </cell>
          <cell r="NA9">
            <v>239000</v>
          </cell>
          <cell r="NB9">
            <v>62560</v>
          </cell>
          <cell r="NC9">
            <v>61360</v>
          </cell>
          <cell r="ND9">
            <v>103040</v>
          </cell>
          <cell r="NE9">
            <v>256080</v>
          </cell>
          <cell r="NF9">
            <v>180320</v>
          </cell>
          <cell r="NG9">
            <v>24280</v>
          </cell>
          <cell r="NH9">
            <v>150720</v>
          </cell>
          <cell r="NI9">
            <v>90200</v>
          </cell>
          <cell r="NJ9">
            <v>291920</v>
          </cell>
          <cell r="NK9">
            <v>131800</v>
          </cell>
          <cell r="NL9">
            <v>1082697.6059999999</v>
          </cell>
          <cell r="NM9">
            <v>13440</v>
          </cell>
          <cell r="NN9">
            <v>10040</v>
          </cell>
          <cell r="NO9">
            <v>2836857.6059999997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120</v>
          </cell>
          <cell r="Q10">
            <v>0</v>
          </cell>
          <cell r="R10">
            <v>0</v>
          </cell>
          <cell r="S10">
            <v>2120</v>
          </cell>
          <cell r="V10">
            <v>1000</v>
          </cell>
          <cell r="W10">
            <v>2000</v>
          </cell>
          <cell r="X10">
            <v>0</v>
          </cell>
          <cell r="Y10">
            <v>2000</v>
          </cell>
          <cell r="Z10">
            <v>0</v>
          </cell>
          <cell r="AA10">
            <v>0</v>
          </cell>
          <cell r="AB10">
            <v>6000</v>
          </cell>
          <cell r="AC10">
            <v>0</v>
          </cell>
          <cell r="AD10">
            <v>4000</v>
          </cell>
          <cell r="AE10">
            <v>0</v>
          </cell>
          <cell r="AF10">
            <v>0</v>
          </cell>
          <cell r="AG10">
            <v>5000</v>
          </cell>
          <cell r="AH10">
            <v>0</v>
          </cell>
          <cell r="AI10">
            <v>0</v>
          </cell>
          <cell r="AJ10">
            <v>100</v>
          </cell>
          <cell r="AK10">
            <v>2000</v>
          </cell>
          <cell r="AL10">
            <v>0</v>
          </cell>
          <cell r="AM10">
            <v>22100</v>
          </cell>
          <cell r="AP10">
            <v>4000</v>
          </cell>
          <cell r="AQ10">
            <v>2000</v>
          </cell>
          <cell r="AR10">
            <v>2000</v>
          </cell>
          <cell r="AS10">
            <v>3000</v>
          </cell>
          <cell r="AT10">
            <v>3000</v>
          </cell>
          <cell r="AU10">
            <v>4000</v>
          </cell>
          <cell r="AV10">
            <v>4000</v>
          </cell>
          <cell r="AW10">
            <v>4000</v>
          </cell>
          <cell r="AX10">
            <v>10000</v>
          </cell>
          <cell r="AY10">
            <v>0</v>
          </cell>
          <cell r="AZ10">
            <v>5000</v>
          </cell>
          <cell r="BA10">
            <v>0</v>
          </cell>
          <cell r="BB10">
            <v>9000</v>
          </cell>
          <cell r="BC10">
            <v>8000</v>
          </cell>
          <cell r="BD10">
            <v>120</v>
          </cell>
          <cell r="BE10">
            <v>2000</v>
          </cell>
          <cell r="BF10">
            <v>1000</v>
          </cell>
          <cell r="BG10">
            <v>61120</v>
          </cell>
          <cell r="BJ10">
            <v>2000</v>
          </cell>
          <cell r="BK10">
            <v>0</v>
          </cell>
          <cell r="BL10">
            <v>0</v>
          </cell>
          <cell r="BM10">
            <v>4000</v>
          </cell>
          <cell r="BN10">
            <v>0</v>
          </cell>
          <cell r="BO10">
            <v>0</v>
          </cell>
          <cell r="BP10">
            <v>0</v>
          </cell>
          <cell r="BQ10">
            <v>6000</v>
          </cell>
          <cell r="BR10">
            <v>0</v>
          </cell>
          <cell r="BS10">
            <v>0</v>
          </cell>
          <cell r="BT10">
            <v>0</v>
          </cell>
          <cell r="BU10">
            <v>2000</v>
          </cell>
          <cell r="BV10">
            <v>0</v>
          </cell>
          <cell r="BW10">
            <v>10000</v>
          </cell>
          <cell r="BX10">
            <v>135</v>
          </cell>
          <cell r="BY10">
            <v>0</v>
          </cell>
          <cell r="BZ10">
            <v>0</v>
          </cell>
          <cell r="CA10">
            <v>24135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10000</v>
          </cell>
          <cell r="CL10">
            <v>4000</v>
          </cell>
          <cell r="CM10">
            <v>0</v>
          </cell>
          <cell r="CN10">
            <v>0</v>
          </cell>
          <cell r="CO10">
            <v>0</v>
          </cell>
          <cell r="CP10">
            <v>4000</v>
          </cell>
          <cell r="CQ10">
            <v>0</v>
          </cell>
          <cell r="CR10">
            <v>0</v>
          </cell>
          <cell r="CS10">
            <v>0</v>
          </cell>
          <cell r="CT10">
            <v>1000</v>
          </cell>
          <cell r="CU10">
            <v>19000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2000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2000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0.30299999999999999</v>
          </cell>
          <cell r="GO10">
            <v>0</v>
          </cell>
          <cell r="GP10">
            <v>0</v>
          </cell>
          <cell r="GQ10">
            <v>0.30299999999999999</v>
          </cell>
          <cell r="GT10">
            <v>0</v>
          </cell>
          <cell r="GU10">
            <v>0</v>
          </cell>
          <cell r="GV10">
            <v>180</v>
          </cell>
          <cell r="GW10">
            <v>2560</v>
          </cell>
          <cell r="GX10">
            <v>0</v>
          </cell>
          <cell r="GY10">
            <v>480</v>
          </cell>
          <cell r="GZ10">
            <v>0</v>
          </cell>
          <cell r="HA10">
            <v>0</v>
          </cell>
          <cell r="HB10">
            <v>3440</v>
          </cell>
          <cell r="HC10">
            <v>2580</v>
          </cell>
          <cell r="HD10">
            <v>0</v>
          </cell>
          <cell r="HE10">
            <v>2760</v>
          </cell>
          <cell r="HF10">
            <v>1240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13240</v>
          </cell>
          <cell r="HN10">
            <v>280</v>
          </cell>
          <cell r="HO10">
            <v>0</v>
          </cell>
          <cell r="HP10">
            <v>180</v>
          </cell>
          <cell r="HQ10">
            <v>2920</v>
          </cell>
          <cell r="HR10">
            <v>40</v>
          </cell>
          <cell r="HS10">
            <v>420</v>
          </cell>
          <cell r="HT10">
            <v>0</v>
          </cell>
          <cell r="HU10">
            <v>760</v>
          </cell>
          <cell r="HV10">
            <v>3200</v>
          </cell>
          <cell r="HW10">
            <v>2280</v>
          </cell>
          <cell r="HX10">
            <v>540</v>
          </cell>
          <cell r="HY10">
            <v>880</v>
          </cell>
          <cell r="HZ10">
            <v>620</v>
          </cell>
          <cell r="IA10">
            <v>0</v>
          </cell>
          <cell r="IB10">
            <v>1860</v>
          </cell>
          <cell r="IC10">
            <v>0</v>
          </cell>
          <cell r="ID10">
            <v>0</v>
          </cell>
          <cell r="IE10">
            <v>13980</v>
          </cell>
          <cell r="IH10">
            <v>5000</v>
          </cell>
          <cell r="II10">
            <v>4000</v>
          </cell>
          <cell r="IJ10">
            <v>2000</v>
          </cell>
          <cell r="IK10">
            <v>5000</v>
          </cell>
          <cell r="IL10">
            <v>3000</v>
          </cell>
          <cell r="IM10">
            <v>4000</v>
          </cell>
          <cell r="IN10">
            <v>10000</v>
          </cell>
          <cell r="IO10">
            <v>6000</v>
          </cell>
          <cell r="IP10">
            <v>14000</v>
          </cell>
          <cell r="IQ10">
            <v>0</v>
          </cell>
          <cell r="IR10">
            <v>5000</v>
          </cell>
          <cell r="IS10">
            <v>5000</v>
          </cell>
          <cell r="IT10">
            <v>9000</v>
          </cell>
          <cell r="IU10">
            <v>8000</v>
          </cell>
          <cell r="IV10">
            <v>340</v>
          </cell>
          <cell r="IW10">
            <v>4000</v>
          </cell>
          <cell r="IX10">
            <v>1000</v>
          </cell>
          <cell r="IY10">
            <v>85340</v>
          </cell>
          <cell r="JB10">
            <v>2000</v>
          </cell>
          <cell r="JC10">
            <v>0</v>
          </cell>
          <cell r="JD10">
            <v>0</v>
          </cell>
          <cell r="JE10">
            <v>4000</v>
          </cell>
          <cell r="JF10">
            <v>0</v>
          </cell>
          <cell r="JG10">
            <v>0</v>
          </cell>
          <cell r="JH10">
            <v>0</v>
          </cell>
          <cell r="JI10">
            <v>16000</v>
          </cell>
          <cell r="JJ10">
            <v>4000</v>
          </cell>
          <cell r="JK10">
            <v>0</v>
          </cell>
          <cell r="JL10">
            <v>0</v>
          </cell>
          <cell r="JM10">
            <v>2000</v>
          </cell>
          <cell r="JN10">
            <v>4000</v>
          </cell>
          <cell r="JO10">
            <v>10000</v>
          </cell>
          <cell r="JP10">
            <v>135</v>
          </cell>
          <cell r="JQ10">
            <v>0</v>
          </cell>
          <cell r="JR10">
            <v>1000</v>
          </cell>
          <cell r="JS10">
            <v>43135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2000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2000</v>
          </cell>
          <cell r="KP10">
            <v>280</v>
          </cell>
          <cell r="KQ10">
            <v>0</v>
          </cell>
          <cell r="KR10">
            <v>360</v>
          </cell>
          <cell r="KS10">
            <v>5480</v>
          </cell>
          <cell r="KT10">
            <v>40</v>
          </cell>
          <cell r="KU10">
            <v>900</v>
          </cell>
          <cell r="KV10">
            <v>0</v>
          </cell>
          <cell r="KW10">
            <v>760</v>
          </cell>
          <cell r="KX10">
            <v>6640</v>
          </cell>
          <cell r="KY10">
            <v>4860</v>
          </cell>
          <cell r="KZ10">
            <v>540</v>
          </cell>
          <cell r="LA10">
            <v>3640</v>
          </cell>
          <cell r="LB10">
            <v>1860</v>
          </cell>
          <cell r="LC10">
            <v>0</v>
          </cell>
          <cell r="LD10">
            <v>1860.3030000000001</v>
          </cell>
          <cell r="LE10">
            <v>0</v>
          </cell>
          <cell r="LF10">
            <v>0</v>
          </cell>
          <cell r="LG10">
            <v>27220.303</v>
          </cell>
          <cell r="LJ10">
            <v>7000</v>
          </cell>
          <cell r="LK10">
            <v>4000</v>
          </cell>
          <cell r="LL10">
            <v>2000</v>
          </cell>
          <cell r="LM10">
            <v>9000</v>
          </cell>
          <cell r="LN10">
            <v>3000</v>
          </cell>
          <cell r="LO10">
            <v>4000</v>
          </cell>
          <cell r="LP10">
            <v>10000</v>
          </cell>
          <cell r="LQ10">
            <v>22000</v>
          </cell>
          <cell r="LR10">
            <v>18000</v>
          </cell>
          <cell r="LS10">
            <v>0</v>
          </cell>
          <cell r="LT10">
            <v>5000</v>
          </cell>
          <cell r="LU10">
            <v>7000</v>
          </cell>
          <cell r="LV10">
            <v>13000</v>
          </cell>
          <cell r="LW10">
            <v>18000</v>
          </cell>
          <cell r="LX10">
            <v>475</v>
          </cell>
          <cell r="LY10">
            <v>4000</v>
          </cell>
          <cell r="LZ10">
            <v>2000</v>
          </cell>
          <cell r="MA10">
            <v>128475</v>
          </cell>
          <cell r="MD10">
            <v>280</v>
          </cell>
          <cell r="ME10">
            <v>0</v>
          </cell>
          <cell r="MF10">
            <v>360</v>
          </cell>
          <cell r="MG10">
            <v>5480</v>
          </cell>
          <cell r="MH10">
            <v>40</v>
          </cell>
          <cell r="MI10">
            <v>900</v>
          </cell>
          <cell r="MJ10">
            <v>0</v>
          </cell>
          <cell r="MK10">
            <v>760</v>
          </cell>
          <cell r="ML10">
            <v>6640</v>
          </cell>
          <cell r="MM10">
            <v>6860</v>
          </cell>
          <cell r="MN10">
            <v>540</v>
          </cell>
          <cell r="MO10">
            <v>3640</v>
          </cell>
          <cell r="MP10">
            <v>1860</v>
          </cell>
          <cell r="MQ10">
            <v>0</v>
          </cell>
          <cell r="MR10">
            <v>1860.3030000000001</v>
          </cell>
          <cell r="MS10">
            <v>0</v>
          </cell>
          <cell r="MT10">
            <v>0</v>
          </cell>
          <cell r="MU10">
            <v>29220.303</v>
          </cell>
          <cell r="MX10">
            <v>7280</v>
          </cell>
          <cell r="MY10">
            <v>4000</v>
          </cell>
          <cell r="MZ10">
            <v>2360</v>
          </cell>
          <cell r="NA10">
            <v>14480</v>
          </cell>
          <cell r="NB10">
            <v>3040</v>
          </cell>
          <cell r="NC10">
            <v>4900</v>
          </cell>
          <cell r="ND10">
            <v>10000</v>
          </cell>
          <cell r="NE10">
            <v>22760</v>
          </cell>
          <cell r="NF10">
            <v>24640</v>
          </cell>
          <cell r="NG10">
            <v>6860</v>
          </cell>
          <cell r="NH10">
            <v>5540</v>
          </cell>
          <cell r="NI10">
            <v>10640</v>
          </cell>
          <cell r="NJ10">
            <v>14860</v>
          </cell>
          <cell r="NK10">
            <v>18000</v>
          </cell>
          <cell r="NL10">
            <v>2335.3029999999999</v>
          </cell>
          <cell r="NM10">
            <v>4000</v>
          </cell>
          <cell r="NN10">
            <v>2000</v>
          </cell>
          <cell r="NO10">
            <v>157695.30300000001</v>
          </cell>
        </row>
        <row r="11">
          <cell r="B11">
            <v>0</v>
          </cell>
          <cell r="C11">
            <v>2000000</v>
          </cell>
          <cell r="D11">
            <v>0</v>
          </cell>
          <cell r="E11">
            <v>0</v>
          </cell>
          <cell r="F11">
            <v>1568000</v>
          </cell>
          <cell r="G11">
            <v>0</v>
          </cell>
          <cell r="H11">
            <v>1420000</v>
          </cell>
          <cell r="I11">
            <v>3082000</v>
          </cell>
          <cell r="J11">
            <v>3737000</v>
          </cell>
          <cell r="K11">
            <v>0</v>
          </cell>
          <cell r="L11">
            <v>0</v>
          </cell>
          <cell r="M11">
            <v>2100000</v>
          </cell>
          <cell r="N11">
            <v>20000</v>
          </cell>
          <cell r="O11">
            <v>1884000</v>
          </cell>
          <cell r="P11">
            <v>139720</v>
          </cell>
          <cell r="Q11">
            <v>0</v>
          </cell>
          <cell r="R11">
            <v>0</v>
          </cell>
          <cell r="S11">
            <v>15950720</v>
          </cell>
          <cell r="V11">
            <v>613000</v>
          </cell>
          <cell r="W11">
            <v>302000</v>
          </cell>
          <cell r="X11">
            <v>78000</v>
          </cell>
          <cell r="Y11">
            <v>291000</v>
          </cell>
          <cell r="Z11">
            <v>0</v>
          </cell>
          <cell r="AA11">
            <v>1960000</v>
          </cell>
          <cell r="AB11">
            <v>1426000</v>
          </cell>
          <cell r="AC11">
            <v>1284000</v>
          </cell>
          <cell r="AD11">
            <v>450000</v>
          </cell>
          <cell r="AE11">
            <v>1044000</v>
          </cell>
          <cell r="AF11">
            <v>2578000</v>
          </cell>
          <cell r="AG11">
            <v>613000</v>
          </cell>
          <cell r="AH11">
            <v>95000</v>
          </cell>
          <cell r="AI11">
            <v>1084000</v>
          </cell>
          <cell r="AJ11">
            <v>216140</v>
          </cell>
          <cell r="AK11">
            <v>1072000</v>
          </cell>
          <cell r="AL11">
            <v>438000</v>
          </cell>
          <cell r="AM11">
            <v>13544140</v>
          </cell>
          <cell r="AP11">
            <v>316000</v>
          </cell>
          <cell r="AQ11">
            <v>278000</v>
          </cell>
          <cell r="AR11">
            <v>-550000</v>
          </cell>
          <cell r="AS11">
            <v>-1731000</v>
          </cell>
          <cell r="AT11">
            <v>603000</v>
          </cell>
          <cell r="AU11">
            <v>1122000</v>
          </cell>
          <cell r="AV11">
            <v>400000</v>
          </cell>
          <cell r="AW11">
            <v>1084000</v>
          </cell>
          <cell r="AX11">
            <v>272000</v>
          </cell>
          <cell r="AY11">
            <v>0</v>
          </cell>
          <cell r="AZ11">
            <v>635000</v>
          </cell>
          <cell r="BA11">
            <v>779000</v>
          </cell>
          <cell r="BB11">
            <v>809000</v>
          </cell>
          <cell r="BC11">
            <v>302000</v>
          </cell>
          <cell r="BD11">
            <v>2769720</v>
          </cell>
          <cell r="BE11">
            <v>854000</v>
          </cell>
          <cell r="BF11">
            <v>237000</v>
          </cell>
          <cell r="BG11">
            <v>8179720</v>
          </cell>
          <cell r="BJ11">
            <v>402000</v>
          </cell>
          <cell r="BK11">
            <v>0</v>
          </cell>
          <cell r="BL11">
            <v>0</v>
          </cell>
          <cell r="BM11">
            <v>867000</v>
          </cell>
          <cell r="BN11">
            <v>0</v>
          </cell>
          <cell r="BO11">
            <v>0</v>
          </cell>
          <cell r="BP11">
            <v>0</v>
          </cell>
          <cell r="BQ11">
            <v>440000</v>
          </cell>
          <cell r="BR11">
            <v>0</v>
          </cell>
          <cell r="BS11">
            <v>0</v>
          </cell>
          <cell r="BT11">
            <v>0</v>
          </cell>
          <cell r="BU11">
            <v>309000</v>
          </cell>
          <cell r="BV11">
            <v>212000</v>
          </cell>
          <cell r="BW11">
            <v>296000</v>
          </cell>
          <cell r="BX11">
            <v>4996675</v>
          </cell>
          <cell r="BY11">
            <v>0</v>
          </cell>
          <cell r="BZ11">
            <v>-389000</v>
          </cell>
          <cell r="CA11">
            <v>7133675</v>
          </cell>
          <cell r="CD11">
            <v>3667000</v>
          </cell>
          <cell r="CE11">
            <v>1208000</v>
          </cell>
          <cell r="CF11">
            <v>1129000</v>
          </cell>
          <cell r="CG11">
            <v>4988000</v>
          </cell>
          <cell r="CH11">
            <v>1176000</v>
          </cell>
          <cell r="CI11">
            <v>1530000</v>
          </cell>
          <cell r="CJ11">
            <v>143000</v>
          </cell>
          <cell r="CK11">
            <v>1546000</v>
          </cell>
          <cell r="CL11">
            <v>644000</v>
          </cell>
          <cell r="CM11">
            <v>-93000</v>
          </cell>
          <cell r="CN11">
            <v>2154000</v>
          </cell>
          <cell r="CO11">
            <v>2290000</v>
          </cell>
          <cell r="CP11">
            <v>7778600</v>
          </cell>
          <cell r="CQ11">
            <v>2778000</v>
          </cell>
          <cell r="CR11">
            <v>21858400</v>
          </cell>
          <cell r="CS11">
            <v>0</v>
          </cell>
          <cell r="CT11">
            <v>-98000</v>
          </cell>
          <cell r="CU11">
            <v>52699000</v>
          </cell>
          <cell r="CX11">
            <v>0</v>
          </cell>
          <cell r="CY11">
            <v>0</v>
          </cell>
          <cell r="CZ11">
            <v>1186000</v>
          </cell>
          <cell r="DA11">
            <v>3400000</v>
          </cell>
          <cell r="DB11">
            <v>836000</v>
          </cell>
          <cell r="DC11">
            <v>0</v>
          </cell>
          <cell r="DD11">
            <v>0</v>
          </cell>
          <cell r="DE11">
            <v>250000</v>
          </cell>
          <cell r="DF11">
            <v>0</v>
          </cell>
          <cell r="DG11">
            <v>0</v>
          </cell>
          <cell r="DH11">
            <v>666000</v>
          </cell>
          <cell r="DI11">
            <v>0</v>
          </cell>
          <cell r="DJ11">
            <v>3559000</v>
          </cell>
          <cell r="DK11">
            <v>2045700</v>
          </cell>
          <cell r="DL11">
            <v>11022200</v>
          </cell>
          <cell r="DM11">
            <v>200000</v>
          </cell>
          <cell r="DN11">
            <v>366000</v>
          </cell>
          <cell r="DO11">
            <v>23530900</v>
          </cell>
          <cell r="DR11">
            <v>700000</v>
          </cell>
          <cell r="DS11">
            <v>1504000</v>
          </cell>
          <cell r="DT11">
            <v>0</v>
          </cell>
          <cell r="DU11">
            <v>0</v>
          </cell>
          <cell r="DV11">
            <v>1192000</v>
          </cell>
          <cell r="DW11">
            <v>1884000</v>
          </cell>
          <cell r="DX11">
            <v>915000</v>
          </cell>
          <cell r="DY11">
            <v>2208000</v>
          </cell>
          <cell r="DZ11">
            <v>2835000</v>
          </cell>
          <cell r="EA11">
            <v>1104000</v>
          </cell>
          <cell r="EB11">
            <v>0</v>
          </cell>
          <cell r="EC11">
            <v>2280000</v>
          </cell>
          <cell r="ED11">
            <v>1026000</v>
          </cell>
          <cell r="EE11">
            <v>132000</v>
          </cell>
          <cell r="EF11">
            <v>-807280</v>
          </cell>
          <cell r="EG11">
            <v>936000</v>
          </cell>
          <cell r="EH11">
            <v>0</v>
          </cell>
          <cell r="EI11">
            <v>15908720</v>
          </cell>
          <cell r="EL11">
            <v>1750000</v>
          </cell>
          <cell r="EM11">
            <v>1030000</v>
          </cell>
          <cell r="EN11">
            <v>0</v>
          </cell>
          <cell r="EO11">
            <v>114000</v>
          </cell>
          <cell r="EP11">
            <v>1318000</v>
          </cell>
          <cell r="EQ11">
            <v>3120000</v>
          </cell>
          <cell r="ER11">
            <v>1120000</v>
          </cell>
          <cell r="ES11">
            <v>1220000</v>
          </cell>
          <cell r="ET11">
            <v>5180000</v>
          </cell>
          <cell r="EU11">
            <v>2026000</v>
          </cell>
          <cell r="EV11">
            <v>0</v>
          </cell>
          <cell r="EW11">
            <v>440000</v>
          </cell>
          <cell r="EX11">
            <v>-715000</v>
          </cell>
          <cell r="EY11">
            <v>1072000</v>
          </cell>
          <cell r="EZ11">
            <v>796680</v>
          </cell>
          <cell r="FA11">
            <v>1060000</v>
          </cell>
          <cell r="FB11">
            <v>0</v>
          </cell>
          <cell r="FC11">
            <v>19531680</v>
          </cell>
          <cell r="FF11">
            <v>800000</v>
          </cell>
          <cell r="FG11">
            <v>1220000</v>
          </cell>
          <cell r="FH11">
            <v>-300000</v>
          </cell>
          <cell r="FI11">
            <v>0</v>
          </cell>
          <cell r="FJ11">
            <v>0</v>
          </cell>
          <cell r="FK11">
            <v>0</v>
          </cell>
          <cell r="FL11">
            <v>2920000</v>
          </cell>
          <cell r="FM11">
            <v>2280000</v>
          </cell>
          <cell r="FN11">
            <v>2200000</v>
          </cell>
          <cell r="FO11">
            <v>0</v>
          </cell>
          <cell r="FP11">
            <v>750000</v>
          </cell>
          <cell r="FQ11">
            <v>2300000</v>
          </cell>
          <cell r="FR11">
            <v>-1700000</v>
          </cell>
          <cell r="FS11">
            <v>580000</v>
          </cell>
          <cell r="FT11">
            <v>-934260</v>
          </cell>
          <cell r="FU11">
            <v>0</v>
          </cell>
          <cell r="FV11">
            <v>0</v>
          </cell>
          <cell r="FW11">
            <v>10115740</v>
          </cell>
          <cell r="FZ11">
            <v>2400000</v>
          </cell>
          <cell r="GA11">
            <v>114000</v>
          </cell>
          <cell r="GB11">
            <v>0</v>
          </cell>
          <cell r="GC11">
            <v>-4500000</v>
          </cell>
          <cell r="GD11">
            <v>80000</v>
          </cell>
          <cell r="GE11">
            <v>1380000</v>
          </cell>
          <cell r="GF11">
            <v>600000</v>
          </cell>
          <cell r="GG11">
            <v>2475000</v>
          </cell>
          <cell r="GH11">
            <v>4941000</v>
          </cell>
          <cell r="GI11">
            <v>1254000</v>
          </cell>
          <cell r="GJ11">
            <v>1600000</v>
          </cell>
          <cell r="GK11">
            <v>3820000</v>
          </cell>
          <cell r="GL11">
            <v>3920000</v>
          </cell>
          <cell r="GM11">
            <v>-2460000</v>
          </cell>
          <cell r="GN11">
            <v>5399745.7539999997</v>
          </cell>
          <cell r="GO11">
            <v>1170000</v>
          </cell>
          <cell r="GP11">
            <v>0</v>
          </cell>
          <cell r="GQ11">
            <v>22193745.754000001</v>
          </cell>
          <cell r="GT11">
            <v>-5747900</v>
          </cell>
          <cell r="GU11">
            <v>313240</v>
          </cell>
          <cell r="GV11">
            <v>-2289080</v>
          </cell>
          <cell r="GW11">
            <v>-6813960</v>
          </cell>
          <cell r="GX11">
            <v>-727580</v>
          </cell>
          <cell r="GY11">
            <v>-1193160</v>
          </cell>
          <cell r="GZ11">
            <v>-2540100</v>
          </cell>
          <cell r="HA11">
            <v>-5325960</v>
          </cell>
          <cell r="HB11">
            <v>-3536340</v>
          </cell>
          <cell r="HC11">
            <v>-4512980</v>
          </cell>
          <cell r="HD11">
            <v>-2139880</v>
          </cell>
          <cell r="HE11">
            <v>-2773800</v>
          </cell>
          <cell r="HF11">
            <v>-4932620</v>
          </cell>
          <cell r="HG11">
            <v>-13605160</v>
          </cell>
          <cell r="HH11">
            <v>4538220</v>
          </cell>
          <cell r="HI11">
            <v>-1873080</v>
          </cell>
          <cell r="HJ11">
            <v>-2301580</v>
          </cell>
          <cell r="HK11">
            <v>-55461720</v>
          </cell>
          <cell r="HN11">
            <v>1643920</v>
          </cell>
          <cell r="HO11">
            <v>1141920</v>
          </cell>
          <cell r="HP11">
            <v>617640</v>
          </cell>
          <cell r="HQ11">
            <v>4845540</v>
          </cell>
          <cell r="HR11">
            <v>2842880</v>
          </cell>
          <cell r="HS11">
            <v>3715620</v>
          </cell>
          <cell r="HT11">
            <v>2475440</v>
          </cell>
          <cell r="HU11">
            <v>8178300</v>
          </cell>
          <cell r="HV11">
            <v>11084600</v>
          </cell>
          <cell r="HW11">
            <v>2459920</v>
          </cell>
          <cell r="HX11">
            <v>4786140</v>
          </cell>
          <cell r="HY11">
            <v>3254640</v>
          </cell>
          <cell r="HZ11">
            <v>9375700</v>
          </cell>
          <cell r="IA11">
            <v>5450860</v>
          </cell>
          <cell r="IB11">
            <v>19995320</v>
          </cell>
          <cell r="IC11">
            <v>1889820</v>
          </cell>
          <cell r="ID11">
            <v>1462520</v>
          </cell>
          <cell r="IE11">
            <v>85220780</v>
          </cell>
          <cell r="IH11">
            <v>929000</v>
          </cell>
          <cell r="II11">
            <v>2580000</v>
          </cell>
          <cell r="IJ11">
            <v>-472000</v>
          </cell>
          <cell r="IK11">
            <v>-1440000</v>
          </cell>
          <cell r="IL11">
            <v>2171000</v>
          </cell>
          <cell r="IM11">
            <v>3082000</v>
          </cell>
          <cell r="IN11">
            <v>3246000</v>
          </cell>
          <cell r="IO11">
            <v>5450000</v>
          </cell>
          <cell r="IP11">
            <v>4459000</v>
          </cell>
          <cell r="IQ11">
            <v>1044000</v>
          </cell>
          <cell r="IR11">
            <v>3213000</v>
          </cell>
          <cell r="IS11">
            <v>3492000</v>
          </cell>
          <cell r="IT11">
            <v>924000</v>
          </cell>
          <cell r="IU11">
            <v>3270000</v>
          </cell>
          <cell r="IV11">
            <v>3125580</v>
          </cell>
          <cell r="IW11">
            <v>1926000</v>
          </cell>
          <cell r="IX11">
            <v>675000</v>
          </cell>
          <cell r="IY11">
            <v>37674580</v>
          </cell>
          <cell r="JB11">
            <v>4069000</v>
          </cell>
          <cell r="JC11">
            <v>1208000</v>
          </cell>
          <cell r="JD11">
            <v>2315000</v>
          </cell>
          <cell r="JE11">
            <v>9255000</v>
          </cell>
          <cell r="JF11">
            <v>2012000</v>
          </cell>
          <cell r="JG11">
            <v>1530000</v>
          </cell>
          <cell r="JH11">
            <v>143000</v>
          </cell>
          <cell r="JI11">
            <v>2236000</v>
          </cell>
          <cell r="JJ11">
            <v>644000</v>
          </cell>
          <cell r="JK11">
            <v>-93000</v>
          </cell>
          <cell r="JL11">
            <v>2820000</v>
          </cell>
          <cell r="JM11">
            <v>2599000</v>
          </cell>
          <cell r="JN11">
            <v>11549600</v>
          </cell>
          <cell r="JO11">
            <v>5119700</v>
          </cell>
          <cell r="JP11">
            <v>37877275</v>
          </cell>
          <cell r="JQ11">
            <v>200000</v>
          </cell>
          <cell r="JR11">
            <v>-121000</v>
          </cell>
          <cell r="JS11">
            <v>83363575</v>
          </cell>
          <cell r="JV11">
            <v>3250000</v>
          </cell>
          <cell r="JW11">
            <v>3754000</v>
          </cell>
          <cell r="JX11">
            <v>-300000</v>
          </cell>
          <cell r="JY11">
            <v>114000</v>
          </cell>
          <cell r="JZ11">
            <v>2510000</v>
          </cell>
          <cell r="KA11">
            <v>5004000</v>
          </cell>
          <cell r="KB11">
            <v>4955000</v>
          </cell>
          <cell r="KC11">
            <v>5708000</v>
          </cell>
          <cell r="KD11">
            <v>10215000</v>
          </cell>
          <cell r="KE11">
            <v>3130000</v>
          </cell>
          <cell r="KF11">
            <v>750000</v>
          </cell>
          <cell r="KG11">
            <v>5020000</v>
          </cell>
          <cell r="KH11">
            <v>-1389000</v>
          </cell>
          <cell r="KI11">
            <v>1784000</v>
          </cell>
          <cell r="KJ11">
            <v>-944860</v>
          </cell>
          <cell r="KK11">
            <v>1996000</v>
          </cell>
          <cell r="KL11">
            <v>0</v>
          </cell>
          <cell r="KM11">
            <v>45556140</v>
          </cell>
          <cell r="KP11">
            <v>-1703980</v>
          </cell>
          <cell r="KQ11">
            <v>1569160</v>
          </cell>
          <cell r="KR11">
            <v>-1671440</v>
          </cell>
          <cell r="KS11">
            <v>-6468420</v>
          </cell>
          <cell r="KT11">
            <v>2195300</v>
          </cell>
          <cell r="KU11">
            <v>3902460</v>
          </cell>
          <cell r="KV11">
            <v>535340</v>
          </cell>
          <cell r="KW11">
            <v>5327340</v>
          </cell>
          <cell r="KX11">
            <v>12489260</v>
          </cell>
          <cell r="KY11">
            <v>-799060</v>
          </cell>
          <cell r="KZ11">
            <v>4246260</v>
          </cell>
          <cell r="LA11">
            <v>4300840</v>
          </cell>
          <cell r="LB11">
            <v>8363080</v>
          </cell>
          <cell r="LC11">
            <v>-10614300</v>
          </cell>
          <cell r="LD11">
            <v>29933285.754000001</v>
          </cell>
          <cell r="LE11">
            <v>1186740</v>
          </cell>
          <cell r="LF11">
            <v>-839060</v>
          </cell>
          <cell r="LG11">
            <v>51952805.754000001</v>
          </cell>
          <cell r="LJ11">
            <v>4998000</v>
          </cell>
          <cell r="LK11">
            <v>3788000</v>
          </cell>
          <cell r="LL11">
            <v>1843000</v>
          </cell>
          <cell r="LM11">
            <v>7815000</v>
          </cell>
          <cell r="LN11">
            <v>4183000</v>
          </cell>
          <cell r="LO11">
            <v>4612000</v>
          </cell>
          <cell r="LP11">
            <v>3389000</v>
          </cell>
          <cell r="LQ11">
            <v>7686000</v>
          </cell>
          <cell r="LR11">
            <v>5103000</v>
          </cell>
          <cell r="LS11">
            <v>951000</v>
          </cell>
          <cell r="LT11">
            <v>6033000</v>
          </cell>
          <cell r="LU11">
            <v>6091000</v>
          </cell>
          <cell r="LV11">
            <v>12473600</v>
          </cell>
          <cell r="LW11">
            <v>8389700</v>
          </cell>
          <cell r="LX11">
            <v>41002855</v>
          </cell>
          <cell r="LY11">
            <v>2126000</v>
          </cell>
          <cell r="LZ11">
            <v>554000</v>
          </cell>
          <cell r="MA11">
            <v>121038155</v>
          </cell>
          <cell r="MD11">
            <v>1546020</v>
          </cell>
          <cell r="ME11">
            <v>5323160</v>
          </cell>
          <cell r="MF11">
            <v>-1971440</v>
          </cell>
          <cell r="MG11">
            <v>-6354420</v>
          </cell>
          <cell r="MH11">
            <v>4705300</v>
          </cell>
          <cell r="MI11">
            <v>8906460</v>
          </cell>
          <cell r="MJ11">
            <v>5490340</v>
          </cell>
          <cell r="MK11">
            <v>11035340</v>
          </cell>
          <cell r="ML11">
            <v>22704260</v>
          </cell>
          <cell r="MM11">
            <v>2330940</v>
          </cell>
          <cell r="MN11">
            <v>4996260</v>
          </cell>
          <cell r="MO11">
            <v>9320840</v>
          </cell>
          <cell r="MP11">
            <v>6974080</v>
          </cell>
          <cell r="MQ11">
            <v>-8830300</v>
          </cell>
          <cell r="MR11">
            <v>28988425.754000001</v>
          </cell>
          <cell r="MS11">
            <v>3182740</v>
          </cell>
          <cell r="MT11">
            <v>-839060</v>
          </cell>
          <cell r="MU11">
            <v>97508945.754000008</v>
          </cell>
          <cell r="MX11">
            <v>6544020</v>
          </cell>
          <cell r="MY11">
            <v>9111160</v>
          </cell>
          <cell r="MZ11">
            <v>-128440</v>
          </cell>
          <cell r="NA11">
            <v>1460580</v>
          </cell>
          <cell r="NB11">
            <v>8888300</v>
          </cell>
          <cell r="NC11">
            <v>13518460</v>
          </cell>
          <cell r="ND11">
            <v>8879340</v>
          </cell>
          <cell r="NE11">
            <v>18721340</v>
          </cell>
          <cell r="NF11">
            <v>27807260</v>
          </cell>
          <cell r="NG11">
            <v>3281940</v>
          </cell>
          <cell r="NH11">
            <v>11029260</v>
          </cell>
          <cell r="NI11">
            <v>15411840</v>
          </cell>
          <cell r="NJ11">
            <v>19447680</v>
          </cell>
          <cell r="NK11">
            <v>-440600</v>
          </cell>
          <cell r="NL11">
            <v>69991280.754000008</v>
          </cell>
          <cell r="NM11">
            <v>5308740</v>
          </cell>
          <cell r="NN11">
            <v>-285060</v>
          </cell>
          <cell r="NO11">
            <v>218547100.75400004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1500</v>
          </cell>
          <cell r="G12">
            <v>0</v>
          </cell>
          <cell r="H12">
            <v>0</v>
          </cell>
          <cell r="I12">
            <v>10000</v>
          </cell>
          <cell r="J12">
            <v>0</v>
          </cell>
          <cell r="K12">
            <v>0</v>
          </cell>
          <cell r="L12">
            <v>0</v>
          </cell>
          <cell r="M12">
            <v>1000</v>
          </cell>
          <cell r="N12">
            <v>2500</v>
          </cell>
          <cell r="O12">
            <v>0</v>
          </cell>
          <cell r="P12">
            <v>9500</v>
          </cell>
          <cell r="Q12">
            <v>0</v>
          </cell>
          <cell r="R12">
            <v>0</v>
          </cell>
          <cell r="S12">
            <v>24500</v>
          </cell>
          <cell r="V12">
            <v>300</v>
          </cell>
          <cell r="W12">
            <v>1500</v>
          </cell>
          <cell r="X12">
            <v>0</v>
          </cell>
          <cell r="Y12">
            <v>0</v>
          </cell>
          <cell r="Z12">
            <v>0</v>
          </cell>
          <cell r="AA12">
            <v>1000</v>
          </cell>
          <cell r="AB12">
            <v>3000</v>
          </cell>
          <cell r="AC12">
            <v>0</v>
          </cell>
          <cell r="AD12">
            <v>1000</v>
          </cell>
          <cell r="AE12">
            <v>1500</v>
          </cell>
          <cell r="AF12">
            <v>1000</v>
          </cell>
          <cell r="AG12">
            <v>2500</v>
          </cell>
          <cell r="AH12">
            <v>3500</v>
          </cell>
          <cell r="AI12">
            <v>0</v>
          </cell>
          <cell r="AJ12">
            <v>11280</v>
          </cell>
          <cell r="AK12">
            <v>1500</v>
          </cell>
          <cell r="AL12">
            <v>500</v>
          </cell>
          <cell r="AM12">
            <v>28580</v>
          </cell>
          <cell r="AP12">
            <v>2000</v>
          </cell>
          <cell r="AQ12">
            <v>0</v>
          </cell>
          <cell r="AR12">
            <v>-4000</v>
          </cell>
          <cell r="AS12">
            <v>0</v>
          </cell>
          <cell r="AT12">
            <v>3250</v>
          </cell>
          <cell r="AU12">
            <v>1000</v>
          </cell>
          <cell r="AV12">
            <v>1000</v>
          </cell>
          <cell r="AW12">
            <v>0</v>
          </cell>
          <cell r="AX12">
            <v>500</v>
          </cell>
          <cell r="AY12">
            <v>0</v>
          </cell>
          <cell r="AZ12">
            <v>1000</v>
          </cell>
          <cell r="BA12">
            <v>2500</v>
          </cell>
          <cell r="BB12">
            <v>3750</v>
          </cell>
          <cell r="BC12">
            <v>0</v>
          </cell>
          <cell r="BD12">
            <v>18750</v>
          </cell>
          <cell r="BE12">
            <v>2000</v>
          </cell>
          <cell r="BF12">
            <v>0</v>
          </cell>
          <cell r="BG12">
            <v>31750</v>
          </cell>
          <cell r="BJ12">
            <v>500</v>
          </cell>
          <cell r="BK12">
            <v>0</v>
          </cell>
          <cell r="BL12">
            <v>0</v>
          </cell>
          <cell r="BM12">
            <v>-12500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1500</v>
          </cell>
          <cell r="BW12">
            <v>2500</v>
          </cell>
          <cell r="BX12">
            <v>16250</v>
          </cell>
          <cell r="BY12">
            <v>0</v>
          </cell>
          <cell r="BZ12">
            <v>0</v>
          </cell>
          <cell r="CA12">
            <v>8250</v>
          </cell>
          <cell r="CD12">
            <v>1000</v>
          </cell>
          <cell r="CE12">
            <v>2250</v>
          </cell>
          <cell r="CF12">
            <v>0</v>
          </cell>
          <cell r="CG12">
            <v>0</v>
          </cell>
          <cell r="CH12">
            <v>3000</v>
          </cell>
          <cell r="CI12">
            <v>2000</v>
          </cell>
          <cell r="CJ12">
            <v>7500</v>
          </cell>
          <cell r="CK12">
            <v>1000</v>
          </cell>
          <cell r="CL12">
            <v>5500</v>
          </cell>
          <cell r="CM12">
            <v>1750</v>
          </cell>
          <cell r="CN12">
            <v>7250</v>
          </cell>
          <cell r="CO12">
            <v>2750</v>
          </cell>
          <cell r="CP12">
            <v>5500</v>
          </cell>
          <cell r="CQ12">
            <v>0</v>
          </cell>
          <cell r="CR12">
            <v>20250</v>
          </cell>
          <cell r="CS12">
            <v>0</v>
          </cell>
          <cell r="CT12">
            <v>300</v>
          </cell>
          <cell r="CU12">
            <v>60050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1500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1500</v>
          </cell>
          <cell r="DI12">
            <v>0</v>
          </cell>
          <cell r="DJ12">
            <v>0</v>
          </cell>
          <cell r="DK12">
            <v>0</v>
          </cell>
          <cell r="DL12">
            <v>11275</v>
          </cell>
          <cell r="DM12">
            <v>0</v>
          </cell>
          <cell r="DN12">
            <v>0</v>
          </cell>
          <cell r="DO12">
            <v>14275</v>
          </cell>
          <cell r="DR12">
            <v>3000</v>
          </cell>
          <cell r="DS12">
            <v>500</v>
          </cell>
          <cell r="DT12">
            <v>0</v>
          </cell>
          <cell r="DU12">
            <v>0</v>
          </cell>
          <cell r="DV12">
            <v>0</v>
          </cell>
          <cell r="DW12">
            <v>7000</v>
          </cell>
          <cell r="DX12">
            <v>0</v>
          </cell>
          <cell r="DY12">
            <v>1500</v>
          </cell>
          <cell r="DZ12">
            <v>4500</v>
          </cell>
          <cell r="EA12">
            <v>750</v>
          </cell>
          <cell r="EB12">
            <v>0</v>
          </cell>
          <cell r="EC12">
            <v>1000</v>
          </cell>
          <cell r="ED12">
            <v>1500</v>
          </cell>
          <cell r="EE12">
            <v>0</v>
          </cell>
          <cell r="EF12">
            <v>18763.131999999998</v>
          </cell>
          <cell r="EG12">
            <v>2500</v>
          </cell>
          <cell r="EH12">
            <v>0</v>
          </cell>
          <cell r="EI12">
            <v>41013.131999999998</v>
          </cell>
          <cell r="EL12">
            <v>0</v>
          </cell>
          <cell r="EM12">
            <v>750</v>
          </cell>
          <cell r="EN12">
            <v>0</v>
          </cell>
          <cell r="EO12">
            <v>0</v>
          </cell>
          <cell r="EP12">
            <v>750</v>
          </cell>
          <cell r="EQ12">
            <v>0</v>
          </cell>
          <cell r="ER12">
            <v>2500</v>
          </cell>
          <cell r="ES12">
            <v>2750</v>
          </cell>
          <cell r="ET12">
            <v>4000</v>
          </cell>
          <cell r="EU12">
            <v>1000</v>
          </cell>
          <cell r="EV12">
            <v>2000</v>
          </cell>
          <cell r="EW12">
            <v>5000</v>
          </cell>
          <cell r="EX12">
            <v>1500</v>
          </cell>
          <cell r="EY12">
            <v>0</v>
          </cell>
          <cell r="EZ12">
            <v>10720</v>
          </cell>
          <cell r="FA12">
            <v>3000</v>
          </cell>
          <cell r="FB12">
            <v>0</v>
          </cell>
          <cell r="FC12">
            <v>33970</v>
          </cell>
          <cell r="FF12">
            <v>1000</v>
          </cell>
          <cell r="FG12">
            <v>500</v>
          </cell>
          <cell r="FH12">
            <v>-1250</v>
          </cell>
          <cell r="FI12">
            <v>0</v>
          </cell>
          <cell r="FJ12">
            <v>0</v>
          </cell>
          <cell r="FK12">
            <v>0</v>
          </cell>
          <cell r="FL12">
            <v>2000</v>
          </cell>
          <cell r="FM12">
            <v>4500</v>
          </cell>
          <cell r="FN12">
            <v>0</v>
          </cell>
          <cell r="FO12">
            <v>0</v>
          </cell>
          <cell r="FP12">
            <v>1250</v>
          </cell>
          <cell r="FQ12">
            <v>1500</v>
          </cell>
          <cell r="FR12">
            <v>2250</v>
          </cell>
          <cell r="FS12">
            <v>0</v>
          </cell>
          <cell r="FT12">
            <v>6250</v>
          </cell>
          <cell r="FU12">
            <v>0</v>
          </cell>
          <cell r="FV12">
            <v>0</v>
          </cell>
          <cell r="FW12">
            <v>18000</v>
          </cell>
          <cell r="FZ12">
            <v>2500</v>
          </cell>
          <cell r="GA12">
            <v>500</v>
          </cell>
          <cell r="GB12">
            <v>0</v>
          </cell>
          <cell r="GC12">
            <v>0</v>
          </cell>
          <cell r="GD12">
            <v>3250</v>
          </cell>
          <cell r="GE12">
            <v>1500</v>
          </cell>
          <cell r="GF12">
            <v>3500</v>
          </cell>
          <cell r="GG12">
            <v>1000</v>
          </cell>
          <cell r="GH12">
            <v>2000</v>
          </cell>
          <cell r="GI12">
            <v>500</v>
          </cell>
          <cell r="GJ12">
            <v>3000</v>
          </cell>
          <cell r="GK12">
            <v>4000</v>
          </cell>
          <cell r="GL12">
            <v>5000</v>
          </cell>
          <cell r="GM12">
            <v>0</v>
          </cell>
          <cell r="GN12">
            <v>21250</v>
          </cell>
          <cell r="GO12">
            <v>2500</v>
          </cell>
          <cell r="GP12">
            <v>0</v>
          </cell>
          <cell r="GQ12">
            <v>50500</v>
          </cell>
          <cell r="GT12">
            <v>-535</v>
          </cell>
          <cell r="GU12">
            <v>-2710</v>
          </cell>
          <cell r="GV12">
            <v>-8315</v>
          </cell>
          <cell r="GW12">
            <v>-15490</v>
          </cell>
          <cell r="GX12">
            <v>365</v>
          </cell>
          <cell r="GY12">
            <v>-3000</v>
          </cell>
          <cell r="GZ12">
            <v>4320</v>
          </cell>
          <cell r="HA12">
            <v>-2745</v>
          </cell>
          <cell r="HB12">
            <v>-2835</v>
          </cell>
          <cell r="HC12">
            <v>-8695</v>
          </cell>
          <cell r="HD12">
            <v>-1080</v>
          </cell>
          <cell r="HE12">
            <v>220</v>
          </cell>
          <cell r="HF12">
            <v>-9555</v>
          </cell>
          <cell r="HG12">
            <v>-11040</v>
          </cell>
          <cell r="HH12">
            <v>-74405</v>
          </cell>
          <cell r="HI12">
            <v>-850</v>
          </cell>
          <cell r="HJ12">
            <v>-890</v>
          </cell>
          <cell r="HK12">
            <v>-137240</v>
          </cell>
          <cell r="HN12">
            <v>725</v>
          </cell>
          <cell r="HO12">
            <v>820</v>
          </cell>
          <cell r="HP12">
            <v>-1820</v>
          </cell>
          <cell r="HQ12">
            <v>-425</v>
          </cell>
          <cell r="HR12">
            <v>980</v>
          </cell>
          <cell r="HS12">
            <v>1720</v>
          </cell>
          <cell r="HT12">
            <v>2090</v>
          </cell>
          <cell r="HU12">
            <v>2550</v>
          </cell>
          <cell r="HV12">
            <v>2370</v>
          </cell>
          <cell r="HW12">
            <v>825</v>
          </cell>
          <cell r="HX12">
            <v>1985</v>
          </cell>
          <cell r="HY12">
            <v>2770</v>
          </cell>
          <cell r="HZ12">
            <v>2590</v>
          </cell>
          <cell r="IA12">
            <v>1075</v>
          </cell>
          <cell r="IB12">
            <v>14090</v>
          </cell>
          <cell r="IC12">
            <v>680</v>
          </cell>
          <cell r="ID12">
            <v>10</v>
          </cell>
          <cell r="IE12">
            <v>33035</v>
          </cell>
          <cell r="IH12">
            <v>2300</v>
          </cell>
          <cell r="II12">
            <v>1500</v>
          </cell>
          <cell r="IJ12">
            <v>-4000</v>
          </cell>
          <cell r="IK12">
            <v>0</v>
          </cell>
          <cell r="IL12">
            <v>4750</v>
          </cell>
          <cell r="IM12">
            <v>2000</v>
          </cell>
          <cell r="IN12">
            <v>4000</v>
          </cell>
          <cell r="IO12">
            <v>10000</v>
          </cell>
          <cell r="IP12">
            <v>1500</v>
          </cell>
          <cell r="IQ12">
            <v>1500</v>
          </cell>
          <cell r="IR12">
            <v>2000</v>
          </cell>
          <cell r="IS12">
            <v>6000</v>
          </cell>
          <cell r="IT12">
            <v>9750</v>
          </cell>
          <cell r="IU12">
            <v>0</v>
          </cell>
          <cell r="IV12">
            <v>39530</v>
          </cell>
          <cell r="IW12">
            <v>3500</v>
          </cell>
          <cell r="IX12">
            <v>500</v>
          </cell>
          <cell r="IY12">
            <v>84830</v>
          </cell>
          <cell r="JB12">
            <v>1500</v>
          </cell>
          <cell r="JC12">
            <v>2250</v>
          </cell>
          <cell r="JD12">
            <v>0</v>
          </cell>
          <cell r="JE12">
            <v>-12500</v>
          </cell>
          <cell r="JF12">
            <v>4500</v>
          </cell>
          <cell r="JG12">
            <v>2000</v>
          </cell>
          <cell r="JH12">
            <v>7500</v>
          </cell>
          <cell r="JI12">
            <v>1000</v>
          </cell>
          <cell r="JJ12">
            <v>5500</v>
          </cell>
          <cell r="JK12">
            <v>1750</v>
          </cell>
          <cell r="JL12">
            <v>8750</v>
          </cell>
          <cell r="JM12">
            <v>2750</v>
          </cell>
          <cell r="JN12">
            <v>7000</v>
          </cell>
          <cell r="JO12">
            <v>2500</v>
          </cell>
          <cell r="JP12">
            <v>47775</v>
          </cell>
          <cell r="JQ12">
            <v>0</v>
          </cell>
          <cell r="JR12">
            <v>300</v>
          </cell>
          <cell r="JS12">
            <v>82575</v>
          </cell>
          <cell r="JV12">
            <v>4000</v>
          </cell>
          <cell r="JW12">
            <v>1750</v>
          </cell>
          <cell r="JX12">
            <v>-1250</v>
          </cell>
          <cell r="JY12">
            <v>0</v>
          </cell>
          <cell r="JZ12">
            <v>750</v>
          </cell>
          <cell r="KA12">
            <v>7000</v>
          </cell>
          <cell r="KB12">
            <v>4500</v>
          </cell>
          <cell r="KC12">
            <v>8750</v>
          </cell>
          <cell r="KD12">
            <v>8500</v>
          </cell>
          <cell r="KE12">
            <v>1750</v>
          </cell>
          <cell r="KF12">
            <v>3250</v>
          </cell>
          <cell r="KG12">
            <v>7500</v>
          </cell>
          <cell r="KH12">
            <v>5250</v>
          </cell>
          <cell r="KI12">
            <v>0</v>
          </cell>
          <cell r="KJ12">
            <v>35733.131999999998</v>
          </cell>
          <cell r="KK12">
            <v>5500</v>
          </cell>
          <cell r="KL12">
            <v>0</v>
          </cell>
          <cell r="KM12">
            <v>92983.131999999998</v>
          </cell>
          <cell r="KP12">
            <v>2690</v>
          </cell>
          <cell r="KQ12">
            <v>-1390</v>
          </cell>
          <cell r="KR12">
            <v>-10135</v>
          </cell>
          <cell r="KS12">
            <v>-15915</v>
          </cell>
          <cell r="KT12">
            <v>4595</v>
          </cell>
          <cell r="KU12">
            <v>220</v>
          </cell>
          <cell r="KV12">
            <v>9910</v>
          </cell>
          <cell r="KW12">
            <v>805</v>
          </cell>
          <cell r="KX12">
            <v>1535</v>
          </cell>
          <cell r="KY12">
            <v>-7370</v>
          </cell>
          <cell r="KZ12">
            <v>3905</v>
          </cell>
          <cell r="LA12">
            <v>6990</v>
          </cell>
          <cell r="LB12">
            <v>-1965</v>
          </cell>
          <cell r="LC12">
            <v>-9965</v>
          </cell>
          <cell r="LD12">
            <v>-39065</v>
          </cell>
          <cell r="LE12">
            <v>2330</v>
          </cell>
          <cell r="LF12">
            <v>-880</v>
          </cell>
          <cell r="LG12">
            <v>-53705</v>
          </cell>
          <cell r="LJ12">
            <v>3800</v>
          </cell>
          <cell r="LK12">
            <v>3750</v>
          </cell>
          <cell r="LL12">
            <v>-4000</v>
          </cell>
          <cell r="LM12">
            <v>-12500</v>
          </cell>
          <cell r="LN12">
            <v>9250</v>
          </cell>
          <cell r="LO12">
            <v>4000</v>
          </cell>
          <cell r="LP12">
            <v>11500</v>
          </cell>
          <cell r="LQ12">
            <v>11000</v>
          </cell>
          <cell r="LR12">
            <v>7000</v>
          </cell>
          <cell r="LS12">
            <v>3250</v>
          </cell>
          <cell r="LT12">
            <v>10750</v>
          </cell>
          <cell r="LU12">
            <v>8750</v>
          </cell>
          <cell r="LV12">
            <v>16750</v>
          </cell>
          <cell r="LW12">
            <v>2500</v>
          </cell>
          <cell r="LX12">
            <v>87305</v>
          </cell>
          <cell r="LY12">
            <v>3500</v>
          </cell>
          <cell r="LZ12">
            <v>800</v>
          </cell>
          <cell r="MA12">
            <v>167405</v>
          </cell>
          <cell r="MD12">
            <v>6690</v>
          </cell>
          <cell r="ME12">
            <v>360</v>
          </cell>
          <cell r="MF12">
            <v>-11385</v>
          </cell>
          <cell r="MG12">
            <v>-15915</v>
          </cell>
          <cell r="MH12">
            <v>5345</v>
          </cell>
          <cell r="MI12">
            <v>7220</v>
          </cell>
          <cell r="MJ12">
            <v>14410</v>
          </cell>
          <cell r="MK12">
            <v>9555</v>
          </cell>
          <cell r="ML12">
            <v>10035</v>
          </cell>
          <cell r="MM12">
            <v>-5620</v>
          </cell>
          <cell r="MN12">
            <v>7155</v>
          </cell>
          <cell r="MO12">
            <v>14490</v>
          </cell>
          <cell r="MP12">
            <v>3285</v>
          </cell>
          <cell r="MQ12">
            <v>-9965</v>
          </cell>
          <cell r="MR12">
            <v>-3331.8680000000022</v>
          </cell>
          <cell r="MS12">
            <v>7830</v>
          </cell>
          <cell r="MT12">
            <v>-880</v>
          </cell>
          <cell r="MU12">
            <v>39278.131999999998</v>
          </cell>
          <cell r="MX12">
            <v>10490</v>
          </cell>
          <cell r="MY12">
            <v>4110</v>
          </cell>
          <cell r="MZ12">
            <v>-15385</v>
          </cell>
          <cell r="NA12">
            <v>-28415</v>
          </cell>
          <cell r="NB12">
            <v>14595</v>
          </cell>
          <cell r="NC12">
            <v>11220</v>
          </cell>
          <cell r="ND12">
            <v>25910</v>
          </cell>
          <cell r="NE12">
            <v>20555</v>
          </cell>
          <cell r="NF12">
            <v>17035</v>
          </cell>
          <cell r="NG12">
            <v>-2370</v>
          </cell>
          <cell r="NH12">
            <v>17905</v>
          </cell>
          <cell r="NI12">
            <v>23240</v>
          </cell>
          <cell r="NJ12">
            <v>20035</v>
          </cell>
          <cell r="NK12">
            <v>-7465</v>
          </cell>
          <cell r="NL12">
            <v>83973.131999999998</v>
          </cell>
          <cell r="NM12">
            <v>11330</v>
          </cell>
          <cell r="NN12">
            <v>-80</v>
          </cell>
          <cell r="NO12">
            <v>206683.13199999998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1000</v>
          </cell>
          <cell r="G13">
            <v>0</v>
          </cell>
          <cell r="H13">
            <v>0</v>
          </cell>
          <cell r="I13">
            <v>5000</v>
          </cell>
          <cell r="J13">
            <v>625</v>
          </cell>
          <cell r="K13">
            <v>0</v>
          </cell>
          <cell r="L13">
            <v>0</v>
          </cell>
          <cell r="M13">
            <v>750</v>
          </cell>
          <cell r="N13">
            <v>1250</v>
          </cell>
          <cell r="O13">
            <v>0</v>
          </cell>
          <cell r="P13">
            <v>10800</v>
          </cell>
          <cell r="Q13">
            <v>0</v>
          </cell>
          <cell r="R13">
            <v>0</v>
          </cell>
          <cell r="S13">
            <v>19425</v>
          </cell>
          <cell r="V13">
            <v>375</v>
          </cell>
          <cell r="W13">
            <v>250</v>
          </cell>
          <cell r="X13">
            <v>0</v>
          </cell>
          <cell r="Y13">
            <v>0</v>
          </cell>
          <cell r="Z13">
            <v>0</v>
          </cell>
          <cell r="AA13">
            <v>750</v>
          </cell>
          <cell r="AB13">
            <v>2750</v>
          </cell>
          <cell r="AC13">
            <v>0</v>
          </cell>
          <cell r="AD13">
            <v>750</v>
          </cell>
          <cell r="AE13">
            <v>875</v>
          </cell>
          <cell r="AF13">
            <v>1375</v>
          </cell>
          <cell r="AG13">
            <v>1750</v>
          </cell>
          <cell r="AH13">
            <v>1750</v>
          </cell>
          <cell r="AI13">
            <v>0</v>
          </cell>
          <cell r="AJ13">
            <v>8125</v>
          </cell>
          <cell r="AK13">
            <v>750</v>
          </cell>
          <cell r="AL13">
            <v>250</v>
          </cell>
          <cell r="AM13">
            <v>19750</v>
          </cell>
          <cell r="AP13">
            <v>1000</v>
          </cell>
          <cell r="AQ13">
            <v>0</v>
          </cell>
          <cell r="AR13">
            <v>0</v>
          </cell>
          <cell r="AS13">
            <v>0</v>
          </cell>
          <cell r="AT13">
            <v>1500</v>
          </cell>
          <cell r="AU13">
            <v>1000</v>
          </cell>
          <cell r="AV13">
            <v>500</v>
          </cell>
          <cell r="AW13">
            <v>0</v>
          </cell>
          <cell r="AX13">
            <v>875</v>
          </cell>
          <cell r="AY13">
            <v>0</v>
          </cell>
          <cell r="AZ13">
            <v>1250</v>
          </cell>
          <cell r="BA13">
            <v>0</v>
          </cell>
          <cell r="BB13">
            <v>2500</v>
          </cell>
          <cell r="BC13">
            <v>1250</v>
          </cell>
          <cell r="BD13">
            <v>11875</v>
          </cell>
          <cell r="BE13">
            <v>750</v>
          </cell>
          <cell r="BF13">
            <v>0</v>
          </cell>
          <cell r="BG13">
            <v>22500</v>
          </cell>
          <cell r="BJ13">
            <v>250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500</v>
          </cell>
          <cell r="BR13">
            <v>0</v>
          </cell>
          <cell r="BS13">
            <v>0</v>
          </cell>
          <cell r="BT13">
            <v>0</v>
          </cell>
          <cell r="BU13">
            <v>750</v>
          </cell>
          <cell r="BV13">
            <v>1250</v>
          </cell>
          <cell r="BW13">
            <v>2000</v>
          </cell>
          <cell r="BX13">
            <v>15000</v>
          </cell>
          <cell r="BY13">
            <v>0</v>
          </cell>
          <cell r="BZ13">
            <v>0</v>
          </cell>
          <cell r="CA13">
            <v>19750</v>
          </cell>
          <cell r="CD13">
            <v>750</v>
          </cell>
          <cell r="CE13">
            <v>1125</v>
          </cell>
          <cell r="CF13">
            <v>0</v>
          </cell>
          <cell r="CG13">
            <v>0</v>
          </cell>
          <cell r="CH13">
            <v>2125</v>
          </cell>
          <cell r="CI13">
            <v>1000</v>
          </cell>
          <cell r="CJ13">
            <v>4000</v>
          </cell>
          <cell r="CK13">
            <v>500</v>
          </cell>
          <cell r="CL13">
            <v>2875</v>
          </cell>
          <cell r="CM13">
            <v>500</v>
          </cell>
          <cell r="CN13">
            <v>2150</v>
          </cell>
          <cell r="CO13">
            <v>1375</v>
          </cell>
          <cell r="CP13">
            <v>3375</v>
          </cell>
          <cell r="CQ13">
            <v>0</v>
          </cell>
          <cell r="CR13">
            <v>14920</v>
          </cell>
          <cell r="CS13">
            <v>0</v>
          </cell>
          <cell r="CT13">
            <v>175</v>
          </cell>
          <cell r="CU13">
            <v>34870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750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250</v>
          </cell>
          <cell r="DI13">
            <v>0</v>
          </cell>
          <cell r="DJ13">
            <v>500</v>
          </cell>
          <cell r="DK13">
            <v>0</v>
          </cell>
          <cell r="DL13">
            <v>8105</v>
          </cell>
          <cell r="DM13">
            <v>0</v>
          </cell>
          <cell r="DN13">
            <v>0</v>
          </cell>
          <cell r="DO13">
            <v>9605</v>
          </cell>
          <cell r="DR13">
            <v>1250</v>
          </cell>
          <cell r="DS13">
            <v>1375</v>
          </cell>
          <cell r="DT13">
            <v>0</v>
          </cell>
          <cell r="DU13">
            <v>0</v>
          </cell>
          <cell r="DV13">
            <v>0</v>
          </cell>
          <cell r="DW13">
            <v>1250</v>
          </cell>
          <cell r="DX13">
            <v>1000</v>
          </cell>
          <cell r="DY13">
            <v>1750</v>
          </cell>
          <cell r="DZ13">
            <v>1750</v>
          </cell>
          <cell r="EA13">
            <v>2125</v>
          </cell>
          <cell r="EB13">
            <v>0</v>
          </cell>
          <cell r="EC13">
            <v>0</v>
          </cell>
          <cell r="ED13">
            <v>1000</v>
          </cell>
          <cell r="EE13">
            <v>0</v>
          </cell>
          <cell r="EF13">
            <v>15645</v>
          </cell>
          <cell r="EG13">
            <v>750</v>
          </cell>
          <cell r="EH13">
            <v>0</v>
          </cell>
          <cell r="EI13">
            <v>27895</v>
          </cell>
          <cell r="EL13">
            <v>0</v>
          </cell>
          <cell r="EM13">
            <v>250</v>
          </cell>
          <cell r="EN13">
            <v>0</v>
          </cell>
          <cell r="EO13">
            <v>0</v>
          </cell>
          <cell r="EP13">
            <v>0</v>
          </cell>
          <cell r="EQ13">
            <v>2250</v>
          </cell>
          <cell r="ER13">
            <v>625</v>
          </cell>
          <cell r="ES13">
            <v>1250</v>
          </cell>
          <cell r="ET13">
            <v>2125</v>
          </cell>
          <cell r="EU13">
            <v>0</v>
          </cell>
          <cell r="EV13">
            <v>875</v>
          </cell>
          <cell r="EW13">
            <v>1250</v>
          </cell>
          <cell r="EX13">
            <v>875</v>
          </cell>
          <cell r="EY13">
            <v>0</v>
          </cell>
          <cell r="EZ13">
            <v>7560</v>
          </cell>
          <cell r="FA13">
            <v>1500</v>
          </cell>
          <cell r="FB13">
            <v>0</v>
          </cell>
          <cell r="FC13">
            <v>18560</v>
          </cell>
          <cell r="FF13">
            <v>500</v>
          </cell>
          <cell r="FG13">
            <v>500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3250</v>
          </cell>
          <cell r="FM13">
            <v>2500</v>
          </cell>
          <cell r="FN13">
            <v>0</v>
          </cell>
          <cell r="FO13">
            <v>0</v>
          </cell>
          <cell r="FP13">
            <v>250</v>
          </cell>
          <cell r="FQ13">
            <v>0</v>
          </cell>
          <cell r="FR13">
            <v>1500</v>
          </cell>
          <cell r="FS13">
            <v>1250</v>
          </cell>
          <cell r="FT13">
            <v>8160</v>
          </cell>
          <cell r="FU13">
            <v>0</v>
          </cell>
          <cell r="FV13">
            <v>0</v>
          </cell>
          <cell r="FW13">
            <v>17910</v>
          </cell>
          <cell r="FZ13">
            <v>250</v>
          </cell>
          <cell r="GA13">
            <v>500</v>
          </cell>
          <cell r="GB13">
            <v>0</v>
          </cell>
          <cell r="GC13">
            <v>0</v>
          </cell>
          <cell r="GD13">
            <v>1625</v>
          </cell>
          <cell r="GE13">
            <v>0</v>
          </cell>
          <cell r="GF13">
            <v>1250</v>
          </cell>
          <cell r="GG13">
            <v>0</v>
          </cell>
          <cell r="GH13">
            <v>875</v>
          </cell>
          <cell r="GI13">
            <v>0</v>
          </cell>
          <cell r="GJ13">
            <v>750</v>
          </cell>
          <cell r="GK13">
            <v>1750</v>
          </cell>
          <cell r="GL13">
            <v>2875</v>
          </cell>
          <cell r="GM13">
            <v>2000</v>
          </cell>
          <cell r="GN13">
            <v>15665</v>
          </cell>
          <cell r="GO13">
            <v>250</v>
          </cell>
          <cell r="GP13">
            <v>0</v>
          </cell>
          <cell r="GQ13">
            <v>27790</v>
          </cell>
          <cell r="GT13">
            <v>220</v>
          </cell>
          <cell r="GU13">
            <v>-1467.5</v>
          </cell>
          <cell r="GV13">
            <v>-1822.5</v>
          </cell>
          <cell r="GW13">
            <v>570</v>
          </cell>
          <cell r="GX13">
            <v>247.5</v>
          </cell>
          <cell r="GY13">
            <v>-1192.5</v>
          </cell>
          <cell r="GZ13">
            <v>3105</v>
          </cell>
          <cell r="HA13">
            <v>235</v>
          </cell>
          <cell r="HB13">
            <v>-317.5</v>
          </cell>
          <cell r="HC13">
            <v>-1557.5</v>
          </cell>
          <cell r="HD13">
            <v>617.5</v>
          </cell>
          <cell r="HE13">
            <v>1032.5</v>
          </cell>
          <cell r="HF13">
            <v>1317.5</v>
          </cell>
          <cell r="HG13">
            <v>-907.5</v>
          </cell>
          <cell r="HH13">
            <v>-17227.5</v>
          </cell>
          <cell r="HI13">
            <v>-992.5</v>
          </cell>
          <cell r="HJ13">
            <v>72.5</v>
          </cell>
          <cell r="HK13">
            <v>-18067.5</v>
          </cell>
          <cell r="HN13">
            <v>297.5</v>
          </cell>
          <cell r="HO13">
            <v>292.5</v>
          </cell>
          <cell r="HP13">
            <v>-1052.5</v>
          </cell>
          <cell r="HQ13">
            <v>197.5</v>
          </cell>
          <cell r="HR13">
            <v>487.5</v>
          </cell>
          <cell r="HS13">
            <v>792.5</v>
          </cell>
          <cell r="HT13">
            <v>1692.5</v>
          </cell>
          <cell r="HU13">
            <v>1027.5</v>
          </cell>
          <cell r="HV13">
            <v>1505</v>
          </cell>
          <cell r="HW13">
            <v>417.5</v>
          </cell>
          <cell r="HX13">
            <v>505</v>
          </cell>
          <cell r="HY13">
            <v>652.5</v>
          </cell>
          <cell r="HZ13">
            <v>1810</v>
          </cell>
          <cell r="IA13">
            <v>440</v>
          </cell>
          <cell r="IB13">
            <v>9387.5</v>
          </cell>
          <cell r="IC13">
            <v>357.5</v>
          </cell>
          <cell r="ID13">
            <v>5</v>
          </cell>
          <cell r="IE13">
            <v>18815</v>
          </cell>
          <cell r="IH13">
            <v>1375</v>
          </cell>
          <cell r="II13">
            <v>250</v>
          </cell>
          <cell r="IJ13">
            <v>0</v>
          </cell>
          <cell r="IK13">
            <v>0</v>
          </cell>
          <cell r="IL13">
            <v>2500</v>
          </cell>
          <cell r="IM13">
            <v>1750</v>
          </cell>
          <cell r="IN13">
            <v>3250</v>
          </cell>
          <cell r="IO13">
            <v>5000</v>
          </cell>
          <cell r="IP13">
            <v>2250</v>
          </cell>
          <cell r="IQ13">
            <v>875</v>
          </cell>
          <cell r="IR13">
            <v>2625</v>
          </cell>
          <cell r="IS13">
            <v>2500</v>
          </cell>
          <cell r="IT13">
            <v>5500</v>
          </cell>
          <cell r="IU13">
            <v>1250</v>
          </cell>
          <cell r="IV13">
            <v>30800</v>
          </cell>
          <cell r="IW13">
            <v>1500</v>
          </cell>
          <cell r="IX13">
            <v>250</v>
          </cell>
          <cell r="IY13">
            <v>61675</v>
          </cell>
          <cell r="JB13">
            <v>1000</v>
          </cell>
          <cell r="JC13">
            <v>1125</v>
          </cell>
          <cell r="JD13">
            <v>0</v>
          </cell>
          <cell r="JE13">
            <v>0</v>
          </cell>
          <cell r="JF13">
            <v>2875</v>
          </cell>
          <cell r="JG13">
            <v>1000</v>
          </cell>
          <cell r="JH13">
            <v>4000</v>
          </cell>
          <cell r="JI13">
            <v>1000</v>
          </cell>
          <cell r="JJ13">
            <v>2875</v>
          </cell>
          <cell r="JK13">
            <v>500</v>
          </cell>
          <cell r="JL13">
            <v>2400</v>
          </cell>
          <cell r="JM13">
            <v>2125</v>
          </cell>
          <cell r="JN13">
            <v>5125</v>
          </cell>
          <cell r="JO13">
            <v>2000</v>
          </cell>
          <cell r="JP13">
            <v>38025</v>
          </cell>
          <cell r="JQ13">
            <v>0</v>
          </cell>
          <cell r="JR13">
            <v>175</v>
          </cell>
          <cell r="JS13">
            <v>64225</v>
          </cell>
          <cell r="JV13">
            <v>1750</v>
          </cell>
          <cell r="JW13">
            <v>2125</v>
          </cell>
          <cell r="JX13">
            <v>0</v>
          </cell>
          <cell r="JY13">
            <v>0</v>
          </cell>
          <cell r="JZ13">
            <v>0</v>
          </cell>
          <cell r="KA13">
            <v>3500</v>
          </cell>
          <cell r="KB13">
            <v>4875</v>
          </cell>
          <cell r="KC13">
            <v>5500</v>
          </cell>
          <cell r="KD13">
            <v>3875</v>
          </cell>
          <cell r="KE13">
            <v>2125</v>
          </cell>
          <cell r="KF13">
            <v>1125</v>
          </cell>
          <cell r="KG13">
            <v>1250</v>
          </cell>
          <cell r="KH13">
            <v>3375</v>
          </cell>
          <cell r="KI13">
            <v>1250</v>
          </cell>
          <cell r="KJ13">
            <v>31365</v>
          </cell>
          <cell r="KK13">
            <v>2250</v>
          </cell>
          <cell r="KL13">
            <v>0</v>
          </cell>
          <cell r="KM13">
            <v>64365</v>
          </cell>
          <cell r="KP13">
            <v>767.5</v>
          </cell>
          <cell r="KQ13">
            <v>-675</v>
          </cell>
          <cell r="KR13">
            <v>-2875</v>
          </cell>
          <cell r="KS13">
            <v>767.5</v>
          </cell>
          <cell r="KT13">
            <v>2360</v>
          </cell>
          <cell r="KU13">
            <v>-400</v>
          </cell>
          <cell r="KV13">
            <v>6047.5</v>
          </cell>
          <cell r="KW13">
            <v>1262.5</v>
          </cell>
          <cell r="KX13">
            <v>2062.5</v>
          </cell>
          <cell r="KY13">
            <v>-1140</v>
          </cell>
          <cell r="KZ13">
            <v>1872.5</v>
          </cell>
          <cell r="LA13">
            <v>3435</v>
          </cell>
          <cell r="LB13">
            <v>6002.5</v>
          </cell>
          <cell r="LC13">
            <v>1532.5</v>
          </cell>
          <cell r="LD13">
            <v>7825</v>
          </cell>
          <cell r="LE13">
            <v>-385</v>
          </cell>
          <cell r="LF13">
            <v>77.5</v>
          </cell>
          <cell r="LG13">
            <v>28537.5</v>
          </cell>
          <cell r="LJ13">
            <v>2375</v>
          </cell>
          <cell r="LK13">
            <v>1375</v>
          </cell>
          <cell r="LL13">
            <v>0</v>
          </cell>
          <cell r="LM13">
            <v>0</v>
          </cell>
          <cell r="LN13">
            <v>5375</v>
          </cell>
          <cell r="LO13">
            <v>2750</v>
          </cell>
          <cell r="LP13">
            <v>7250</v>
          </cell>
          <cell r="LQ13">
            <v>6000</v>
          </cell>
          <cell r="LR13">
            <v>5125</v>
          </cell>
          <cell r="LS13">
            <v>1375</v>
          </cell>
          <cell r="LT13">
            <v>5025</v>
          </cell>
          <cell r="LU13">
            <v>4625</v>
          </cell>
          <cell r="LV13">
            <v>10625</v>
          </cell>
          <cell r="LW13">
            <v>3250</v>
          </cell>
          <cell r="LX13">
            <v>68825</v>
          </cell>
          <cell r="LY13">
            <v>1500</v>
          </cell>
          <cell r="LZ13">
            <v>425</v>
          </cell>
          <cell r="MA13">
            <v>125900</v>
          </cell>
          <cell r="MD13">
            <v>2517.5</v>
          </cell>
          <cell r="ME13">
            <v>1450</v>
          </cell>
          <cell r="MF13">
            <v>-2875</v>
          </cell>
          <cell r="MG13">
            <v>767.5</v>
          </cell>
          <cell r="MH13">
            <v>2360</v>
          </cell>
          <cell r="MI13">
            <v>3100</v>
          </cell>
          <cell r="MJ13">
            <v>10922.5</v>
          </cell>
          <cell r="MK13">
            <v>6762.5</v>
          </cell>
          <cell r="ML13">
            <v>5937.5</v>
          </cell>
          <cell r="MM13">
            <v>985</v>
          </cell>
          <cell r="MN13">
            <v>2997.5</v>
          </cell>
          <cell r="MO13">
            <v>4685</v>
          </cell>
          <cell r="MP13">
            <v>9377.5</v>
          </cell>
          <cell r="MQ13">
            <v>2782.5</v>
          </cell>
          <cell r="MR13">
            <v>39190</v>
          </cell>
          <cell r="MS13">
            <v>1865</v>
          </cell>
          <cell r="MT13">
            <v>77.5</v>
          </cell>
          <cell r="MU13">
            <v>92902.5</v>
          </cell>
          <cell r="MX13">
            <v>4892.5</v>
          </cell>
          <cell r="MY13">
            <v>2825</v>
          </cell>
          <cell r="MZ13">
            <v>-2875</v>
          </cell>
          <cell r="NA13">
            <v>767.5</v>
          </cell>
          <cell r="NB13">
            <v>7735</v>
          </cell>
          <cell r="NC13">
            <v>5850</v>
          </cell>
          <cell r="ND13">
            <v>18172.5</v>
          </cell>
          <cell r="NE13">
            <v>12762.5</v>
          </cell>
          <cell r="NF13">
            <v>11062.5</v>
          </cell>
          <cell r="NG13">
            <v>2360</v>
          </cell>
          <cell r="NH13">
            <v>8022.5</v>
          </cell>
          <cell r="NI13">
            <v>9310</v>
          </cell>
          <cell r="NJ13">
            <v>20002.5</v>
          </cell>
          <cell r="NK13">
            <v>6032.5</v>
          </cell>
          <cell r="NL13">
            <v>108015</v>
          </cell>
          <cell r="NM13">
            <v>3365</v>
          </cell>
          <cell r="NN13">
            <v>502.5</v>
          </cell>
          <cell r="NO13">
            <v>218802.5</v>
          </cell>
        </row>
        <row r="14">
          <cell r="B14">
            <v>0</v>
          </cell>
          <cell r="C14">
            <v>300</v>
          </cell>
          <cell r="D14">
            <v>0</v>
          </cell>
          <cell r="E14">
            <v>0</v>
          </cell>
          <cell r="F14">
            <v>600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400</v>
          </cell>
          <cell r="O14">
            <v>1600</v>
          </cell>
          <cell r="P14">
            <v>1008</v>
          </cell>
          <cell r="Q14">
            <v>0</v>
          </cell>
          <cell r="R14">
            <v>0</v>
          </cell>
          <cell r="S14">
            <v>3908</v>
          </cell>
          <cell r="V14">
            <v>250</v>
          </cell>
          <cell r="W14">
            <v>200</v>
          </cell>
          <cell r="X14">
            <v>0</v>
          </cell>
          <cell r="Y14">
            <v>200</v>
          </cell>
          <cell r="Z14">
            <v>0</v>
          </cell>
          <cell r="AA14">
            <v>400</v>
          </cell>
          <cell r="AB14">
            <v>600</v>
          </cell>
          <cell r="AC14">
            <v>800</v>
          </cell>
          <cell r="AD14">
            <v>400</v>
          </cell>
          <cell r="AE14">
            <v>600</v>
          </cell>
          <cell r="AF14">
            <v>400</v>
          </cell>
          <cell r="AG14">
            <v>1000</v>
          </cell>
          <cell r="AH14">
            <v>1300</v>
          </cell>
          <cell r="AI14">
            <v>600</v>
          </cell>
          <cell r="AJ14">
            <v>1000</v>
          </cell>
          <cell r="AK14">
            <v>400</v>
          </cell>
          <cell r="AL14">
            <v>0</v>
          </cell>
          <cell r="AM14">
            <v>8150</v>
          </cell>
          <cell r="AP14">
            <v>0</v>
          </cell>
          <cell r="AQ14">
            <v>0</v>
          </cell>
          <cell r="AR14">
            <v>0</v>
          </cell>
          <cell r="AS14">
            <v>300</v>
          </cell>
          <cell r="AT14">
            <v>200</v>
          </cell>
          <cell r="AU14">
            <v>200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1208</v>
          </cell>
          <cell r="BE14">
            <v>0</v>
          </cell>
          <cell r="BF14">
            <v>0</v>
          </cell>
          <cell r="BG14">
            <v>1908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4</v>
          </cell>
          <cell r="BY14">
            <v>0</v>
          </cell>
          <cell r="BZ14">
            <v>0</v>
          </cell>
          <cell r="CA14">
            <v>4</v>
          </cell>
          <cell r="CD14">
            <v>200</v>
          </cell>
          <cell r="CE14">
            <v>200</v>
          </cell>
          <cell r="CF14">
            <v>0</v>
          </cell>
          <cell r="CG14">
            <v>200</v>
          </cell>
          <cell r="CH14">
            <v>200</v>
          </cell>
          <cell r="CI14">
            <v>0</v>
          </cell>
          <cell r="CJ14">
            <v>200</v>
          </cell>
          <cell r="CK14">
            <v>0</v>
          </cell>
          <cell r="CL14">
            <v>200</v>
          </cell>
          <cell r="CM14">
            <v>0</v>
          </cell>
          <cell r="CN14">
            <v>200</v>
          </cell>
          <cell r="CO14">
            <v>200</v>
          </cell>
          <cell r="CP14">
            <v>300</v>
          </cell>
          <cell r="CQ14">
            <v>600</v>
          </cell>
          <cell r="CR14">
            <v>1840</v>
          </cell>
          <cell r="CS14">
            <v>0</v>
          </cell>
          <cell r="CT14">
            <v>120</v>
          </cell>
          <cell r="CU14">
            <v>4460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400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400</v>
          </cell>
          <cell r="DI14">
            <v>0</v>
          </cell>
          <cell r="DJ14">
            <v>200</v>
          </cell>
          <cell r="DK14">
            <v>200</v>
          </cell>
          <cell r="DL14">
            <v>2024</v>
          </cell>
          <cell r="DM14">
            <v>0</v>
          </cell>
          <cell r="DN14">
            <v>100</v>
          </cell>
          <cell r="DO14">
            <v>3324</v>
          </cell>
          <cell r="DR14">
            <v>400</v>
          </cell>
          <cell r="DS14">
            <v>600</v>
          </cell>
          <cell r="DT14">
            <v>0</v>
          </cell>
          <cell r="DU14">
            <v>0</v>
          </cell>
          <cell r="DV14">
            <v>600</v>
          </cell>
          <cell r="DW14">
            <v>1000</v>
          </cell>
          <cell r="DX14">
            <v>600</v>
          </cell>
          <cell r="DY14">
            <v>1000</v>
          </cell>
          <cell r="DZ14">
            <v>600</v>
          </cell>
          <cell r="EA14">
            <v>600</v>
          </cell>
          <cell r="EB14">
            <v>0</v>
          </cell>
          <cell r="EC14">
            <v>800</v>
          </cell>
          <cell r="ED14">
            <v>300</v>
          </cell>
          <cell r="EE14">
            <v>200</v>
          </cell>
          <cell r="EF14">
            <v>2016</v>
          </cell>
          <cell r="EG14">
            <v>400</v>
          </cell>
          <cell r="EH14">
            <v>0</v>
          </cell>
          <cell r="EI14">
            <v>9116</v>
          </cell>
          <cell r="EL14">
            <v>0</v>
          </cell>
          <cell r="EM14">
            <v>200</v>
          </cell>
          <cell r="EN14">
            <v>0</v>
          </cell>
          <cell r="EO14">
            <v>600</v>
          </cell>
          <cell r="EP14">
            <v>300</v>
          </cell>
          <cell r="EQ14">
            <v>600</v>
          </cell>
          <cell r="ER14">
            <v>400</v>
          </cell>
          <cell r="ES14">
            <v>0</v>
          </cell>
          <cell r="ET14">
            <v>600</v>
          </cell>
          <cell r="EU14">
            <v>400</v>
          </cell>
          <cell r="EV14">
            <v>300</v>
          </cell>
          <cell r="EW14">
            <v>200</v>
          </cell>
          <cell r="EX14">
            <v>400</v>
          </cell>
          <cell r="EY14">
            <v>200</v>
          </cell>
          <cell r="EZ14">
            <v>3460</v>
          </cell>
          <cell r="FA14">
            <v>200</v>
          </cell>
          <cell r="FB14">
            <v>0</v>
          </cell>
          <cell r="FC14">
            <v>7860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600</v>
          </cell>
          <cell r="FN14">
            <v>0</v>
          </cell>
          <cell r="FO14">
            <v>0</v>
          </cell>
          <cell r="FP14">
            <v>100</v>
          </cell>
          <cell r="FQ14">
            <v>400</v>
          </cell>
          <cell r="FR14">
            <v>600</v>
          </cell>
          <cell r="FS14">
            <v>300</v>
          </cell>
          <cell r="FT14">
            <v>1032</v>
          </cell>
          <cell r="FU14">
            <v>0</v>
          </cell>
          <cell r="FV14">
            <v>0</v>
          </cell>
          <cell r="FW14">
            <v>3032</v>
          </cell>
          <cell r="FZ14">
            <v>200</v>
          </cell>
          <cell r="GA14">
            <v>0</v>
          </cell>
          <cell r="GB14">
            <v>0</v>
          </cell>
          <cell r="GC14">
            <v>0</v>
          </cell>
          <cell r="GD14">
            <v>400</v>
          </cell>
          <cell r="GE14">
            <v>800</v>
          </cell>
          <cell r="GF14">
            <v>1400</v>
          </cell>
          <cell r="GG14">
            <v>600</v>
          </cell>
          <cell r="GH14">
            <v>1000</v>
          </cell>
          <cell r="GI14">
            <v>200</v>
          </cell>
          <cell r="GJ14">
            <v>200</v>
          </cell>
          <cell r="GK14">
            <v>700</v>
          </cell>
          <cell r="GL14">
            <v>1200</v>
          </cell>
          <cell r="GM14">
            <v>1000</v>
          </cell>
          <cell r="GN14">
            <v>3232</v>
          </cell>
          <cell r="GO14">
            <v>400</v>
          </cell>
          <cell r="GP14">
            <v>0</v>
          </cell>
          <cell r="GQ14">
            <v>11332</v>
          </cell>
          <cell r="GT14">
            <v>-46</v>
          </cell>
          <cell r="GU14">
            <v>54</v>
          </cell>
          <cell r="GV14">
            <v>-102</v>
          </cell>
          <cell r="GW14">
            <v>228</v>
          </cell>
          <cell r="GX14">
            <v>92</v>
          </cell>
          <cell r="GY14">
            <v>-1092</v>
          </cell>
          <cell r="GZ14">
            <v>-184</v>
          </cell>
          <cell r="HA14">
            <v>-2644</v>
          </cell>
          <cell r="HB14">
            <v>-588</v>
          </cell>
          <cell r="HC14">
            <v>-408</v>
          </cell>
          <cell r="HD14">
            <v>464</v>
          </cell>
          <cell r="HE14">
            <v>-320</v>
          </cell>
          <cell r="HF14">
            <v>364</v>
          </cell>
          <cell r="HG14">
            <v>-120</v>
          </cell>
          <cell r="HH14">
            <v>1132</v>
          </cell>
          <cell r="HI14">
            <v>-972</v>
          </cell>
          <cell r="HJ14">
            <v>-340</v>
          </cell>
          <cell r="HK14">
            <v>-4482</v>
          </cell>
          <cell r="HN14">
            <v>130</v>
          </cell>
          <cell r="HO14">
            <v>150</v>
          </cell>
          <cell r="HP14">
            <v>-38</v>
          </cell>
          <cell r="HQ14">
            <v>280</v>
          </cell>
          <cell r="HR14">
            <v>326</v>
          </cell>
          <cell r="HS14">
            <v>272</v>
          </cell>
          <cell r="HT14">
            <v>558</v>
          </cell>
          <cell r="HU14">
            <v>300</v>
          </cell>
          <cell r="HV14">
            <v>604</v>
          </cell>
          <cell r="HW14">
            <v>274</v>
          </cell>
          <cell r="HX14">
            <v>268</v>
          </cell>
          <cell r="HY14">
            <v>476</v>
          </cell>
          <cell r="HZ14">
            <v>522</v>
          </cell>
          <cell r="IA14">
            <v>350</v>
          </cell>
          <cell r="IB14">
            <v>1668</v>
          </cell>
          <cell r="IC14">
            <v>202</v>
          </cell>
          <cell r="ID14">
            <v>0</v>
          </cell>
          <cell r="IE14">
            <v>6342</v>
          </cell>
          <cell r="IH14">
            <v>250</v>
          </cell>
          <cell r="II14">
            <v>500</v>
          </cell>
          <cell r="IJ14">
            <v>0</v>
          </cell>
          <cell r="IK14">
            <v>500</v>
          </cell>
          <cell r="IL14">
            <v>800</v>
          </cell>
          <cell r="IM14">
            <v>600</v>
          </cell>
          <cell r="IN14">
            <v>600</v>
          </cell>
          <cell r="IO14">
            <v>800</v>
          </cell>
          <cell r="IP14">
            <v>400</v>
          </cell>
          <cell r="IQ14">
            <v>600</v>
          </cell>
          <cell r="IR14">
            <v>400</v>
          </cell>
          <cell r="IS14">
            <v>1000</v>
          </cell>
          <cell r="IT14">
            <v>1700</v>
          </cell>
          <cell r="IU14">
            <v>2200</v>
          </cell>
          <cell r="IV14">
            <v>3216</v>
          </cell>
          <cell r="IW14">
            <v>400</v>
          </cell>
          <cell r="IX14">
            <v>0</v>
          </cell>
          <cell r="IY14">
            <v>13966</v>
          </cell>
          <cell r="JB14">
            <v>200</v>
          </cell>
          <cell r="JC14">
            <v>200</v>
          </cell>
          <cell r="JD14">
            <v>0</v>
          </cell>
          <cell r="JE14">
            <v>200</v>
          </cell>
          <cell r="JF14">
            <v>600</v>
          </cell>
          <cell r="JG14">
            <v>0</v>
          </cell>
          <cell r="JH14">
            <v>200</v>
          </cell>
          <cell r="JI14">
            <v>0</v>
          </cell>
          <cell r="JJ14">
            <v>200</v>
          </cell>
          <cell r="JK14">
            <v>0</v>
          </cell>
          <cell r="JL14">
            <v>600</v>
          </cell>
          <cell r="JM14">
            <v>200</v>
          </cell>
          <cell r="JN14">
            <v>500</v>
          </cell>
          <cell r="JO14">
            <v>800</v>
          </cell>
          <cell r="JP14">
            <v>3868</v>
          </cell>
          <cell r="JQ14">
            <v>0</v>
          </cell>
          <cell r="JR14">
            <v>220</v>
          </cell>
          <cell r="JS14">
            <v>7788</v>
          </cell>
          <cell r="JV14">
            <v>400</v>
          </cell>
          <cell r="JW14">
            <v>800</v>
          </cell>
          <cell r="JX14">
            <v>0</v>
          </cell>
          <cell r="JY14">
            <v>600</v>
          </cell>
          <cell r="JZ14">
            <v>900</v>
          </cell>
          <cell r="KA14">
            <v>1600</v>
          </cell>
          <cell r="KB14">
            <v>1000</v>
          </cell>
          <cell r="KC14">
            <v>1600</v>
          </cell>
          <cell r="KD14">
            <v>1200</v>
          </cell>
          <cell r="KE14">
            <v>1000</v>
          </cell>
          <cell r="KF14">
            <v>400</v>
          </cell>
          <cell r="KG14">
            <v>1400</v>
          </cell>
          <cell r="KH14">
            <v>1300</v>
          </cell>
          <cell r="KI14">
            <v>700</v>
          </cell>
          <cell r="KJ14">
            <v>6508</v>
          </cell>
          <cell r="KK14">
            <v>600</v>
          </cell>
          <cell r="KL14">
            <v>0</v>
          </cell>
          <cell r="KM14">
            <v>20008</v>
          </cell>
          <cell r="KP14">
            <v>284</v>
          </cell>
          <cell r="KQ14">
            <v>204</v>
          </cell>
          <cell r="KR14">
            <v>-140</v>
          </cell>
          <cell r="KS14">
            <v>508</v>
          </cell>
          <cell r="KT14">
            <v>818</v>
          </cell>
          <cell r="KU14">
            <v>-20</v>
          </cell>
          <cell r="KV14">
            <v>1774</v>
          </cell>
          <cell r="KW14">
            <v>-1744</v>
          </cell>
          <cell r="KX14">
            <v>1016</v>
          </cell>
          <cell r="KY14">
            <v>66</v>
          </cell>
          <cell r="KZ14">
            <v>932</v>
          </cell>
          <cell r="LA14">
            <v>856</v>
          </cell>
          <cell r="LB14">
            <v>2086</v>
          </cell>
          <cell r="LC14">
            <v>1230</v>
          </cell>
          <cell r="LD14">
            <v>6032</v>
          </cell>
          <cell r="LE14">
            <v>-370</v>
          </cell>
          <cell r="LF14">
            <v>-340</v>
          </cell>
          <cell r="LG14">
            <v>13192</v>
          </cell>
          <cell r="LJ14">
            <v>450</v>
          </cell>
          <cell r="LK14">
            <v>700</v>
          </cell>
          <cell r="LL14">
            <v>0</v>
          </cell>
          <cell r="LM14">
            <v>700</v>
          </cell>
          <cell r="LN14">
            <v>1400</v>
          </cell>
          <cell r="LO14">
            <v>600</v>
          </cell>
          <cell r="LP14">
            <v>800</v>
          </cell>
          <cell r="LQ14">
            <v>800</v>
          </cell>
          <cell r="LR14">
            <v>600</v>
          </cell>
          <cell r="LS14">
            <v>600</v>
          </cell>
          <cell r="LT14">
            <v>1000</v>
          </cell>
          <cell r="LU14">
            <v>1200</v>
          </cell>
          <cell r="LV14">
            <v>2200</v>
          </cell>
          <cell r="LW14">
            <v>3000</v>
          </cell>
          <cell r="LX14">
            <v>7084</v>
          </cell>
          <cell r="LY14">
            <v>400</v>
          </cell>
          <cell r="LZ14">
            <v>220</v>
          </cell>
          <cell r="MA14">
            <v>21754</v>
          </cell>
          <cell r="MD14">
            <v>684</v>
          </cell>
          <cell r="ME14">
            <v>1004</v>
          </cell>
          <cell r="MF14">
            <v>-140</v>
          </cell>
          <cell r="MG14">
            <v>1108</v>
          </cell>
          <cell r="MH14">
            <v>1718</v>
          </cell>
          <cell r="MI14">
            <v>1580</v>
          </cell>
          <cell r="MJ14">
            <v>2774</v>
          </cell>
          <cell r="MK14">
            <v>-144</v>
          </cell>
          <cell r="ML14">
            <v>2216</v>
          </cell>
          <cell r="MM14">
            <v>1066</v>
          </cell>
          <cell r="MN14">
            <v>1332</v>
          </cell>
          <cell r="MO14">
            <v>2256</v>
          </cell>
          <cell r="MP14">
            <v>3386</v>
          </cell>
          <cell r="MQ14">
            <v>1930</v>
          </cell>
          <cell r="MR14">
            <v>12540</v>
          </cell>
          <cell r="MS14">
            <v>230</v>
          </cell>
          <cell r="MT14">
            <v>-340</v>
          </cell>
          <cell r="MU14">
            <v>33200</v>
          </cell>
          <cell r="MX14">
            <v>1134</v>
          </cell>
          <cell r="MY14">
            <v>1704</v>
          </cell>
          <cell r="MZ14">
            <v>-140</v>
          </cell>
          <cell r="NA14">
            <v>1808</v>
          </cell>
          <cell r="NB14">
            <v>3118</v>
          </cell>
          <cell r="NC14">
            <v>2180</v>
          </cell>
          <cell r="ND14">
            <v>3574</v>
          </cell>
          <cell r="NE14">
            <v>656</v>
          </cell>
          <cell r="NF14">
            <v>2816</v>
          </cell>
          <cell r="NG14">
            <v>1666</v>
          </cell>
          <cell r="NH14">
            <v>2332</v>
          </cell>
          <cell r="NI14">
            <v>3456</v>
          </cell>
          <cell r="NJ14">
            <v>5586</v>
          </cell>
          <cell r="NK14">
            <v>4930</v>
          </cell>
          <cell r="NL14">
            <v>19624</v>
          </cell>
          <cell r="NM14">
            <v>630</v>
          </cell>
          <cell r="NN14">
            <v>-120</v>
          </cell>
          <cell r="NO14">
            <v>54954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200</v>
          </cell>
          <cell r="G15">
            <v>0</v>
          </cell>
          <cell r="H15">
            <v>0</v>
          </cell>
          <cell r="I15">
            <v>200</v>
          </cell>
          <cell r="J15">
            <v>250</v>
          </cell>
          <cell r="K15">
            <v>0</v>
          </cell>
          <cell r="L15">
            <v>0</v>
          </cell>
          <cell r="M15">
            <v>300</v>
          </cell>
          <cell r="N15">
            <v>500</v>
          </cell>
          <cell r="O15">
            <v>0</v>
          </cell>
          <cell r="P15">
            <v>502</v>
          </cell>
          <cell r="Q15">
            <v>0</v>
          </cell>
          <cell r="R15">
            <v>0</v>
          </cell>
          <cell r="S15">
            <v>1952</v>
          </cell>
          <cell r="V15">
            <v>15</v>
          </cell>
          <cell r="W15">
            <v>200</v>
          </cell>
          <cell r="X15">
            <v>100</v>
          </cell>
          <cell r="Y15">
            <v>100</v>
          </cell>
          <cell r="Z15">
            <v>0</v>
          </cell>
          <cell r="AA15">
            <v>200</v>
          </cell>
          <cell r="AB15">
            <v>600</v>
          </cell>
          <cell r="AC15">
            <v>0</v>
          </cell>
          <cell r="AD15">
            <v>0</v>
          </cell>
          <cell r="AE15">
            <v>200</v>
          </cell>
          <cell r="AF15">
            <v>150</v>
          </cell>
          <cell r="AG15">
            <v>300</v>
          </cell>
          <cell r="AH15">
            <v>700</v>
          </cell>
          <cell r="AI15">
            <v>200</v>
          </cell>
          <cell r="AJ15">
            <v>750</v>
          </cell>
          <cell r="AK15">
            <v>200</v>
          </cell>
          <cell r="AL15">
            <v>0</v>
          </cell>
          <cell r="AM15">
            <v>3715</v>
          </cell>
          <cell r="AP15">
            <v>200</v>
          </cell>
          <cell r="AQ15">
            <v>0</v>
          </cell>
          <cell r="AR15">
            <v>0</v>
          </cell>
          <cell r="AS15">
            <v>240</v>
          </cell>
          <cell r="AT15">
            <v>300</v>
          </cell>
          <cell r="AU15">
            <v>200</v>
          </cell>
          <cell r="AV15">
            <v>200</v>
          </cell>
          <cell r="AW15">
            <v>150</v>
          </cell>
          <cell r="AX15">
            <v>300</v>
          </cell>
          <cell r="AY15">
            <v>0</v>
          </cell>
          <cell r="AZ15">
            <v>300</v>
          </cell>
          <cell r="BA15">
            <v>0</v>
          </cell>
          <cell r="BB15">
            <v>0</v>
          </cell>
          <cell r="BC15">
            <v>100</v>
          </cell>
          <cell r="BD15">
            <v>1971</v>
          </cell>
          <cell r="BE15">
            <v>200</v>
          </cell>
          <cell r="BF15">
            <v>0</v>
          </cell>
          <cell r="BG15">
            <v>4161</v>
          </cell>
          <cell r="BJ15">
            <v>200</v>
          </cell>
          <cell r="BK15">
            <v>0</v>
          </cell>
          <cell r="BL15">
            <v>0</v>
          </cell>
          <cell r="BM15">
            <v>300</v>
          </cell>
          <cell r="BN15">
            <v>0</v>
          </cell>
          <cell r="BO15">
            <v>0</v>
          </cell>
          <cell r="BP15">
            <v>0</v>
          </cell>
          <cell r="BQ15">
            <v>150</v>
          </cell>
          <cell r="BR15">
            <v>0</v>
          </cell>
          <cell r="BS15">
            <v>0</v>
          </cell>
          <cell r="BT15">
            <v>0</v>
          </cell>
          <cell r="BU15">
            <v>100</v>
          </cell>
          <cell r="BV15">
            <v>100</v>
          </cell>
          <cell r="BW15">
            <v>200</v>
          </cell>
          <cell r="BX15">
            <v>1700</v>
          </cell>
          <cell r="BY15">
            <v>0</v>
          </cell>
          <cell r="BZ15">
            <v>0</v>
          </cell>
          <cell r="CA15">
            <v>2750</v>
          </cell>
          <cell r="CD15">
            <v>100</v>
          </cell>
          <cell r="CE15">
            <v>100</v>
          </cell>
          <cell r="CF15">
            <v>130</v>
          </cell>
          <cell r="CG15">
            <v>200</v>
          </cell>
          <cell r="CH15">
            <v>150</v>
          </cell>
          <cell r="CI15">
            <v>100</v>
          </cell>
          <cell r="CJ15">
            <v>0</v>
          </cell>
          <cell r="CK15">
            <v>50</v>
          </cell>
          <cell r="CL15">
            <v>200</v>
          </cell>
          <cell r="CM15">
            <v>100</v>
          </cell>
          <cell r="CN15">
            <v>100</v>
          </cell>
          <cell r="CO15">
            <v>100</v>
          </cell>
          <cell r="CP15">
            <v>100</v>
          </cell>
          <cell r="CQ15">
            <v>300</v>
          </cell>
          <cell r="CR15">
            <v>1442</v>
          </cell>
          <cell r="CS15">
            <v>0</v>
          </cell>
          <cell r="CT15">
            <v>60</v>
          </cell>
          <cell r="CU15">
            <v>3232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100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100</v>
          </cell>
          <cell r="DI15">
            <v>0</v>
          </cell>
          <cell r="DJ15">
            <v>0</v>
          </cell>
          <cell r="DK15">
            <v>100</v>
          </cell>
          <cell r="DL15">
            <v>892</v>
          </cell>
          <cell r="DM15">
            <v>0</v>
          </cell>
          <cell r="DN15">
            <v>0</v>
          </cell>
          <cell r="DO15">
            <v>1192</v>
          </cell>
          <cell r="DR15">
            <v>0</v>
          </cell>
          <cell r="DS15">
            <v>100</v>
          </cell>
          <cell r="DT15">
            <v>0</v>
          </cell>
          <cell r="DU15">
            <v>0</v>
          </cell>
          <cell r="DV15">
            <v>200</v>
          </cell>
          <cell r="DW15">
            <v>300</v>
          </cell>
          <cell r="DX15">
            <v>100</v>
          </cell>
          <cell r="DY15">
            <v>100</v>
          </cell>
          <cell r="DZ15">
            <v>100</v>
          </cell>
          <cell r="EA15">
            <v>100</v>
          </cell>
          <cell r="EB15">
            <v>0</v>
          </cell>
          <cell r="EC15">
            <v>200</v>
          </cell>
          <cell r="ED15">
            <v>100</v>
          </cell>
          <cell r="EE15">
            <v>100</v>
          </cell>
          <cell r="EF15">
            <v>1508</v>
          </cell>
          <cell r="EG15">
            <v>200</v>
          </cell>
          <cell r="EH15">
            <v>0</v>
          </cell>
          <cell r="EI15">
            <v>3108</v>
          </cell>
          <cell r="EL15">
            <v>0</v>
          </cell>
          <cell r="EM15">
            <v>100</v>
          </cell>
          <cell r="EN15">
            <v>0</v>
          </cell>
          <cell r="EO15">
            <v>400</v>
          </cell>
          <cell r="EP15">
            <v>200</v>
          </cell>
          <cell r="EQ15">
            <v>200</v>
          </cell>
          <cell r="ER15">
            <v>0</v>
          </cell>
          <cell r="ES15">
            <v>0</v>
          </cell>
          <cell r="ET15">
            <v>300</v>
          </cell>
          <cell r="EU15">
            <v>300</v>
          </cell>
          <cell r="EV15">
            <v>150</v>
          </cell>
          <cell r="EW15">
            <v>100</v>
          </cell>
          <cell r="EX15">
            <v>200</v>
          </cell>
          <cell r="EY15">
            <v>100</v>
          </cell>
          <cell r="EZ15">
            <v>1630</v>
          </cell>
          <cell r="FA15">
            <v>100</v>
          </cell>
          <cell r="FB15">
            <v>0</v>
          </cell>
          <cell r="FC15">
            <v>3780</v>
          </cell>
          <cell r="FF15">
            <v>0</v>
          </cell>
          <cell r="FG15">
            <v>100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200</v>
          </cell>
          <cell r="FM15">
            <v>100</v>
          </cell>
          <cell r="FN15">
            <v>0</v>
          </cell>
          <cell r="FO15">
            <v>0</v>
          </cell>
          <cell r="FP15">
            <v>50</v>
          </cell>
          <cell r="FQ15">
            <v>100</v>
          </cell>
          <cell r="FR15">
            <v>200</v>
          </cell>
          <cell r="FS15">
            <v>150</v>
          </cell>
          <cell r="FT15">
            <v>966</v>
          </cell>
          <cell r="FU15">
            <v>0</v>
          </cell>
          <cell r="FV15">
            <v>0</v>
          </cell>
          <cell r="FW15">
            <v>1866</v>
          </cell>
          <cell r="FZ15">
            <v>0</v>
          </cell>
          <cell r="GA15">
            <v>100</v>
          </cell>
          <cell r="GB15">
            <v>0</v>
          </cell>
          <cell r="GC15">
            <v>0</v>
          </cell>
          <cell r="GD15">
            <v>150</v>
          </cell>
          <cell r="GE15">
            <v>100</v>
          </cell>
          <cell r="GF15">
            <v>200</v>
          </cell>
          <cell r="GG15">
            <v>100</v>
          </cell>
          <cell r="GH15">
            <v>300</v>
          </cell>
          <cell r="GI15">
            <v>100</v>
          </cell>
          <cell r="GJ15">
            <v>100</v>
          </cell>
          <cell r="GK15">
            <v>250</v>
          </cell>
          <cell r="GL15">
            <v>300</v>
          </cell>
          <cell r="GM15">
            <v>200</v>
          </cell>
          <cell r="GN15">
            <v>1028</v>
          </cell>
          <cell r="GO15">
            <v>0</v>
          </cell>
          <cell r="GP15">
            <v>0</v>
          </cell>
          <cell r="GQ15">
            <v>2928</v>
          </cell>
          <cell r="GT15">
            <v>11</v>
          </cell>
          <cell r="GU15">
            <v>106</v>
          </cell>
          <cell r="GV15">
            <v>20</v>
          </cell>
          <cell r="GW15">
            <v>94</v>
          </cell>
          <cell r="GX15">
            <v>216</v>
          </cell>
          <cell r="GY15">
            <v>-84</v>
          </cell>
          <cell r="GZ15">
            <v>620</v>
          </cell>
          <cell r="HA15">
            <v>-284</v>
          </cell>
          <cell r="HB15">
            <v>184</v>
          </cell>
          <cell r="HC15">
            <v>-328</v>
          </cell>
          <cell r="HD15">
            <v>169</v>
          </cell>
          <cell r="HE15">
            <v>300</v>
          </cell>
          <cell r="HF15">
            <v>86</v>
          </cell>
          <cell r="HG15">
            <v>-92</v>
          </cell>
          <cell r="HH15">
            <v>1501</v>
          </cell>
          <cell r="HI15">
            <v>-51</v>
          </cell>
          <cell r="HJ15">
            <v>-82</v>
          </cell>
          <cell r="HK15">
            <v>2386</v>
          </cell>
          <cell r="HN15">
            <v>65</v>
          </cell>
          <cell r="HO15">
            <v>120</v>
          </cell>
          <cell r="HP15">
            <v>-25</v>
          </cell>
          <cell r="HQ15">
            <v>176</v>
          </cell>
          <cell r="HR15">
            <v>153</v>
          </cell>
          <cell r="HS15">
            <v>109</v>
          </cell>
          <cell r="HT15">
            <v>316</v>
          </cell>
          <cell r="HU15">
            <v>124</v>
          </cell>
          <cell r="HV15">
            <v>291</v>
          </cell>
          <cell r="HW15">
            <v>140</v>
          </cell>
          <cell r="HX15">
            <v>140</v>
          </cell>
          <cell r="HY15">
            <v>246</v>
          </cell>
          <cell r="HZ15">
            <v>225</v>
          </cell>
          <cell r="IA15">
            <v>177</v>
          </cell>
          <cell r="IB15">
            <v>743</v>
          </cell>
          <cell r="IC15">
            <v>68</v>
          </cell>
          <cell r="ID15">
            <v>1</v>
          </cell>
          <cell r="IE15">
            <v>3069</v>
          </cell>
          <cell r="IH15">
            <v>215</v>
          </cell>
          <cell r="II15">
            <v>200</v>
          </cell>
          <cell r="IJ15">
            <v>100</v>
          </cell>
          <cell r="IK15">
            <v>340</v>
          </cell>
          <cell r="IL15">
            <v>500</v>
          </cell>
          <cell r="IM15">
            <v>400</v>
          </cell>
          <cell r="IN15">
            <v>800</v>
          </cell>
          <cell r="IO15">
            <v>350</v>
          </cell>
          <cell r="IP15">
            <v>550</v>
          </cell>
          <cell r="IQ15">
            <v>200</v>
          </cell>
          <cell r="IR15">
            <v>450</v>
          </cell>
          <cell r="IS15">
            <v>600</v>
          </cell>
          <cell r="IT15">
            <v>1200</v>
          </cell>
          <cell r="IU15">
            <v>300</v>
          </cell>
          <cell r="IV15">
            <v>3223</v>
          </cell>
          <cell r="IW15">
            <v>400</v>
          </cell>
          <cell r="IX15">
            <v>0</v>
          </cell>
          <cell r="IY15">
            <v>9828</v>
          </cell>
          <cell r="JB15">
            <v>300</v>
          </cell>
          <cell r="JC15">
            <v>100</v>
          </cell>
          <cell r="JD15">
            <v>130</v>
          </cell>
          <cell r="JE15">
            <v>500</v>
          </cell>
          <cell r="JF15">
            <v>250</v>
          </cell>
          <cell r="JG15">
            <v>100</v>
          </cell>
          <cell r="JH15">
            <v>0</v>
          </cell>
          <cell r="JI15">
            <v>200</v>
          </cell>
          <cell r="JJ15">
            <v>200</v>
          </cell>
          <cell r="JK15">
            <v>100</v>
          </cell>
          <cell r="JL15">
            <v>200</v>
          </cell>
          <cell r="JM15">
            <v>200</v>
          </cell>
          <cell r="JN15">
            <v>200</v>
          </cell>
          <cell r="JO15">
            <v>600</v>
          </cell>
          <cell r="JP15">
            <v>4034</v>
          </cell>
          <cell r="JQ15">
            <v>0</v>
          </cell>
          <cell r="JR15">
            <v>60</v>
          </cell>
          <cell r="JS15">
            <v>7174</v>
          </cell>
          <cell r="JV15">
            <v>0</v>
          </cell>
          <cell r="JW15">
            <v>300</v>
          </cell>
          <cell r="JX15">
            <v>0</v>
          </cell>
          <cell r="JY15">
            <v>400</v>
          </cell>
          <cell r="JZ15">
            <v>400</v>
          </cell>
          <cell r="KA15">
            <v>500</v>
          </cell>
          <cell r="KB15">
            <v>300</v>
          </cell>
          <cell r="KC15">
            <v>200</v>
          </cell>
          <cell r="KD15">
            <v>400</v>
          </cell>
          <cell r="KE15">
            <v>400</v>
          </cell>
          <cell r="KF15">
            <v>200</v>
          </cell>
          <cell r="KG15">
            <v>400</v>
          </cell>
          <cell r="KH15">
            <v>500</v>
          </cell>
          <cell r="KI15">
            <v>350</v>
          </cell>
          <cell r="KJ15">
            <v>4104</v>
          </cell>
          <cell r="KK15">
            <v>300</v>
          </cell>
          <cell r="KL15">
            <v>0</v>
          </cell>
          <cell r="KM15">
            <v>8754</v>
          </cell>
          <cell r="KP15">
            <v>76</v>
          </cell>
          <cell r="KQ15">
            <v>326</v>
          </cell>
          <cell r="KR15">
            <v>-5</v>
          </cell>
          <cell r="KS15">
            <v>270</v>
          </cell>
          <cell r="KT15">
            <v>519</v>
          </cell>
          <cell r="KU15">
            <v>125</v>
          </cell>
          <cell r="KV15">
            <v>1136</v>
          </cell>
          <cell r="KW15">
            <v>-60</v>
          </cell>
          <cell r="KX15">
            <v>775</v>
          </cell>
          <cell r="KY15">
            <v>-88</v>
          </cell>
          <cell r="KZ15">
            <v>409</v>
          </cell>
          <cell r="LA15">
            <v>796</v>
          </cell>
          <cell r="LB15">
            <v>611</v>
          </cell>
          <cell r="LC15">
            <v>285</v>
          </cell>
          <cell r="LD15">
            <v>3272</v>
          </cell>
          <cell r="LE15">
            <v>17</v>
          </cell>
          <cell r="LF15">
            <v>-81</v>
          </cell>
          <cell r="LG15">
            <v>8383</v>
          </cell>
          <cell r="LJ15">
            <v>515</v>
          </cell>
          <cell r="LK15">
            <v>300</v>
          </cell>
          <cell r="LL15">
            <v>230</v>
          </cell>
          <cell r="LM15">
            <v>840</v>
          </cell>
          <cell r="LN15">
            <v>750</v>
          </cell>
          <cell r="LO15">
            <v>500</v>
          </cell>
          <cell r="LP15">
            <v>800</v>
          </cell>
          <cell r="LQ15">
            <v>550</v>
          </cell>
          <cell r="LR15">
            <v>750</v>
          </cell>
          <cell r="LS15">
            <v>300</v>
          </cell>
          <cell r="LT15">
            <v>650</v>
          </cell>
          <cell r="LU15">
            <v>800</v>
          </cell>
          <cell r="LV15">
            <v>1400</v>
          </cell>
          <cell r="LW15">
            <v>900</v>
          </cell>
          <cell r="LX15">
            <v>7257</v>
          </cell>
          <cell r="LY15">
            <v>400</v>
          </cell>
          <cell r="LZ15">
            <v>60</v>
          </cell>
          <cell r="MA15">
            <v>17002</v>
          </cell>
          <cell r="MD15">
            <v>76</v>
          </cell>
          <cell r="ME15">
            <v>626</v>
          </cell>
          <cell r="MF15">
            <v>-5</v>
          </cell>
          <cell r="MG15">
            <v>670</v>
          </cell>
          <cell r="MH15">
            <v>919</v>
          </cell>
          <cell r="MI15">
            <v>625</v>
          </cell>
          <cell r="MJ15">
            <v>1436</v>
          </cell>
          <cell r="MK15">
            <v>140</v>
          </cell>
          <cell r="ML15">
            <v>1175</v>
          </cell>
          <cell r="MM15">
            <v>312</v>
          </cell>
          <cell r="MN15">
            <v>609</v>
          </cell>
          <cell r="MO15">
            <v>1196</v>
          </cell>
          <cell r="MP15">
            <v>1111</v>
          </cell>
          <cell r="MQ15">
            <v>635</v>
          </cell>
          <cell r="MR15">
            <v>7376</v>
          </cell>
          <cell r="MS15">
            <v>317</v>
          </cell>
          <cell r="MT15">
            <v>-81</v>
          </cell>
          <cell r="MU15">
            <v>17137</v>
          </cell>
          <cell r="MX15">
            <v>591</v>
          </cell>
          <cell r="MY15">
            <v>926</v>
          </cell>
          <cell r="MZ15">
            <v>225</v>
          </cell>
          <cell r="NA15">
            <v>1510</v>
          </cell>
          <cell r="NB15">
            <v>1669</v>
          </cell>
          <cell r="NC15">
            <v>1125</v>
          </cell>
          <cell r="ND15">
            <v>2236</v>
          </cell>
          <cell r="NE15">
            <v>690</v>
          </cell>
          <cell r="NF15">
            <v>1925</v>
          </cell>
          <cell r="NG15">
            <v>612</v>
          </cell>
          <cell r="NH15">
            <v>1259</v>
          </cell>
          <cell r="NI15">
            <v>1996</v>
          </cell>
          <cell r="NJ15">
            <v>2511</v>
          </cell>
          <cell r="NK15">
            <v>1535</v>
          </cell>
          <cell r="NL15">
            <v>14633</v>
          </cell>
          <cell r="NM15">
            <v>717</v>
          </cell>
          <cell r="NN15">
            <v>-21</v>
          </cell>
          <cell r="NO15">
            <v>34139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10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10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100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100</v>
          </cell>
          <cell r="EL16">
            <v>0</v>
          </cell>
          <cell r="EM16">
            <v>0</v>
          </cell>
          <cell r="EN16">
            <v>0</v>
          </cell>
          <cell r="EO16">
            <v>50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50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200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50</v>
          </cell>
          <cell r="FU16">
            <v>0</v>
          </cell>
          <cell r="FV16">
            <v>0</v>
          </cell>
          <cell r="FW16">
            <v>250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200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200</v>
          </cell>
          <cell r="GT16">
            <v>0</v>
          </cell>
          <cell r="GU16">
            <v>0</v>
          </cell>
          <cell r="GV16">
            <v>0</v>
          </cell>
          <cell r="GW16">
            <v>15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4</v>
          </cell>
          <cell r="HC16">
            <v>0</v>
          </cell>
          <cell r="HD16">
            <v>0</v>
          </cell>
          <cell r="HE16">
            <v>2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21</v>
          </cell>
          <cell r="HN16">
            <v>0</v>
          </cell>
          <cell r="HO16">
            <v>0</v>
          </cell>
          <cell r="HP16">
            <v>0</v>
          </cell>
          <cell r="HQ16">
            <v>18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3</v>
          </cell>
          <cell r="HW16">
            <v>0</v>
          </cell>
          <cell r="HX16">
            <v>0</v>
          </cell>
          <cell r="HY16">
            <v>1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22</v>
          </cell>
          <cell r="IH16">
            <v>0</v>
          </cell>
          <cell r="II16">
            <v>0</v>
          </cell>
          <cell r="IJ16">
            <v>0</v>
          </cell>
          <cell r="IK16">
            <v>10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10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50</v>
          </cell>
          <cell r="JZ16">
            <v>0</v>
          </cell>
          <cell r="KA16">
            <v>0</v>
          </cell>
          <cell r="KB16">
            <v>300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50</v>
          </cell>
          <cell r="KK16">
            <v>0</v>
          </cell>
          <cell r="KL16">
            <v>0</v>
          </cell>
          <cell r="KM16">
            <v>400</v>
          </cell>
          <cell r="KP16">
            <v>0</v>
          </cell>
          <cell r="KQ16">
            <v>0</v>
          </cell>
          <cell r="KR16">
            <v>0</v>
          </cell>
          <cell r="KS16">
            <v>33</v>
          </cell>
          <cell r="KT16">
            <v>0</v>
          </cell>
          <cell r="KU16">
            <v>0</v>
          </cell>
          <cell r="KV16">
            <v>200</v>
          </cell>
          <cell r="KW16">
            <v>0</v>
          </cell>
          <cell r="KX16">
            <v>7</v>
          </cell>
          <cell r="KY16">
            <v>0</v>
          </cell>
          <cell r="KZ16">
            <v>0</v>
          </cell>
          <cell r="LA16">
            <v>3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243</v>
          </cell>
          <cell r="LJ16">
            <v>0</v>
          </cell>
          <cell r="LK16">
            <v>0</v>
          </cell>
          <cell r="LL16">
            <v>0</v>
          </cell>
          <cell r="LM16">
            <v>10</v>
          </cell>
          <cell r="LN16">
            <v>0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0</v>
          </cell>
          <cell r="LX16">
            <v>0</v>
          </cell>
          <cell r="LY16">
            <v>0</v>
          </cell>
          <cell r="LZ16">
            <v>0</v>
          </cell>
          <cell r="MA16">
            <v>10</v>
          </cell>
          <cell r="MD16">
            <v>0</v>
          </cell>
          <cell r="ME16">
            <v>0</v>
          </cell>
          <cell r="MF16">
            <v>0</v>
          </cell>
          <cell r="MG16">
            <v>83</v>
          </cell>
          <cell r="MH16">
            <v>0</v>
          </cell>
          <cell r="MI16">
            <v>0</v>
          </cell>
          <cell r="MJ16">
            <v>500</v>
          </cell>
          <cell r="MK16">
            <v>0</v>
          </cell>
          <cell r="ML16">
            <v>7</v>
          </cell>
          <cell r="MM16">
            <v>0</v>
          </cell>
          <cell r="MN16">
            <v>0</v>
          </cell>
          <cell r="MO16">
            <v>3</v>
          </cell>
          <cell r="MP16">
            <v>0</v>
          </cell>
          <cell r="MQ16">
            <v>0</v>
          </cell>
          <cell r="MR16">
            <v>50</v>
          </cell>
          <cell r="MS16">
            <v>0</v>
          </cell>
          <cell r="MT16">
            <v>0</v>
          </cell>
          <cell r="MU16">
            <v>643</v>
          </cell>
          <cell r="MX16">
            <v>0</v>
          </cell>
          <cell r="MY16">
            <v>0</v>
          </cell>
          <cell r="MZ16">
            <v>0</v>
          </cell>
          <cell r="NA16">
            <v>93</v>
          </cell>
          <cell r="NB16">
            <v>0</v>
          </cell>
          <cell r="NC16">
            <v>0</v>
          </cell>
          <cell r="ND16">
            <v>500</v>
          </cell>
          <cell r="NE16">
            <v>0</v>
          </cell>
          <cell r="NF16">
            <v>7</v>
          </cell>
          <cell r="NG16">
            <v>0</v>
          </cell>
          <cell r="NH16">
            <v>0</v>
          </cell>
          <cell r="NI16">
            <v>3</v>
          </cell>
          <cell r="NJ16">
            <v>0</v>
          </cell>
          <cell r="NK16">
            <v>0</v>
          </cell>
          <cell r="NL16">
            <v>50</v>
          </cell>
          <cell r="NM16">
            <v>0</v>
          </cell>
          <cell r="NN16">
            <v>0</v>
          </cell>
          <cell r="NO16">
            <v>653</v>
          </cell>
        </row>
        <row r="17">
          <cell r="B17">
            <v>0</v>
          </cell>
          <cell r="C17">
            <v>300</v>
          </cell>
          <cell r="D17">
            <v>0</v>
          </cell>
          <cell r="E17">
            <v>0</v>
          </cell>
          <cell r="F17">
            <v>3300</v>
          </cell>
          <cell r="G17">
            <v>0</v>
          </cell>
          <cell r="H17">
            <v>0</v>
          </cell>
          <cell r="I17">
            <v>15200</v>
          </cell>
          <cell r="J17">
            <v>875</v>
          </cell>
          <cell r="K17">
            <v>0</v>
          </cell>
          <cell r="L17">
            <v>0</v>
          </cell>
          <cell r="M17">
            <v>2050</v>
          </cell>
          <cell r="N17">
            <v>4650</v>
          </cell>
          <cell r="O17">
            <v>1600</v>
          </cell>
          <cell r="P17">
            <v>21810</v>
          </cell>
          <cell r="Q17">
            <v>0</v>
          </cell>
          <cell r="R17">
            <v>0</v>
          </cell>
          <cell r="S17">
            <v>49785</v>
          </cell>
          <cell r="V17">
            <v>940</v>
          </cell>
          <cell r="W17">
            <v>2150</v>
          </cell>
          <cell r="X17">
            <v>100</v>
          </cell>
          <cell r="Y17">
            <v>300</v>
          </cell>
          <cell r="Z17">
            <v>0</v>
          </cell>
          <cell r="AA17">
            <v>2350</v>
          </cell>
          <cell r="AB17">
            <v>6950</v>
          </cell>
          <cell r="AC17">
            <v>800</v>
          </cell>
          <cell r="AD17">
            <v>2150</v>
          </cell>
          <cell r="AE17">
            <v>3175</v>
          </cell>
          <cell r="AF17">
            <v>2925</v>
          </cell>
          <cell r="AG17">
            <v>5550</v>
          </cell>
          <cell r="AH17">
            <v>7250</v>
          </cell>
          <cell r="AI17">
            <v>800</v>
          </cell>
          <cell r="AJ17">
            <v>21155</v>
          </cell>
          <cell r="AK17">
            <v>2850</v>
          </cell>
          <cell r="AL17">
            <v>750</v>
          </cell>
          <cell r="AM17">
            <v>60195</v>
          </cell>
          <cell r="AP17">
            <v>3200</v>
          </cell>
          <cell r="AQ17">
            <v>0</v>
          </cell>
          <cell r="AR17">
            <v>-4000</v>
          </cell>
          <cell r="AS17">
            <v>550</v>
          </cell>
          <cell r="AT17">
            <v>5250</v>
          </cell>
          <cell r="AU17">
            <v>2400</v>
          </cell>
          <cell r="AV17">
            <v>1700</v>
          </cell>
          <cell r="AW17">
            <v>150</v>
          </cell>
          <cell r="AX17">
            <v>1675</v>
          </cell>
          <cell r="AY17">
            <v>0</v>
          </cell>
          <cell r="AZ17">
            <v>2550</v>
          </cell>
          <cell r="BA17">
            <v>2500</v>
          </cell>
          <cell r="BB17">
            <v>6250</v>
          </cell>
          <cell r="BC17">
            <v>1350</v>
          </cell>
          <cell r="BD17">
            <v>33804</v>
          </cell>
          <cell r="BE17">
            <v>2950</v>
          </cell>
          <cell r="BF17">
            <v>0</v>
          </cell>
          <cell r="BG17">
            <v>60329</v>
          </cell>
          <cell r="BJ17">
            <v>950</v>
          </cell>
          <cell r="BK17">
            <v>0</v>
          </cell>
          <cell r="BL17">
            <v>0</v>
          </cell>
          <cell r="BM17">
            <v>-12200</v>
          </cell>
          <cell r="BN17">
            <v>0</v>
          </cell>
          <cell r="BO17">
            <v>0</v>
          </cell>
          <cell r="BP17">
            <v>0</v>
          </cell>
          <cell r="BQ17">
            <v>650</v>
          </cell>
          <cell r="BR17">
            <v>0</v>
          </cell>
          <cell r="BS17">
            <v>0</v>
          </cell>
          <cell r="BT17">
            <v>0</v>
          </cell>
          <cell r="BU17">
            <v>850</v>
          </cell>
          <cell r="BV17">
            <v>2850</v>
          </cell>
          <cell r="BW17">
            <v>4700</v>
          </cell>
          <cell r="BX17">
            <v>32954</v>
          </cell>
          <cell r="BY17">
            <v>0</v>
          </cell>
          <cell r="BZ17">
            <v>0</v>
          </cell>
          <cell r="CA17">
            <v>30754</v>
          </cell>
          <cell r="CD17">
            <v>2050</v>
          </cell>
          <cell r="CE17">
            <v>3675</v>
          </cell>
          <cell r="CF17">
            <v>130</v>
          </cell>
          <cell r="CG17">
            <v>400</v>
          </cell>
          <cell r="CH17">
            <v>5475</v>
          </cell>
          <cell r="CI17">
            <v>3100</v>
          </cell>
          <cell r="CJ17">
            <v>11700</v>
          </cell>
          <cell r="CK17">
            <v>1550</v>
          </cell>
          <cell r="CL17">
            <v>8775</v>
          </cell>
          <cell r="CM17">
            <v>2350</v>
          </cell>
          <cell r="CN17">
            <v>9700</v>
          </cell>
          <cell r="CO17">
            <v>4425</v>
          </cell>
          <cell r="CP17">
            <v>9275</v>
          </cell>
          <cell r="CQ17">
            <v>900</v>
          </cell>
          <cell r="CR17">
            <v>38452</v>
          </cell>
          <cell r="CS17">
            <v>0</v>
          </cell>
          <cell r="CT17">
            <v>655</v>
          </cell>
          <cell r="CU17">
            <v>102612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2750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2250</v>
          </cell>
          <cell r="DI17">
            <v>0</v>
          </cell>
          <cell r="DJ17">
            <v>700</v>
          </cell>
          <cell r="DK17">
            <v>300</v>
          </cell>
          <cell r="DL17">
            <v>22296</v>
          </cell>
          <cell r="DM17">
            <v>0</v>
          </cell>
          <cell r="DN17">
            <v>100</v>
          </cell>
          <cell r="DO17">
            <v>28396</v>
          </cell>
          <cell r="DR17">
            <v>4650</v>
          </cell>
          <cell r="DS17">
            <v>2575</v>
          </cell>
          <cell r="DT17">
            <v>0</v>
          </cell>
          <cell r="DU17">
            <v>0</v>
          </cell>
          <cell r="DV17">
            <v>800</v>
          </cell>
          <cell r="DW17">
            <v>9550</v>
          </cell>
          <cell r="DX17">
            <v>1800</v>
          </cell>
          <cell r="DY17">
            <v>4350</v>
          </cell>
          <cell r="DZ17">
            <v>6950</v>
          </cell>
          <cell r="EA17">
            <v>3575</v>
          </cell>
          <cell r="EB17">
            <v>0</v>
          </cell>
          <cell r="EC17">
            <v>2000</v>
          </cell>
          <cell r="ED17">
            <v>2900</v>
          </cell>
          <cell r="EE17">
            <v>300</v>
          </cell>
          <cell r="EF17">
            <v>37932.131999999998</v>
          </cell>
          <cell r="EG17">
            <v>3850</v>
          </cell>
          <cell r="EH17">
            <v>0</v>
          </cell>
          <cell r="EI17">
            <v>81232.131999999998</v>
          </cell>
          <cell r="EL17">
            <v>0</v>
          </cell>
          <cell r="EM17">
            <v>1300</v>
          </cell>
          <cell r="EN17">
            <v>0</v>
          </cell>
          <cell r="EO17">
            <v>1050</v>
          </cell>
          <cell r="EP17">
            <v>1250</v>
          </cell>
          <cell r="EQ17">
            <v>3050</v>
          </cell>
          <cell r="ER17">
            <v>3525</v>
          </cell>
          <cell r="ES17">
            <v>4000</v>
          </cell>
          <cell r="ET17">
            <v>7025</v>
          </cell>
          <cell r="EU17">
            <v>1700</v>
          </cell>
          <cell r="EV17">
            <v>3325</v>
          </cell>
          <cell r="EW17">
            <v>6550</v>
          </cell>
          <cell r="EX17">
            <v>2975</v>
          </cell>
          <cell r="EY17">
            <v>300</v>
          </cell>
          <cell r="EZ17">
            <v>23370</v>
          </cell>
          <cell r="FA17">
            <v>4800</v>
          </cell>
          <cell r="FB17">
            <v>0</v>
          </cell>
          <cell r="FC17">
            <v>64220</v>
          </cell>
          <cell r="FF17">
            <v>1500</v>
          </cell>
          <cell r="FG17">
            <v>1100</v>
          </cell>
          <cell r="FH17">
            <v>-1250</v>
          </cell>
          <cell r="FI17">
            <v>0</v>
          </cell>
          <cell r="FJ17">
            <v>0</v>
          </cell>
          <cell r="FK17">
            <v>0</v>
          </cell>
          <cell r="FL17">
            <v>5650</v>
          </cell>
          <cell r="FM17">
            <v>7700</v>
          </cell>
          <cell r="FN17">
            <v>0</v>
          </cell>
          <cell r="FO17">
            <v>0</v>
          </cell>
          <cell r="FP17">
            <v>1650</v>
          </cell>
          <cell r="FQ17">
            <v>2000</v>
          </cell>
          <cell r="FR17">
            <v>4550</v>
          </cell>
          <cell r="FS17">
            <v>1700</v>
          </cell>
          <cell r="FT17">
            <v>16458</v>
          </cell>
          <cell r="FU17">
            <v>0</v>
          </cell>
          <cell r="FV17">
            <v>0</v>
          </cell>
          <cell r="FW17">
            <v>41058</v>
          </cell>
          <cell r="FZ17">
            <v>2950</v>
          </cell>
          <cell r="GA17">
            <v>1100</v>
          </cell>
          <cell r="GB17">
            <v>0</v>
          </cell>
          <cell r="GC17">
            <v>0</v>
          </cell>
          <cell r="GD17">
            <v>5425</v>
          </cell>
          <cell r="GE17">
            <v>2400</v>
          </cell>
          <cell r="GF17">
            <v>6550</v>
          </cell>
          <cell r="GG17">
            <v>1700</v>
          </cell>
          <cell r="GH17">
            <v>4175</v>
          </cell>
          <cell r="GI17">
            <v>800</v>
          </cell>
          <cell r="GJ17">
            <v>4050</v>
          </cell>
          <cell r="GK17">
            <v>6700</v>
          </cell>
          <cell r="GL17">
            <v>9375</v>
          </cell>
          <cell r="GM17">
            <v>3200</v>
          </cell>
          <cell r="GN17">
            <v>41175</v>
          </cell>
          <cell r="GO17">
            <v>3150</v>
          </cell>
          <cell r="GP17">
            <v>0</v>
          </cell>
          <cell r="GQ17">
            <v>92750</v>
          </cell>
          <cell r="GT17">
            <v>-350</v>
          </cell>
          <cell r="GU17">
            <v>-4017.5</v>
          </cell>
          <cell r="GV17">
            <v>-10219.5</v>
          </cell>
          <cell r="GW17">
            <v>-14583</v>
          </cell>
          <cell r="GX17">
            <v>920.5</v>
          </cell>
          <cell r="GY17">
            <v>-5368.5</v>
          </cell>
          <cell r="GZ17">
            <v>7861</v>
          </cell>
          <cell r="HA17">
            <v>-5438</v>
          </cell>
          <cell r="HB17">
            <v>-3552.5</v>
          </cell>
          <cell r="HC17">
            <v>-10988.5</v>
          </cell>
          <cell r="HD17">
            <v>170.5</v>
          </cell>
          <cell r="HE17">
            <v>1234.5</v>
          </cell>
          <cell r="HF17">
            <v>-7787.5</v>
          </cell>
          <cell r="HG17">
            <v>-12159.5</v>
          </cell>
          <cell r="HH17">
            <v>-88999.5</v>
          </cell>
          <cell r="HI17">
            <v>-2865.5</v>
          </cell>
          <cell r="HJ17">
            <v>-1239.5</v>
          </cell>
          <cell r="HK17">
            <v>-157382.5</v>
          </cell>
          <cell r="HN17">
            <v>1217.5</v>
          </cell>
          <cell r="HO17">
            <v>1382.5</v>
          </cell>
          <cell r="HP17">
            <v>-2935.5</v>
          </cell>
          <cell r="HQ17">
            <v>246.5</v>
          </cell>
          <cell r="HR17">
            <v>1946.5</v>
          </cell>
          <cell r="HS17">
            <v>2893.5</v>
          </cell>
          <cell r="HT17">
            <v>4656.5</v>
          </cell>
          <cell r="HU17">
            <v>4001.5</v>
          </cell>
          <cell r="HV17">
            <v>4773</v>
          </cell>
          <cell r="HW17">
            <v>1656.5</v>
          </cell>
          <cell r="HX17">
            <v>2898</v>
          </cell>
          <cell r="HY17">
            <v>4145.5</v>
          </cell>
          <cell r="HZ17">
            <v>5147</v>
          </cell>
          <cell r="IA17">
            <v>2042</v>
          </cell>
          <cell r="IB17">
            <v>25888.5</v>
          </cell>
          <cell r="IC17">
            <v>1307.5</v>
          </cell>
          <cell r="ID17">
            <v>16</v>
          </cell>
          <cell r="IE17">
            <v>61283</v>
          </cell>
          <cell r="IH17">
            <v>4140</v>
          </cell>
          <cell r="II17">
            <v>2450</v>
          </cell>
          <cell r="IJ17">
            <v>-3900</v>
          </cell>
          <cell r="IK17">
            <v>850</v>
          </cell>
          <cell r="IL17">
            <v>8550</v>
          </cell>
          <cell r="IM17">
            <v>4750</v>
          </cell>
          <cell r="IN17">
            <v>8650</v>
          </cell>
          <cell r="IO17">
            <v>16150</v>
          </cell>
          <cell r="IP17">
            <v>4700</v>
          </cell>
          <cell r="IQ17">
            <v>3175</v>
          </cell>
          <cell r="IR17">
            <v>5475</v>
          </cell>
          <cell r="IS17">
            <v>10100</v>
          </cell>
          <cell r="IT17">
            <v>18150</v>
          </cell>
          <cell r="IU17">
            <v>3750</v>
          </cell>
          <cell r="IV17">
            <v>76769</v>
          </cell>
          <cell r="IW17">
            <v>5800</v>
          </cell>
          <cell r="IX17">
            <v>750</v>
          </cell>
          <cell r="IY17">
            <v>170309</v>
          </cell>
          <cell r="JB17">
            <v>3000</v>
          </cell>
          <cell r="JC17">
            <v>3675</v>
          </cell>
          <cell r="JD17">
            <v>130</v>
          </cell>
          <cell r="JE17">
            <v>-11800</v>
          </cell>
          <cell r="JF17">
            <v>8225</v>
          </cell>
          <cell r="JG17">
            <v>3100</v>
          </cell>
          <cell r="JH17">
            <v>11700</v>
          </cell>
          <cell r="JI17">
            <v>2200</v>
          </cell>
          <cell r="JJ17">
            <v>8775</v>
          </cell>
          <cell r="JK17">
            <v>2350</v>
          </cell>
          <cell r="JL17">
            <v>11950</v>
          </cell>
          <cell r="JM17">
            <v>5275</v>
          </cell>
          <cell r="JN17">
            <v>12825</v>
          </cell>
          <cell r="JO17">
            <v>5900</v>
          </cell>
          <cell r="JP17">
            <v>93702</v>
          </cell>
          <cell r="JQ17">
            <v>0</v>
          </cell>
          <cell r="JR17">
            <v>755</v>
          </cell>
          <cell r="JS17">
            <v>161762</v>
          </cell>
          <cell r="JV17">
            <v>6150</v>
          </cell>
          <cell r="JW17">
            <v>4975</v>
          </cell>
          <cell r="JX17">
            <v>-1250</v>
          </cell>
          <cell r="JY17">
            <v>1050</v>
          </cell>
          <cell r="JZ17">
            <v>2050</v>
          </cell>
          <cell r="KA17">
            <v>12600</v>
          </cell>
          <cell r="KB17">
            <v>10975</v>
          </cell>
          <cell r="KC17">
            <v>16050</v>
          </cell>
          <cell r="KD17">
            <v>13975</v>
          </cell>
          <cell r="KE17">
            <v>5275</v>
          </cell>
          <cell r="KF17">
            <v>4975</v>
          </cell>
          <cell r="KG17">
            <v>10550</v>
          </cell>
          <cell r="KH17">
            <v>10425</v>
          </cell>
          <cell r="KI17">
            <v>2300</v>
          </cell>
          <cell r="KJ17">
            <v>77760.131999999998</v>
          </cell>
          <cell r="KK17">
            <v>8650</v>
          </cell>
          <cell r="KL17">
            <v>0</v>
          </cell>
          <cell r="KM17">
            <v>186510.13199999998</v>
          </cell>
          <cell r="KP17">
            <v>3817.5</v>
          </cell>
          <cell r="KQ17">
            <v>-1535</v>
          </cell>
          <cell r="KR17">
            <v>-13155</v>
          </cell>
          <cell r="KS17">
            <v>-14336.5</v>
          </cell>
          <cell r="KT17">
            <v>8292</v>
          </cell>
          <cell r="KU17">
            <v>-75</v>
          </cell>
          <cell r="KV17">
            <v>19067.5</v>
          </cell>
          <cell r="KW17">
            <v>263.5</v>
          </cell>
          <cell r="KX17">
            <v>5395.5</v>
          </cell>
          <cell r="KY17">
            <v>-8532</v>
          </cell>
          <cell r="KZ17">
            <v>7118.5</v>
          </cell>
          <cell r="LA17">
            <v>12080</v>
          </cell>
          <cell r="LB17">
            <v>6734.5</v>
          </cell>
          <cell r="LC17">
            <v>-6917.5</v>
          </cell>
          <cell r="LD17">
            <v>-21936</v>
          </cell>
          <cell r="LE17">
            <v>1592</v>
          </cell>
          <cell r="LF17">
            <v>-1223.5</v>
          </cell>
          <cell r="LG17">
            <v>-3349.5</v>
          </cell>
          <cell r="LJ17">
            <v>7140</v>
          </cell>
          <cell r="LK17">
            <v>6125</v>
          </cell>
          <cell r="LL17">
            <v>-3770</v>
          </cell>
          <cell r="LM17">
            <v>-10950</v>
          </cell>
          <cell r="LN17">
            <v>16775</v>
          </cell>
          <cell r="LO17">
            <v>7850</v>
          </cell>
          <cell r="LP17">
            <v>20350</v>
          </cell>
          <cell r="LQ17">
            <v>18350</v>
          </cell>
          <cell r="LR17">
            <v>13475</v>
          </cell>
          <cell r="LS17">
            <v>5525</v>
          </cell>
          <cell r="LT17">
            <v>17425</v>
          </cell>
          <cell r="LU17">
            <v>15375</v>
          </cell>
          <cell r="LV17">
            <v>30975</v>
          </cell>
          <cell r="LW17">
            <v>9650</v>
          </cell>
          <cell r="LX17">
            <v>170471</v>
          </cell>
          <cell r="LY17">
            <v>5800</v>
          </cell>
          <cell r="LZ17">
            <v>1505</v>
          </cell>
          <cell r="MA17">
            <v>332071</v>
          </cell>
          <cell r="MD17">
            <v>9967.5</v>
          </cell>
          <cell r="ME17">
            <v>3440</v>
          </cell>
          <cell r="MF17">
            <v>-14405</v>
          </cell>
          <cell r="MG17">
            <v>-13286.5</v>
          </cell>
          <cell r="MH17">
            <v>10342</v>
          </cell>
          <cell r="MI17">
            <v>12525</v>
          </cell>
          <cell r="MJ17">
            <v>30042.5</v>
          </cell>
          <cell r="MK17">
            <v>16313.5</v>
          </cell>
          <cell r="ML17">
            <v>19370.5</v>
          </cell>
          <cell r="MM17">
            <v>-3257</v>
          </cell>
          <cell r="MN17">
            <v>12093.5</v>
          </cell>
          <cell r="MO17">
            <v>22630</v>
          </cell>
          <cell r="MP17">
            <v>17159.5</v>
          </cell>
          <cell r="MQ17">
            <v>-4617.5</v>
          </cell>
          <cell r="MR17">
            <v>55824.131999999998</v>
          </cell>
          <cell r="MS17">
            <v>10242</v>
          </cell>
          <cell r="MT17">
            <v>-1223.5</v>
          </cell>
          <cell r="MU17">
            <v>183160.63199999998</v>
          </cell>
          <cell r="MX17">
            <v>17107.5</v>
          </cell>
          <cell r="MY17">
            <v>9565</v>
          </cell>
          <cell r="MZ17">
            <v>-18175</v>
          </cell>
          <cell r="NA17">
            <v>-24236.5</v>
          </cell>
          <cell r="NB17">
            <v>27117</v>
          </cell>
          <cell r="NC17">
            <v>20375</v>
          </cell>
          <cell r="ND17">
            <v>50392.5</v>
          </cell>
          <cell r="NE17">
            <v>34663.5</v>
          </cell>
          <cell r="NF17">
            <v>32845.5</v>
          </cell>
          <cell r="NG17">
            <v>2268</v>
          </cell>
          <cell r="NH17">
            <v>29518.5</v>
          </cell>
          <cell r="NI17">
            <v>38005</v>
          </cell>
          <cell r="NJ17">
            <v>48134.5</v>
          </cell>
          <cell r="NK17">
            <v>5032.5</v>
          </cell>
          <cell r="NL17">
            <v>226295.13199999998</v>
          </cell>
          <cell r="NM17">
            <v>16042</v>
          </cell>
          <cell r="NN17">
            <v>281.5</v>
          </cell>
          <cell r="NO17">
            <v>515231.63199999998</v>
          </cell>
        </row>
        <row r="18">
          <cell r="B18">
            <v>0</v>
          </cell>
          <cell r="C18">
            <v>2000300</v>
          </cell>
          <cell r="D18">
            <v>0</v>
          </cell>
          <cell r="E18">
            <v>0</v>
          </cell>
          <cell r="F18">
            <v>1571300</v>
          </cell>
          <cell r="G18">
            <v>0</v>
          </cell>
          <cell r="H18">
            <v>1420000</v>
          </cell>
          <cell r="I18">
            <v>3097200</v>
          </cell>
          <cell r="J18">
            <v>3737875</v>
          </cell>
          <cell r="K18">
            <v>0</v>
          </cell>
          <cell r="L18">
            <v>0</v>
          </cell>
          <cell r="M18">
            <v>2102050</v>
          </cell>
          <cell r="N18">
            <v>24650</v>
          </cell>
          <cell r="O18">
            <v>1885600</v>
          </cell>
          <cell r="P18">
            <v>161530</v>
          </cell>
          <cell r="Q18">
            <v>0</v>
          </cell>
          <cell r="R18">
            <v>0</v>
          </cell>
          <cell r="S18">
            <v>16000505</v>
          </cell>
          <cell r="V18">
            <v>613940</v>
          </cell>
          <cell r="W18">
            <v>304150</v>
          </cell>
          <cell r="X18">
            <v>78100</v>
          </cell>
          <cell r="Y18">
            <v>291300</v>
          </cell>
          <cell r="Z18">
            <v>0</v>
          </cell>
          <cell r="AA18">
            <v>1962350</v>
          </cell>
          <cell r="AB18">
            <v>1432950</v>
          </cell>
          <cell r="AC18">
            <v>1284800</v>
          </cell>
          <cell r="AD18">
            <v>452150</v>
          </cell>
          <cell r="AE18">
            <v>1047175</v>
          </cell>
          <cell r="AF18">
            <v>2580925</v>
          </cell>
          <cell r="AG18">
            <v>618550</v>
          </cell>
          <cell r="AH18">
            <v>102250</v>
          </cell>
          <cell r="AI18">
            <v>1084800</v>
          </cell>
          <cell r="AJ18">
            <v>237295</v>
          </cell>
          <cell r="AK18">
            <v>1074850</v>
          </cell>
          <cell r="AL18">
            <v>438750</v>
          </cell>
          <cell r="AM18">
            <v>13604335</v>
          </cell>
          <cell r="AP18">
            <v>319200</v>
          </cell>
          <cell r="AQ18">
            <v>278000</v>
          </cell>
          <cell r="AR18">
            <v>-554000</v>
          </cell>
          <cell r="AS18">
            <v>-1730450</v>
          </cell>
          <cell r="AT18">
            <v>608250</v>
          </cell>
          <cell r="AU18">
            <v>1124400</v>
          </cell>
          <cell r="AV18">
            <v>401700</v>
          </cell>
          <cell r="AW18">
            <v>1084150</v>
          </cell>
          <cell r="AX18">
            <v>273675</v>
          </cell>
          <cell r="AY18">
            <v>0</v>
          </cell>
          <cell r="AZ18">
            <v>637550</v>
          </cell>
          <cell r="BA18">
            <v>781500</v>
          </cell>
          <cell r="BB18">
            <v>815250</v>
          </cell>
          <cell r="BC18">
            <v>303350</v>
          </cell>
          <cell r="BD18">
            <v>2803524</v>
          </cell>
          <cell r="BE18">
            <v>856950</v>
          </cell>
          <cell r="BF18">
            <v>237000</v>
          </cell>
          <cell r="BG18">
            <v>8240049</v>
          </cell>
          <cell r="BJ18">
            <v>402950</v>
          </cell>
          <cell r="BK18">
            <v>0</v>
          </cell>
          <cell r="BL18">
            <v>0</v>
          </cell>
          <cell r="BM18">
            <v>854800</v>
          </cell>
          <cell r="BN18">
            <v>0</v>
          </cell>
          <cell r="BO18">
            <v>0</v>
          </cell>
          <cell r="BP18">
            <v>0</v>
          </cell>
          <cell r="BQ18">
            <v>440650</v>
          </cell>
          <cell r="BR18">
            <v>0</v>
          </cell>
          <cell r="BS18">
            <v>0</v>
          </cell>
          <cell r="BT18">
            <v>0</v>
          </cell>
          <cell r="BU18">
            <v>309850</v>
          </cell>
          <cell r="BV18">
            <v>214850</v>
          </cell>
          <cell r="BW18">
            <v>300700</v>
          </cell>
          <cell r="BX18">
            <v>5029629</v>
          </cell>
          <cell r="BY18">
            <v>0</v>
          </cell>
          <cell r="BZ18">
            <v>-389000</v>
          </cell>
          <cell r="CA18">
            <v>7164429</v>
          </cell>
          <cell r="CD18">
            <v>3669050</v>
          </cell>
          <cell r="CE18">
            <v>1211675</v>
          </cell>
          <cell r="CF18">
            <v>1129130</v>
          </cell>
          <cell r="CG18">
            <v>4988400</v>
          </cell>
          <cell r="CH18">
            <v>1181475</v>
          </cell>
          <cell r="CI18">
            <v>1533100</v>
          </cell>
          <cell r="CJ18">
            <v>154700</v>
          </cell>
          <cell r="CK18">
            <v>1547550</v>
          </cell>
          <cell r="CL18">
            <v>652775</v>
          </cell>
          <cell r="CM18">
            <v>-90650</v>
          </cell>
          <cell r="CN18">
            <v>2163700</v>
          </cell>
          <cell r="CO18">
            <v>2294425</v>
          </cell>
          <cell r="CP18">
            <v>7787875</v>
          </cell>
          <cell r="CQ18">
            <v>2778900</v>
          </cell>
          <cell r="CR18">
            <v>21896852</v>
          </cell>
          <cell r="CS18">
            <v>0</v>
          </cell>
          <cell r="CT18">
            <v>-97345</v>
          </cell>
          <cell r="CU18">
            <v>52801612</v>
          </cell>
          <cell r="CX18">
            <v>0</v>
          </cell>
          <cell r="CY18">
            <v>0</v>
          </cell>
          <cell r="CZ18">
            <v>1186000</v>
          </cell>
          <cell r="DA18">
            <v>3400000</v>
          </cell>
          <cell r="DB18">
            <v>838750</v>
          </cell>
          <cell r="DC18">
            <v>0</v>
          </cell>
          <cell r="DD18">
            <v>0</v>
          </cell>
          <cell r="DE18">
            <v>250000</v>
          </cell>
          <cell r="DF18">
            <v>0</v>
          </cell>
          <cell r="DG18">
            <v>0</v>
          </cell>
          <cell r="DH18">
            <v>668250</v>
          </cell>
          <cell r="DI18">
            <v>0</v>
          </cell>
          <cell r="DJ18">
            <v>3559700</v>
          </cell>
          <cell r="DK18">
            <v>2046000</v>
          </cell>
          <cell r="DL18">
            <v>11044496</v>
          </cell>
          <cell r="DM18">
            <v>200000</v>
          </cell>
          <cell r="DN18">
            <v>366100</v>
          </cell>
          <cell r="DO18">
            <v>23559296</v>
          </cell>
          <cell r="DR18">
            <v>704650</v>
          </cell>
          <cell r="DS18">
            <v>1506575</v>
          </cell>
          <cell r="DT18">
            <v>0</v>
          </cell>
          <cell r="DU18">
            <v>0</v>
          </cell>
          <cell r="DV18">
            <v>1192800</v>
          </cell>
          <cell r="DW18">
            <v>1893550</v>
          </cell>
          <cell r="DX18">
            <v>916800</v>
          </cell>
          <cell r="DY18">
            <v>2212350</v>
          </cell>
          <cell r="DZ18">
            <v>2841950</v>
          </cell>
          <cell r="EA18">
            <v>1107575</v>
          </cell>
          <cell r="EB18">
            <v>0</v>
          </cell>
          <cell r="EC18">
            <v>2282000</v>
          </cell>
          <cell r="ED18">
            <v>1028900</v>
          </cell>
          <cell r="EE18">
            <v>132300</v>
          </cell>
          <cell r="EF18">
            <v>-769347.86800000002</v>
          </cell>
          <cell r="EG18">
            <v>939850</v>
          </cell>
          <cell r="EH18">
            <v>0</v>
          </cell>
          <cell r="EI18">
            <v>15989952.131999999</v>
          </cell>
          <cell r="EL18">
            <v>1750000</v>
          </cell>
          <cell r="EM18">
            <v>1031300</v>
          </cell>
          <cell r="EN18">
            <v>0</v>
          </cell>
          <cell r="EO18">
            <v>115050</v>
          </cell>
          <cell r="EP18">
            <v>1319250</v>
          </cell>
          <cell r="EQ18">
            <v>3123050</v>
          </cell>
          <cell r="ER18">
            <v>1123525</v>
          </cell>
          <cell r="ES18">
            <v>1224000</v>
          </cell>
          <cell r="ET18">
            <v>5187025</v>
          </cell>
          <cell r="EU18">
            <v>2027700</v>
          </cell>
          <cell r="EV18">
            <v>3325</v>
          </cell>
          <cell r="EW18">
            <v>446550</v>
          </cell>
          <cell r="EX18">
            <v>-712025</v>
          </cell>
          <cell r="EY18">
            <v>1072300</v>
          </cell>
          <cell r="EZ18">
            <v>820050</v>
          </cell>
          <cell r="FA18">
            <v>1064800</v>
          </cell>
          <cell r="FB18">
            <v>0</v>
          </cell>
          <cell r="FC18">
            <v>19595900</v>
          </cell>
          <cell r="FF18">
            <v>801500</v>
          </cell>
          <cell r="FG18">
            <v>1221100</v>
          </cell>
          <cell r="FH18">
            <v>-301250</v>
          </cell>
          <cell r="FI18">
            <v>0</v>
          </cell>
          <cell r="FJ18">
            <v>0</v>
          </cell>
          <cell r="FK18">
            <v>0</v>
          </cell>
          <cell r="FL18">
            <v>2925650</v>
          </cell>
          <cell r="FM18">
            <v>2287700</v>
          </cell>
          <cell r="FN18">
            <v>2200000</v>
          </cell>
          <cell r="FO18">
            <v>0</v>
          </cell>
          <cell r="FP18">
            <v>751650</v>
          </cell>
          <cell r="FQ18">
            <v>2302000</v>
          </cell>
          <cell r="FR18">
            <v>-1695450</v>
          </cell>
          <cell r="FS18">
            <v>581700</v>
          </cell>
          <cell r="FT18">
            <v>-917802</v>
          </cell>
          <cell r="FU18">
            <v>0</v>
          </cell>
          <cell r="FV18">
            <v>0</v>
          </cell>
          <cell r="FW18">
            <v>10156798</v>
          </cell>
          <cell r="FZ18">
            <v>2402950</v>
          </cell>
          <cell r="GA18">
            <v>115100</v>
          </cell>
          <cell r="GB18">
            <v>0</v>
          </cell>
          <cell r="GC18">
            <v>-4500000</v>
          </cell>
          <cell r="GD18">
            <v>85425</v>
          </cell>
          <cell r="GE18">
            <v>1382400</v>
          </cell>
          <cell r="GF18">
            <v>606550</v>
          </cell>
          <cell r="GG18">
            <v>2476700</v>
          </cell>
          <cell r="GH18">
            <v>4945175</v>
          </cell>
          <cell r="GI18">
            <v>1254800</v>
          </cell>
          <cell r="GJ18">
            <v>1604050</v>
          </cell>
          <cell r="GK18">
            <v>3826700</v>
          </cell>
          <cell r="GL18">
            <v>3929375</v>
          </cell>
          <cell r="GM18">
            <v>-2456800</v>
          </cell>
          <cell r="GN18">
            <v>5440920.7539999997</v>
          </cell>
          <cell r="GO18">
            <v>1173150</v>
          </cell>
          <cell r="GP18">
            <v>0</v>
          </cell>
          <cell r="GQ18">
            <v>22286495.754000001</v>
          </cell>
          <cell r="GT18">
            <v>-5748250</v>
          </cell>
          <cell r="GU18">
            <v>309222.5</v>
          </cell>
          <cell r="GV18">
            <v>-2299299.5</v>
          </cell>
          <cell r="GW18">
            <v>-6828543</v>
          </cell>
          <cell r="GX18">
            <v>-726659.5</v>
          </cell>
          <cell r="GY18">
            <v>-1198528.5</v>
          </cell>
          <cell r="GZ18">
            <v>-2532239</v>
          </cell>
          <cell r="HA18">
            <v>-5331398</v>
          </cell>
          <cell r="HB18">
            <v>-3539892.5</v>
          </cell>
          <cell r="HC18">
            <v>-4523968.5</v>
          </cell>
          <cell r="HD18">
            <v>-2139709.5</v>
          </cell>
          <cell r="HE18">
            <v>-2772565.5</v>
          </cell>
          <cell r="HF18">
            <v>-4940407.5</v>
          </cell>
          <cell r="HG18">
            <v>-13617319.5</v>
          </cell>
          <cell r="HH18">
            <v>4449220.5</v>
          </cell>
          <cell r="HI18">
            <v>-1875945.5</v>
          </cell>
          <cell r="HJ18">
            <v>-2302819.5</v>
          </cell>
          <cell r="HK18">
            <v>-55619102.5</v>
          </cell>
          <cell r="HN18">
            <v>1645137.5</v>
          </cell>
          <cell r="HO18">
            <v>1143302.5</v>
          </cell>
          <cell r="HP18">
            <v>614704.5</v>
          </cell>
          <cell r="HQ18">
            <v>4845786.5</v>
          </cell>
          <cell r="HR18">
            <v>2844826.5</v>
          </cell>
          <cell r="HS18">
            <v>3718513.5</v>
          </cell>
          <cell r="HT18">
            <v>2480096.5</v>
          </cell>
          <cell r="HU18">
            <v>8182301.5</v>
          </cell>
          <cell r="HV18">
            <v>11089373</v>
          </cell>
          <cell r="HW18">
            <v>2461576.5</v>
          </cell>
          <cell r="HX18">
            <v>4789038</v>
          </cell>
          <cell r="HY18">
            <v>3258785.5</v>
          </cell>
          <cell r="HZ18">
            <v>9380847</v>
          </cell>
          <cell r="IA18">
            <v>5452902</v>
          </cell>
          <cell r="IB18">
            <v>20021208.5</v>
          </cell>
          <cell r="IC18">
            <v>1891127.5</v>
          </cell>
          <cell r="ID18">
            <v>1462536</v>
          </cell>
          <cell r="IE18">
            <v>85282063</v>
          </cell>
          <cell r="IH18">
            <v>933140</v>
          </cell>
          <cell r="II18">
            <v>2582450</v>
          </cell>
          <cell r="IJ18">
            <v>-475900</v>
          </cell>
          <cell r="IK18">
            <v>-1439150</v>
          </cell>
          <cell r="IL18">
            <v>2179550</v>
          </cell>
          <cell r="IM18">
            <v>3086750</v>
          </cell>
          <cell r="IN18">
            <v>3254650</v>
          </cell>
          <cell r="IO18">
            <v>5466150</v>
          </cell>
          <cell r="IP18">
            <v>4463700</v>
          </cell>
          <cell r="IQ18">
            <v>1047175</v>
          </cell>
          <cell r="IR18">
            <v>3218475</v>
          </cell>
          <cell r="IS18">
            <v>3502100</v>
          </cell>
          <cell r="IT18">
            <v>942150</v>
          </cell>
          <cell r="IU18">
            <v>3273750</v>
          </cell>
          <cell r="IV18">
            <v>3202349</v>
          </cell>
          <cell r="IW18">
            <v>1931800</v>
          </cell>
          <cell r="IX18">
            <v>675750</v>
          </cell>
          <cell r="IY18">
            <v>37844889</v>
          </cell>
          <cell r="JB18">
            <v>4072000</v>
          </cell>
          <cell r="JC18">
            <v>1211675</v>
          </cell>
          <cell r="JD18">
            <v>2315130</v>
          </cell>
          <cell r="JE18">
            <v>9243200</v>
          </cell>
          <cell r="JF18">
            <v>2020225</v>
          </cell>
          <cell r="JG18">
            <v>1533100</v>
          </cell>
          <cell r="JH18">
            <v>154700</v>
          </cell>
          <cell r="JI18">
            <v>2238200</v>
          </cell>
          <cell r="JJ18">
            <v>652775</v>
          </cell>
          <cell r="JK18">
            <v>-90650</v>
          </cell>
          <cell r="JL18">
            <v>2831950</v>
          </cell>
          <cell r="JM18">
            <v>2604275</v>
          </cell>
          <cell r="JN18">
            <v>11562425</v>
          </cell>
          <cell r="JO18">
            <v>5125600</v>
          </cell>
          <cell r="JP18">
            <v>37970977</v>
          </cell>
          <cell r="JQ18">
            <v>200000</v>
          </cell>
          <cell r="JR18">
            <v>-120245</v>
          </cell>
          <cell r="JS18">
            <v>83525337</v>
          </cell>
          <cell r="JV18">
            <v>3256150</v>
          </cell>
          <cell r="JW18">
            <v>3758975</v>
          </cell>
          <cell r="JX18">
            <v>-301250</v>
          </cell>
          <cell r="JY18">
            <v>115050</v>
          </cell>
          <cell r="JZ18">
            <v>2512050</v>
          </cell>
          <cell r="KA18">
            <v>5016600</v>
          </cell>
          <cell r="KB18">
            <v>4965975</v>
          </cell>
          <cell r="KC18">
            <v>5724050</v>
          </cell>
          <cell r="KD18">
            <v>10228975</v>
          </cell>
          <cell r="KE18">
            <v>3135275</v>
          </cell>
          <cell r="KF18">
            <v>754975</v>
          </cell>
          <cell r="KG18">
            <v>5030550</v>
          </cell>
          <cell r="KH18">
            <v>-1378575</v>
          </cell>
          <cell r="KI18">
            <v>1786300</v>
          </cell>
          <cell r="KJ18">
            <v>-867099.86800000002</v>
          </cell>
          <cell r="KK18">
            <v>2004650</v>
          </cell>
          <cell r="KL18">
            <v>0</v>
          </cell>
          <cell r="KM18">
            <v>45742650.131999999</v>
          </cell>
          <cell r="KP18">
            <v>-1700162.5</v>
          </cell>
          <cell r="KQ18">
            <v>1567625</v>
          </cell>
          <cell r="KR18">
            <v>-1684595</v>
          </cell>
          <cell r="KS18">
            <v>-6482756.5</v>
          </cell>
          <cell r="KT18">
            <v>2203592</v>
          </cell>
          <cell r="KU18">
            <v>3902385</v>
          </cell>
          <cell r="KV18">
            <v>554407.5</v>
          </cell>
          <cell r="KW18">
            <v>5327603.5</v>
          </cell>
          <cell r="KX18">
            <v>12494655.5</v>
          </cell>
          <cell r="KY18">
            <v>-807592</v>
          </cell>
          <cell r="KZ18">
            <v>4253378.5</v>
          </cell>
          <cell r="LA18">
            <v>4312920</v>
          </cell>
          <cell r="LB18">
            <v>8369814.5</v>
          </cell>
          <cell r="LC18">
            <v>-10621217.5</v>
          </cell>
          <cell r="LD18">
            <v>29911349.754000001</v>
          </cell>
          <cell r="LE18">
            <v>1188332</v>
          </cell>
          <cell r="LF18">
            <v>-840283.5</v>
          </cell>
          <cell r="LG18">
            <v>51949456.254000001</v>
          </cell>
          <cell r="LJ18">
            <v>5005140</v>
          </cell>
          <cell r="LK18">
            <v>3794125</v>
          </cell>
          <cell r="LL18">
            <v>1839230</v>
          </cell>
          <cell r="LM18">
            <v>7804050</v>
          </cell>
          <cell r="LN18">
            <v>4199775</v>
          </cell>
          <cell r="LO18">
            <v>4619850</v>
          </cell>
          <cell r="LP18">
            <v>3409350</v>
          </cell>
          <cell r="LQ18">
            <v>7704350</v>
          </cell>
          <cell r="LR18">
            <v>5116475</v>
          </cell>
          <cell r="LS18">
            <v>956525</v>
          </cell>
          <cell r="LT18">
            <v>6050425</v>
          </cell>
          <cell r="LU18">
            <v>6106375</v>
          </cell>
          <cell r="LV18">
            <v>12504575</v>
          </cell>
          <cell r="LW18">
            <v>8399350</v>
          </cell>
          <cell r="LX18">
            <v>41173326</v>
          </cell>
          <cell r="LY18">
            <v>2131800</v>
          </cell>
          <cell r="LZ18">
            <v>555505</v>
          </cell>
          <cell r="MA18">
            <v>121370226</v>
          </cell>
          <cell r="MD18">
            <v>1555987.5</v>
          </cell>
          <cell r="ME18">
            <v>5326600</v>
          </cell>
          <cell r="MF18">
            <v>-1985845</v>
          </cell>
          <cell r="MG18">
            <v>-6367706.5</v>
          </cell>
          <cell r="MH18">
            <v>4715642</v>
          </cell>
          <cell r="MI18">
            <v>8918985</v>
          </cell>
          <cell r="MJ18">
            <v>5520382.5</v>
          </cell>
          <cell r="MK18">
            <v>11051653.5</v>
          </cell>
          <cell r="ML18">
            <v>22723630.5</v>
          </cell>
          <cell r="MM18">
            <v>2327683</v>
          </cell>
          <cell r="MN18">
            <v>5008353.5</v>
          </cell>
          <cell r="MO18">
            <v>9343470</v>
          </cell>
          <cell r="MP18">
            <v>6991239.5</v>
          </cell>
          <cell r="MQ18">
            <v>-8834917.5</v>
          </cell>
          <cell r="MR18">
            <v>29044249.886</v>
          </cell>
          <cell r="MS18">
            <v>3192982</v>
          </cell>
          <cell r="MT18">
            <v>-840283.5</v>
          </cell>
          <cell r="MU18">
            <v>97692106.386000007</v>
          </cell>
          <cell r="MX18">
            <v>6561127.5</v>
          </cell>
          <cell r="MY18">
            <v>9120725</v>
          </cell>
          <cell r="MZ18">
            <v>-146615</v>
          </cell>
          <cell r="NA18">
            <v>1436343.5</v>
          </cell>
          <cell r="NB18">
            <v>8915417</v>
          </cell>
          <cell r="NC18">
            <v>13538835</v>
          </cell>
          <cell r="ND18">
            <v>8929732.5</v>
          </cell>
          <cell r="NE18">
            <v>18756003.5</v>
          </cell>
          <cell r="NF18">
            <v>27840105.5</v>
          </cell>
          <cell r="NG18">
            <v>3284208</v>
          </cell>
          <cell r="NH18">
            <v>11058778.5</v>
          </cell>
          <cell r="NI18">
            <v>15449845</v>
          </cell>
          <cell r="NJ18">
            <v>19495814.5</v>
          </cell>
          <cell r="NK18">
            <v>-435567.5</v>
          </cell>
          <cell r="NL18">
            <v>70217575.886000007</v>
          </cell>
          <cell r="NM18">
            <v>5324782</v>
          </cell>
          <cell r="NN18">
            <v>-284778.5</v>
          </cell>
          <cell r="NO18">
            <v>219062332.38600004</v>
          </cell>
        </row>
        <row r="21">
          <cell r="B21" t="str">
            <v>KDK Bdl</v>
          </cell>
          <cell r="C21" t="str">
            <v>BTM</v>
          </cell>
          <cell r="D21" t="str">
            <v>Cn</v>
          </cell>
          <cell r="E21" t="str">
            <v>KDK Bd</v>
          </cell>
          <cell r="F21" t="str">
            <v>KDK Bjm</v>
          </cell>
          <cell r="G21" t="str">
            <v>KDK Bpp</v>
          </cell>
          <cell r="H21" t="str">
            <v>KDK Dpr</v>
          </cell>
          <cell r="I21" t="str">
            <v>KDK Mdn</v>
          </cell>
          <cell r="J21" t="str">
            <v>KDK Mks</v>
          </cell>
          <cell r="K21" t="str">
            <v>KDK Mo</v>
          </cell>
          <cell r="L21" t="str">
            <v>KDK Pbr</v>
          </cell>
          <cell r="M21" t="str">
            <v>KDK Pg</v>
          </cell>
          <cell r="N21" t="str">
            <v>KDK Sb</v>
          </cell>
          <cell r="O21" t="str">
            <v>KDK Sm</v>
          </cell>
          <cell r="P21" t="str">
            <v>PgUK</v>
          </cell>
          <cell r="Q21" t="str">
            <v>PTK</v>
          </cell>
          <cell r="R21" t="str">
            <v>Sr</v>
          </cell>
          <cell r="S21" t="str">
            <v>TOTAL NAS</v>
          </cell>
          <cell r="V21" t="str">
            <v>KDK Bdl</v>
          </cell>
          <cell r="W21" t="str">
            <v>BTM</v>
          </cell>
          <cell r="X21" t="str">
            <v>Cn</v>
          </cell>
          <cell r="Y21" t="str">
            <v>KDK Bd</v>
          </cell>
          <cell r="Z21" t="str">
            <v>KDK Bjm</v>
          </cell>
          <cell r="AA21" t="str">
            <v>KDK Bpp</v>
          </cell>
          <cell r="AB21" t="str">
            <v>KDK Dpr</v>
          </cell>
          <cell r="AC21" t="str">
            <v>KDK Mdn</v>
          </cell>
          <cell r="AD21" t="str">
            <v>KDK Mks</v>
          </cell>
          <cell r="AE21" t="str">
            <v>KDK Mo</v>
          </cell>
          <cell r="AF21" t="str">
            <v>KDK Pbr</v>
          </cell>
          <cell r="AG21" t="str">
            <v>KDK Pg</v>
          </cell>
          <cell r="AH21" t="str">
            <v>KDK Sb</v>
          </cell>
          <cell r="AI21" t="str">
            <v>KDK Sm</v>
          </cell>
          <cell r="AJ21" t="str">
            <v>PgUK</v>
          </cell>
          <cell r="AK21" t="str">
            <v>PTK</v>
          </cell>
          <cell r="AL21" t="str">
            <v>Sr</v>
          </cell>
          <cell r="AM21" t="str">
            <v>TOTAL NAS</v>
          </cell>
          <cell r="AP21" t="str">
            <v>KDK Bdl</v>
          </cell>
          <cell r="AQ21" t="str">
            <v>BTM</v>
          </cell>
          <cell r="AR21" t="str">
            <v>Cn</v>
          </cell>
          <cell r="AS21" t="str">
            <v>KDK Bd</v>
          </cell>
          <cell r="AT21" t="str">
            <v>KDK Bjm</v>
          </cell>
          <cell r="AU21" t="str">
            <v>KDK Bpp</v>
          </cell>
          <cell r="AV21" t="str">
            <v>KDK Dpr</v>
          </cell>
          <cell r="AW21" t="str">
            <v>KDK Mdn</v>
          </cell>
          <cell r="AX21" t="str">
            <v>KDK Mks</v>
          </cell>
          <cell r="AY21" t="str">
            <v>KDK Mo</v>
          </cell>
          <cell r="AZ21" t="str">
            <v>KDK Pbr</v>
          </cell>
          <cell r="BA21" t="str">
            <v>KDK Pg</v>
          </cell>
          <cell r="BB21" t="str">
            <v>KDK Sb</v>
          </cell>
          <cell r="BC21" t="str">
            <v>KDK Sm</v>
          </cell>
          <cell r="BD21" t="str">
            <v>PgUK</v>
          </cell>
          <cell r="BE21" t="str">
            <v>PTK</v>
          </cell>
          <cell r="BF21" t="str">
            <v>Sr</v>
          </cell>
          <cell r="BG21" t="str">
            <v>TOTAL NAS</v>
          </cell>
          <cell r="BJ21" t="str">
            <v>KDK Bdl</v>
          </cell>
          <cell r="BK21" t="str">
            <v>BTM</v>
          </cell>
          <cell r="BL21" t="str">
            <v>Cn</v>
          </cell>
          <cell r="BM21" t="str">
            <v>KDK Bd</v>
          </cell>
          <cell r="BN21" t="str">
            <v>KDK Bjm</v>
          </cell>
          <cell r="BO21" t="str">
            <v>KDK Bpp</v>
          </cell>
          <cell r="BP21" t="str">
            <v>KDK Dpr</v>
          </cell>
          <cell r="BQ21" t="str">
            <v>KDK Mdn</v>
          </cell>
          <cell r="BR21" t="str">
            <v>KDK Mks</v>
          </cell>
          <cell r="BS21" t="str">
            <v>KDK Mo</v>
          </cell>
          <cell r="BT21" t="str">
            <v>KDK Pbr</v>
          </cell>
          <cell r="BU21" t="str">
            <v>KDK Pg</v>
          </cell>
          <cell r="BV21" t="str">
            <v>KDK Sb</v>
          </cell>
          <cell r="BW21" t="str">
            <v>KDK Sm</v>
          </cell>
          <cell r="BX21" t="str">
            <v>PgUK</v>
          </cell>
          <cell r="BY21" t="str">
            <v>PTK</v>
          </cell>
          <cell r="BZ21" t="str">
            <v>Sr</v>
          </cell>
          <cell r="CA21" t="str">
            <v>TOTAL NAS</v>
          </cell>
          <cell r="CD21" t="str">
            <v>KDK Bdl</v>
          </cell>
          <cell r="CE21" t="str">
            <v>BTM</v>
          </cell>
          <cell r="CF21" t="str">
            <v>Cn</v>
          </cell>
          <cell r="CG21" t="str">
            <v>KDK Bd</v>
          </cell>
          <cell r="CH21" t="str">
            <v>KDK Bjm</v>
          </cell>
          <cell r="CI21" t="str">
            <v>KDK Bpp</v>
          </cell>
          <cell r="CJ21" t="str">
            <v>KDK Dpr</v>
          </cell>
          <cell r="CK21" t="str">
            <v>KDK Mdn</v>
          </cell>
          <cell r="CL21" t="str">
            <v>KDK Mks</v>
          </cell>
          <cell r="CM21" t="str">
            <v>KDK Mo</v>
          </cell>
          <cell r="CN21" t="str">
            <v>KDK Pbr</v>
          </cell>
          <cell r="CO21" t="str">
            <v>KDK Pg</v>
          </cell>
          <cell r="CP21" t="str">
            <v>KDK Sb</v>
          </cell>
          <cell r="CQ21" t="str">
            <v>KDK Sm</v>
          </cell>
          <cell r="CR21" t="str">
            <v>PgUK</v>
          </cell>
          <cell r="CS21" t="str">
            <v>PTK</v>
          </cell>
          <cell r="CT21" t="str">
            <v>Sr</v>
          </cell>
          <cell r="CU21" t="str">
            <v>TOTAL NAS</v>
          </cell>
          <cell r="CX21" t="str">
            <v>KDK Bdl</v>
          </cell>
          <cell r="CY21" t="str">
            <v>BTM</v>
          </cell>
          <cell r="CZ21" t="str">
            <v>Cn</v>
          </cell>
          <cell r="DA21" t="str">
            <v>KDK Bd</v>
          </cell>
          <cell r="DB21" t="str">
            <v>KDK Bjm</v>
          </cell>
          <cell r="DC21" t="str">
            <v>KDK Bpp</v>
          </cell>
          <cell r="DD21" t="str">
            <v>KDK Dpr</v>
          </cell>
          <cell r="DE21" t="str">
            <v>KDK Mdn</v>
          </cell>
          <cell r="DF21" t="str">
            <v>KDK Mks</v>
          </cell>
          <cell r="DG21" t="str">
            <v>KDK Mo</v>
          </cell>
          <cell r="DH21" t="str">
            <v>KDK Pbr</v>
          </cell>
          <cell r="DI21" t="str">
            <v>KDK Pg</v>
          </cell>
          <cell r="DJ21" t="str">
            <v>KDK Sb</v>
          </cell>
          <cell r="DK21" t="str">
            <v>KDK Sm</v>
          </cell>
          <cell r="DL21" t="str">
            <v>PgUK</v>
          </cell>
          <cell r="DM21" t="str">
            <v>PTK</v>
          </cell>
          <cell r="DN21" t="str">
            <v>Sr</v>
          </cell>
          <cell r="DO21" t="str">
            <v>TOTAL NAS</v>
          </cell>
          <cell r="DR21" t="str">
            <v>KDK Bdl</v>
          </cell>
          <cell r="DS21" t="str">
            <v>BTM</v>
          </cell>
          <cell r="DT21" t="str">
            <v>Cn</v>
          </cell>
          <cell r="DU21" t="str">
            <v>KDK Bd</v>
          </cell>
          <cell r="DV21" t="str">
            <v>KDK Bjm</v>
          </cell>
          <cell r="DW21" t="str">
            <v>KDK Bpp</v>
          </cell>
          <cell r="DX21" t="str">
            <v>KDK Dpr</v>
          </cell>
          <cell r="DY21" t="str">
            <v>KDK Mdn</v>
          </cell>
          <cell r="DZ21" t="str">
            <v>KDK Mks</v>
          </cell>
          <cell r="EA21" t="str">
            <v>KDK Mo</v>
          </cell>
          <cell r="EB21" t="str">
            <v>KDK Pbr</v>
          </cell>
          <cell r="EC21" t="str">
            <v>KDK Pg</v>
          </cell>
          <cell r="ED21" t="str">
            <v>KDK Sb</v>
          </cell>
          <cell r="EE21" t="str">
            <v>KDK Sm</v>
          </cell>
          <cell r="EF21" t="str">
            <v>PgUK</v>
          </cell>
          <cell r="EG21" t="str">
            <v>PTK</v>
          </cell>
          <cell r="EH21" t="str">
            <v>Sr</v>
          </cell>
          <cell r="EI21" t="str">
            <v>TOTAL NAS</v>
          </cell>
        </row>
        <row r="22">
          <cell r="B22">
            <v>500000</v>
          </cell>
          <cell r="C22">
            <v>1400000</v>
          </cell>
          <cell r="D22">
            <v>0</v>
          </cell>
          <cell r="E22">
            <v>-1800000</v>
          </cell>
          <cell r="F22">
            <v>1500000</v>
          </cell>
          <cell r="G22">
            <v>1400000</v>
          </cell>
          <cell r="H22">
            <v>1800000</v>
          </cell>
          <cell r="I22">
            <v>2000000</v>
          </cell>
          <cell r="J22">
            <v>1800000</v>
          </cell>
          <cell r="K22">
            <v>400000</v>
          </cell>
          <cell r="L22">
            <v>1600000</v>
          </cell>
          <cell r="M22">
            <v>1800000</v>
          </cell>
          <cell r="N22">
            <v>400000</v>
          </cell>
          <cell r="O22">
            <v>-200000</v>
          </cell>
          <cell r="P22">
            <v>3827986</v>
          </cell>
          <cell r="Q22">
            <v>1000000</v>
          </cell>
          <cell r="R22">
            <v>70000</v>
          </cell>
          <cell r="S22">
            <v>17497986</v>
          </cell>
          <cell r="V22">
            <v>3690000</v>
          </cell>
          <cell r="W22">
            <v>2100000</v>
          </cell>
          <cell r="X22">
            <v>700000</v>
          </cell>
          <cell r="Y22">
            <v>2230000</v>
          </cell>
          <cell r="Z22">
            <v>1500000</v>
          </cell>
          <cell r="AA22">
            <v>1800000</v>
          </cell>
          <cell r="AB22">
            <v>1800000</v>
          </cell>
          <cell r="AC22">
            <v>3200000</v>
          </cell>
          <cell r="AD22">
            <v>1800000</v>
          </cell>
          <cell r="AE22">
            <v>300000</v>
          </cell>
          <cell r="AF22">
            <v>2920000</v>
          </cell>
          <cell r="AG22">
            <v>3680000</v>
          </cell>
          <cell r="AH22">
            <v>5300000</v>
          </cell>
          <cell r="AI22">
            <v>2400000</v>
          </cell>
          <cell r="AJ22">
            <v>16045986</v>
          </cell>
          <cell r="AK22">
            <v>1000000</v>
          </cell>
          <cell r="AL22">
            <v>-630000</v>
          </cell>
          <cell r="AM22">
            <v>49835986</v>
          </cell>
          <cell r="AP22">
            <v>4090000</v>
          </cell>
          <cell r="AQ22">
            <v>3100000</v>
          </cell>
          <cell r="AR22">
            <v>1800000</v>
          </cell>
          <cell r="AS22">
            <v>4730000</v>
          </cell>
          <cell r="AT22">
            <v>2900000</v>
          </cell>
          <cell r="AU22">
            <v>3200000</v>
          </cell>
          <cell r="AV22">
            <v>2400000</v>
          </cell>
          <cell r="AW22">
            <v>4800000</v>
          </cell>
          <cell r="AX22">
            <v>3600000</v>
          </cell>
          <cell r="AY22">
            <v>1100000</v>
          </cell>
          <cell r="AZ22">
            <v>3520000</v>
          </cell>
          <cell r="BA22">
            <v>5220000</v>
          </cell>
          <cell r="BB22">
            <v>9400000</v>
          </cell>
          <cell r="BC22">
            <v>4426000</v>
          </cell>
          <cell r="BD22">
            <v>24403986</v>
          </cell>
          <cell r="BE22">
            <v>1800000</v>
          </cell>
          <cell r="BF22">
            <v>70000</v>
          </cell>
          <cell r="BG22">
            <v>80559986</v>
          </cell>
          <cell r="BJ22">
            <v>4090000</v>
          </cell>
          <cell r="BK22">
            <v>3100000</v>
          </cell>
          <cell r="BL22">
            <v>1800000</v>
          </cell>
          <cell r="BM22">
            <v>4730000</v>
          </cell>
          <cell r="BN22">
            <v>3700000</v>
          </cell>
          <cell r="BO22">
            <v>3800000</v>
          </cell>
          <cell r="BP22">
            <v>2400000</v>
          </cell>
          <cell r="BQ22">
            <v>4800000</v>
          </cell>
          <cell r="BR22">
            <v>5800000</v>
          </cell>
          <cell r="BS22">
            <v>1700000</v>
          </cell>
          <cell r="BT22">
            <v>3520000</v>
          </cell>
          <cell r="BU22">
            <v>5420000</v>
          </cell>
          <cell r="BV22">
            <v>7800000</v>
          </cell>
          <cell r="BW22">
            <v>4426000</v>
          </cell>
          <cell r="BX22">
            <v>24871986</v>
          </cell>
          <cell r="BY22">
            <v>1800000</v>
          </cell>
          <cell r="BZ22">
            <v>70000</v>
          </cell>
          <cell r="CA22">
            <v>83827986</v>
          </cell>
          <cell r="CD22">
            <v>4490000</v>
          </cell>
          <cell r="CE22">
            <v>4300000</v>
          </cell>
          <cell r="CF22">
            <v>1500000</v>
          </cell>
          <cell r="CG22">
            <v>4730000</v>
          </cell>
          <cell r="CH22">
            <v>3700000</v>
          </cell>
          <cell r="CI22">
            <v>3800000</v>
          </cell>
          <cell r="CJ22">
            <v>3400000</v>
          </cell>
          <cell r="CK22">
            <v>5200000</v>
          </cell>
          <cell r="CL22">
            <v>8000000</v>
          </cell>
          <cell r="CM22">
            <v>1700000</v>
          </cell>
          <cell r="CN22">
            <v>3720000</v>
          </cell>
          <cell r="CO22">
            <v>5420000</v>
          </cell>
          <cell r="CP22">
            <v>5600000</v>
          </cell>
          <cell r="CQ22">
            <v>4426000</v>
          </cell>
          <cell r="CR22">
            <v>23879986</v>
          </cell>
          <cell r="CS22">
            <v>1800000</v>
          </cell>
          <cell r="CT22">
            <v>70000</v>
          </cell>
          <cell r="CU22">
            <v>85735986</v>
          </cell>
          <cell r="CX22">
            <v>6690000</v>
          </cell>
          <cell r="CY22">
            <v>4300000</v>
          </cell>
          <cell r="CZ22">
            <v>1500000</v>
          </cell>
          <cell r="DA22">
            <v>1730000</v>
          </cell>
          <cell r="DB22">
            <v>3700000</v>
          </cell>
          <cell r="DC22">
            <v>4400000</v>
          </cell>
          <cell r="DD22">
            <v>4000000</v>
          </cell>
          <cell r="DE22">
            <v>6600000</v>
          </cell>
          <cell r="DF22">
            <v>11400000</v>
          </cell>
          <cell r="DG22">
            <v>2100000</v>
          </cell>
          <cell r="DH22">
            <v>4720000</v>
          </cell>
          <cell r="DI22">
            <v>8020000</v>
          </cell>
          <cell r="DJ22">
            <v>8900000</v>
          </cell>
          <cell r="DK22">
            <v>2426000</v>
          </cell>
          <cell r="DL22">
            <v>28025966.300000001</v>
          </cell>
          <cell r="DM22">
            <v>2550000</v>
          </cell>
          <cell r="DN22">
            <v>70000</v>
          </cell>
          <cell r="DO22">
            <v>101131966.3</v>
          </cell>
          <cell r="DR22">
            <v>4430000</v>
          </cell>
          <cell r="DS22">
            <v>4924000</v>
          </cell>
          <cell r="DT22">
            <v>610000</v>
          </cell>
          <cell r="DU22">
            <v>-1330000</v>
          </cell>
          <cell r="DV22">
            <v>3660000</v>
          </cell>
          <cell r="DW22">
            <v>5798000</v>
          </cell>
          <cell r="DX22">
            <v>3814000</v>
          </cell>
          <cell r="DY22">
            <v>6620000</v>
          </cell>
          <cell r="DZ22">
            <v>10506000</v>
          </cell>
          <cell r="EA22">
            <v>522000</v>
          </cell>
          <cell r="EB22">
            <v>4726000</v>
          </cell>
          <cell r="EC22">
            <v>9366000</v>
          </cell>
          <cell r="ED22">
            <v>10098000</v>
          </cell>
          <cell r="EE22">
            <v>-1514000</v>
          </cell>
          <cell r="EF22">
            <v>34885966.299999997</v>
          </cell>
          <cell r="EG22">
            <v>2464000</v>
          </cell>
          <cell r="EH22">
            <v>-660000</v>
          </cell>
          <cell r="EI22">
            <v>98919966.299999997</v>
          </cell>
        </row>
        <row r="23">
          <cell r="B23">
            <v>0</v>
          </cell>
          <cell r="C23">
            <v>1100000</v>
          </cell>
          <cell r="D23">
            <v>-600000</v>
          </cell>
          <cell r="E23">
            <v>-300000</v>
          </cell>
          <cell r="F23">
            <v>600000</v>
          </cell>
          <cell r="G23">
            <v>1300000</v>
          </cell>
          <cell r="H23">
            <v>700000</v>
          </cell>
          <cell r="I23">
            <v>2450000</v>
          </cell>
          <cell r="J23">
            <v>1900000</v>
          </cell>
          <cell r="K23">
            <v>500000</v>
          </cell>
          <cell r="L23">
            <v>1200000</v>
          </cell>
          <cell r="M23">
            <v>1300000</v>
          </cell>
          <cell r="N23">
            <v>0</v>
          </cell>
          <cell r="O23">
            <v>1050000</v>
          </cell>
          <cell r="P23">
            <v>1971997</v>
          </cell>
          <cell r="Q23">
            <v>600000</v>
          </cell>
          <cell r="R23">
            <v>141000</v>
          </cell>
          <cell r="S23">
            <v>13912997</v>
          </cell>
          <cell r="V23">
            <v>505000</v>
          </cell>
          <cell r="W23">
            <v>1475000</v>
          </cell>
          <cell r="X23">
            <v>-400000</v>
          </cell>
          <cell r="Y23">
            <v>300000</v>
          </cell>
          <cell r="Z23">
            <v>1250000</v>
          </cell>
          <cell r="AA23">
            <v>2100000</v>
          </cell>
          <cell r="AB23">
            <v>700000</v>
          </cell>
          <cell r="AC23">
            <v>2450000</v>
          </cell>
          <cell r="AD23">
            <v>1900000</v>
          </cell>
          <cell r="AE23">
            <v>250000</v>
          </cell>
          <cell r="AF23">
            <v>1430000</v>
          </cell>
          <cell r="AG23">
            <v>1480000</v>
          </cell>
          <cell r="AH23">
            <v>1310000</v>
          </cell>
          <cell r="AI23">
            <v>1050000</v>
          </cell>
          <cell r="AJ23">
            <v>4801997</v>
          </cell>
          <cell r="AK23">
            <v>600000</v>
          </cell>
          <cell r="AL23">
            <v>-59000</v>
          </cell>
          <cell r="AM23">
            <v>21142997</v>
          </cell>
          <cell r="AP23">
            <v>805000</v>
          </cell>
          <cell r="AQ23">
            <v>1775000</v>
          </cell>
          <cell r="AR23">
            <v>-400000</v>
          </cell>
          <cell r="AS23">
            <v>1200000</v>
          </cell>
          <cell r="AT23">
            <v>1750000</v>
          </cell>
          <cell r="AU23">
            <v>2500000</v>
          </cell>
          <cell r="AV23">
            <v>900000</v>
          </cell>
          <cell r="AW23">
            <v>3100000</v>
          </cell>
          <cell r="AX23">
            <v>2600000</v>
          </cell>
          <cell r="AY23">
            <v>450000</v>
          </cell>
          <cell r="AZ23">
            <v>1430000</v>
          </cell>
          <cell r="BA23">
            <v>1980000</v>
          </cell>
          <cell r="BB23">
            <v>1610000</v>
          </cell>
          <cell r="BC23">
            <v>1150000</v>
          </cell>
          <cell r="BD23">
            <v>6305997</v>
          </cell>
          <cell r="BE23">
            <v>700000</v>
          </cell>
          <cell r="BF23">
            <v>141000</v>
          </cell>
          <cell r="BG23">
            <v>27996997</v>
          </cell>
          <cell r="BJ23">
            <v>2305000</v>
          </cell>
          <cell r="BK23">
            <v>2775000</v>
          </cell>
          <cell r="BL23">
            <v>-400000</v>
          </cell>
          <cell r="BM23">
            <v>1200000</v>
          </cell>
          <cell r="BN23">
            <v>2150000</v>
          </cell>
          <cell r="BO23">
            <v>4750000</v>
          </cell>
          <cell r="BP23">
            <v>1900000</v>
          </cell>
          <cell r="BQ23">
            <v>4100000</v>
          </cell>
          <cell r="BR23">
            <v>5300000</v>
          </cell>
          <cell r="BS23">
            <v>1750000</v>
          </cell>
          <cell r="BT23">
            <v>1430000</v>
          </cell>
          <cell r="BU23">
            <v>2180000</v>
          </cell>
          <cell r="BV23">
            <v>2410000</v>
          </cell>
          <cell r="BW23">
            <v>2150000</v>
          </cell>
          <cell r="BX23">
            <v>6461997</v>
          </cell>
          <cell r="BY23">
            <v>1700000</v>
          </cell>
          <cell r="BZ23">
            <v>141000</v>
          </cell>
          <cell r="CA23">
            <v>42302997</v>
          </cell>
          <cell r="CD23">
            <v>2705000</v>
          </cell>
          <cell r="CE23">
            <v>2775000</v>
          </cell>
          <cell r="CF23">
            <v>-400000</v>
          </cell>
          <cell r="CG23">
            <v>1200000</v>
          </cell>
          <cell r="CH23">
            <v>2150000</v>
          </cell>
          <cell r="CI23">
            <v>4750000</v>
          </cell>
          <cell r="CJ23">
            <v>3700000</v>
          </cell>
          <cell r="CK23">
            <v>5600000</v>
          </cell>
          <cell r="CL23">
            <v>5300000</v>
          </cell>
          <cell r="CM23">
            <v>1750000</v>
          </cell>
          <cell r="CN23">
            <v>1980000</v>
          </cell>
          <cell r="CO23">
            <v>4380000</v>
          </cell>
          <cell r="CP23">
            <v>2910000</v>
          </cell>
          <cell r="CQ23">
            <v>2650000</v>
          </cell>
          <cell r="CR23">
            <v>6497997</v>
          </cell>
          <cell r="CS23">
            <v>1700000</v>
          </cell>
          <cell r="CT23">
            <v>141000</v>
          </cell>
          <cell r="CU23">
            <v>49788997</v>
          </cell>
          <cell r="CX23">
            <v>2905000</v>
          </cell>
          <cell r="CY23">
            <v>2775000</v>
          </cell>
          <cell r="CZ23">
            <v>-400000</v>
          </cell>
          <cell r="DA23">
            <v>-300000</v>
          </cell>
          <cell r="DB23">
            <v>2150000</v>
          </cell>
          <cell r="DC23">
            <v>5450000</v>
          </cell>
          <cell r="DD23">
            <v>3700000</v>
          </cell>
          <cell r="DE23">
            <v>6400000</v>
          </cell>
          <cell r="DF23">
            <v>6500000</v>
          </cell>
          <cell r="DG23">
            <v>2450000</v>
          </cell>
          <cell r="DH23">
            <v>2580000</v>
          </cell>
          <cell r="DI23">
            <v>5380000</v>
          </cell>
          <cell r="DJ23">
            <v>3410000</v>
          </cell>
          <cell r="DK23">
            <v>2150000</v>
          </cell>
          <cell r="DL23">
            <v>7657497</v>
          </cell>
          <cell r="DM23">
            <v>2100000</v>
          </cell>
          <cell r="DN23">
            <v>141000</v>
          </cell>
          <cell r="DO23">
            <v>55048497</v>
          </cell>
          <cell r="DR23">
            <v>67000</v>
          </cell>
          <cell r="DS23">
            <v>3079000</v>
          </cell>
          <cell r="DT23">
            <v>-1385000</v>
          </cell>
          <cell r="DU23">
            <v>-3178000</v>
          </cell>
          <cell r="DV23">
            <v>1844000</v>
          </cell>
          <cell r="DW23">
            <v>4058000</v>
          </cell>
          <cell r="DX23">
            <v>1678000</v>
          </cell>
          <cell r="DY23">
            <v>3057000</v>
          </cell>
          <cell r="DZ23">
            <v>4802000</v>
          </cell>
          <cell r="EA23">
            <v>550000</v>
          </cell>
          <cell r="EB23">
            <v>923000</v>
          </cell>
          <cell r="EC23">
            <v>2124000</v>
          </cell>
          <cell r="ED23">
            <v>-166000</v>
          </cell>
          <cell r="EE23">
            <v>-4674000</v>
          </cell>
          <cell r="EF23">
            <v>8511497</v>
          </cell>
          <cell r="EG23">
            <v>967000</v>
          </cell>
          <cell r="EH23">
            <v>-1133000</v>
          </cell>
          <cell r="EI23">
            <v>21124497</v>
          </cell>
        </row>
        <row r="24">
          <cell r="B24">
            <v>240000</v>
          </cell>
          <cell r="C24">
            <v>0</v>
          </cell>
          <cell r="D24">
            <v>40000</v>
          </cell>
          <cell r="E24">
            <v>480000</v>
          </cell>
          <cell r="F24">
            <v>0</v>
          </cell>
          <cell r="G24">
            <v>120000</v>
          </cell>
          <cell r="H24">
            <v>280000</v>
          </cell>
          <cell r="I24">
            <v>440000</v>
          </cell>
          <cell r="J24">
            <v>240000</v>
          </cell>
          <cell r="K24">
            <v>80000</v>
          </cell>
          <cell r="L24">
            <v>120000</v>
          </cell>
          <cell r="M24">
            <v>220000</v>
          </cell>
          <cell r="N24">
            <v>120000</v>
          </cell>
          <cell r="O24">
            <v>1280000</v>
          </cell>
          <cell r="P24">
            <v>1001985</v>
          </cell>
          <cell r="Q24">
            <v>120000</v>
          </cell>
          <cell r="R24">
            <v>0</v>
          </cell>
          <cell r="S24">
            <v>4781985</v>
          </cell>
          <cell r="V24">
            <v>360000</v>
          </cell>
          <cell r="W24">
            <v>80000</v>
          </cell>
          <cell r="X24">
            <v>180000</v>
          </cell>
          <cell r="Y24">
            <v>660000</v>
          </cell>
          <cell r="Z24">
            <v>380000</v>
          </cell>
          <cell r="AA24">
            <v>360000</v>
          </cell>
          <cell r="AB24">
            <v>360000</v>
          </cell>
          <cell r="AC24">
            <v>640000</v>
          </cell>
          <cell r="AD24">
            <v>700000</v>
          </cell>
          <cell r="AE24">
            <v>280000</v>
          </cell>
          <cell r="AF24">
            <v>320000</v>
          </cell>
          <cell r="AG24">
            <v>340000</v>
          </cell>
          <cell r="AH24">
            <v>720000</v>
          </cell>
          <cell r="AI24">
            <v>1360000</v>
          </cell>
          <cell r="AJ24">
            <v>4401985</v>
          </cell>
          <cell r="AK24">
            <v>120000</v>
          </cell>
          <cell r="AL24">
            <v>200000</v>
          </cell>
          <cell r="AM24">
            <v>11461985</v>
          </cell>
          <cell r="AP24">
            <v>360000</v>
          </cell>
          <cell r="AQ24">
            <v>180000</v>
          </cell>
          <cell r="AR24">
            <v>180000</v>
          </cell>
          <cell r="AS24">
            <v>660000</v>
          </cell>
          <cell r="AT24">
            <v>380000</v>
          </cell>
          <cell r="AU24">
            <v>360000</v>
          </cell>
          <cell r="AV24">
            <v>360000</v>
          </cell>
          <cell r="AW24">
            <v>680000</v>
          </cell>
          <cell r="AX24">
            <v>860000</v>
          </cell>
          <cell r="AY24">
            <v>280000</v>
          </cell>
          <cell r="AZ24">
            <v>320000</v>
          </cell>
          <cell r="BA24">
            <v>420000</v>
          </cell>
          <cell r="BB24">
            <v>760000</v>
          </cell>
          <cell r="BC24">
            <v>1360000</v>
          </cell>
          <cell r="BD24">
            <v>4401985</v>
          </cell>
          <cell r="BE24">
            <v>260000</v>
          </cell>
          <cell r="BF24">
            <v>100000</v>
          </cell>
          <cell r="BG24">
            <v>11921985</v>
          </cell>
          <cell r="BJ24">
            <v>360000</v>
          </cell>
          <cell r="BK24">
            <v>180000</v>
          </cell>
          <cell r="BL24">
            <v>180000</v>
          </cell>
          <cell r="BM24">
            <v>740000</v>
          </cell>
          <cell r="BN24">
            <v>380000</v>
          </cell>
          <cell r="BO24">
            <v>360000</v>
          </cell>
          <cell r="BP24">
            <v>360000</v>
          </cell>
          <cell r="BQ24">
            <v>680000</v>
          </cell>
          <cell r="BR24">
            <v>860000</v>
          </cell>
          <cell r="BS24">
            <v>320000</v>
          </cell>
          <cell r="BT24">
            <v>320000</v>
          </cell>
          <cell r="BU24">
            <v>420000</v>
          </cell>
          <cell r="BV24">
            <v>760000</v>
          </cell>
          <cell r="BW24">
            <v>1360000</v>
          </cell>
          <cell r="BX24">
            <v>4485985</v>
          </cell>
          <cell r="BY24">
            <v>260000</v>
          </cell>
          <cell r="BZ24">
            <v>100000</v>
          </cell>
          <cell r="CA24">
            <v>12125985</v>
          </cell>
          <cell r="CD24">
            <v>360000</v>
          </cell>
          <cell r="CE24">
            <v>200000</v>
          </cell>
          <cell r="CF24">
            <v>180000</v>
          </cell>
          <cell r="CG24">
            <v>740000</v>
          </cell>
          <cell r="CH24">
            <v>380000</v>
          </cell>
          <cell r="CI24">
            <v>360000</v>
          </cell>
          <cell r="CJ24">
            <v>360000</v>
          </cell>
          <cell r="CK24">
            <v>680000</v>
          </cell>
          <cell r="CL24">
            <v>860000</v>
          </cell>
          <cell r="CM24">
            <v>320000</v>
          </cell>
          <cell r="CN24">
            <v>320000</v>
          </cell>
          <cell r="CO24">
            <v>420000</v>
          </cell>
          <cell r="CP24">
            <v>760000</v>
          </cell>
          <cell r="CQ24">
            <v>1360000</v>
          </cell>
          <cell r="CR24">
            <v>4495585</v>
          </cell>
          <cell r="CS24">
            <v>260000</v>
          </cell>
          <cell r="CT24">
            <v>100000</v>
          </cell>
          <cell r="CU24">
            <v>12155585</v>
          </cell>
          <cell r="CX24">
            <v>360000</v>
          </cell>
          <cell r="CY24">
            <v>200000</v>
          </cell>
          <cell r="CZ24">
            <v>180000</v>
          </cell>
          <cell r="DA24">
            <v>740000</v>
          </cell>
          <cell r="DB24">
            <v>380000</v>
          </cell>
          <cell r="DC24">
            <v>360000</v>
          </cell>
          <cell r="DD24">
            <v>360000</v>
          </cell>
          <cell r="DE24">
            <v>680000</v>
          </cell>
          <cell r="DF24">
            <v>940000</v>
          </cell>
          <cell r="DG24">
            <v>320000</v>
          </cell>
          <cell r="DH24">
            <v>320000</v>
          </cell>
          <cell r="DI24">
            <v>420000</v>
          </cell>
          <cell r="DJ24">
            <v>760000</v>
          </cell>
          <cell r="DK24">
            <v>1360000</v>
          </cell>
          <cell r="DL24">
            <v>4537185</v>
          </cell>
          <cell r="DM24">
            <v>260000</v>
          </cell>
          <cell r="DN24">
            <v>100000</v>
          </cell>
          <cell r="DO24">
            <v>12277185</v>
          </cell>
          <cell r="DR24">
            <v>103200</v>
          </cell>
          <cell r="DS24">
            <v>-72800</v>
          </cell>
          <cell r="DT24">
            <v>-74400</v>
          </cell>
          <cell r="DU24">
            <v>388000</v>
          </cell>
          <cell r="DV24">
            <v>248800</v>
          </cell>
          <cell r="DW24">
            <v>-195200</v>
          </cell>
          <cell r="DX24">
            <v>231600</v>
          </cell>
          <cell r="DY24">
            <v>-211200</v>
          </cell>
          <cell r="DZ24">
            <v>463600</v>
          </cell>
          <cell r="EA24">
            <v>-185200</v>
          </cell>
          <cell r="EB24">
            <v>-4000</v>
          </cell>
          <cell r="EC24">
            <v>83200</v>
          </cell>
          <cell r="ED24">
            <v>-810400</v>
          </cell>
          <cell r="EE24">
            <v>-18800</v>
          </cell>
          <cell r="EF24">
            <v>1649585</v>
          </cell>
          <cell r="EG24">
            <v>-7600</v>
          </cell>
          <cell r="EH24">
            <v>-9200</v>
          </cell>
          <cell r="EI24">
            <v>1579185</v>
          </cell>
        </row>
        <row r="25">
          <cell r="B25">
            <v>320000</v>
          </cell>
          <cell r="C25">
            <v>20000</v>
          </cell>
          <cell r="D25">
            <v>40000</v>
          </cell>
          <cell r="E25">
            <v>490000</v>
          </cell>
          <cell r="F25">
            <v>40000</v>
          </cell>
          <cell r="G25">
            <v>140000</v>
          </cell>
          <cell r="H25">
            <v>240000</v>
          </cell>
          <cell r="I25">
            <v>490000</v>
          </cell>
          <cell r="J25">
            <v>260000</v>
          </cell>
          <cell r="K25">
            <v>30000</v>
          </cell>
          <cell r="L25">
            <v>140000</v>
          </cell>
          <cell r="M25">
            <v>250000</v>
          </cell>
          <cell r="N25">
            <v>300000</v>
          </cell>
          <cell r="O25">
            <v>560000</v>
          </cell>
          <cell r="P25">
            <v>553552</v>
          </cell>
          <cell r="Q25">
            <v>100000</v>
          </cell>
          <cell r="R25">
            <v>40000</v>
          </cell>
          <cell r="S25">
            <v>4013552</v>
          </cell>
          <cell r="V25">
            <v>120000</v>
          </cell>
          <cell r="W25">
            <v>20000</v>
          </cell>
          <cell r="X25">
            <v>60000</v>
          </cell>
          <cell r="Y25">
            <v>490000</v>
          </cell>
          <cell r="Z25">
            <v>40000</v>
          </cell>
          <cell r="AA25">
            <v>140000</v>
          </cell>
          <cell r="AB25">
            <v>240000</v>
          </cell>
          <cell r="AC25">
            <v>490000</v>
          </cell>
          <cell r="AD25">
            <v>260000</v>
          </cell>
          <cell r="AE25">
            <v>30000</v>
          </cell>
          <cell r="AF25">
            <v>180000</v>
          </cell>
          <cell r="AG25">
            <v>250000</v>
          </cell>
          <cell r="AH25">
            <v>440000</v>
          </cell>
          <cell r="AI25">
            <v>560000</v>
          </cell>
          <cell r="AJ25">
            <v>1303552</v>
          </cell>
          <cell r="AK25">
            <v>100000</v>
          </cell>
          <cell r="AL25">
            <v>80000</v>
          </cell>
          <cell r="AM25">
            <v>4803552</v>
          </cell>
          <cell r="AP25">
            <v>120000</v>
          </cell>
          <cell r="AQ25">
            <v>60000</v>
          </cell>
          <cell r="AR25">
            <v>70000</v>
          </cell>
          <cell r="AS25">
            <v>490000</v>
          </cell>
          <cell r="AT25">
            <v>100000</v>
          </cell>
          <cell r="AU25">
            <v>140000</v>
          </cell>
          <cell r="AV25">
            <v>260000</v>
          </cell>
          <cell r="AW25">
            <v>550000</v>
          </cell>
          <cell r="AX25">
            <v>320000</v>
          </cell>
          <cell r="AY25">
            <v>50000</v>
          </cell>
          <cell r="AZ25">
            <v>200000</v>
          </cell>
          <cell r="BA25">
            <v>270000</v>
          </cell>
          <cell r="BB25">
            <v>480000</v>
          </cell>
          <cell r="BC25">
            <v>560000</v>
          </cell>
          <cell r="BD25">
            <v>1504752</v>
          </cell>
          <cell r="BE25">
            <v>120000</v>
          </cell>
          <cell r="BF25">
            <v>80000</v>
          </cell>
          <cell r="BG25">
            <v>5374752</v>
          </cell>
          <cell r="BJ25">
            <v>320000</v>
          </cell>
          <cell r="BK25">
            <v>90000</v>
          </cell>
          <cell r="BL25">
            <v>70000</v>
          </cell>
          <cell r="BM25">
            <v>510000</v>
          </cell>
          <cell r="BN25">
            <v>180000</v>
          </cell>
          <cell r="BO25">
            <v>340000</v>
          </cell>
          <cell r="BP25">
            <v>360000</v>
          </cell>
          <cell r="BQ25">
            <v>690000</v>
          </cell>
          <cell r="BR25">
            <v>500000</v>
          </cell>
          <cell r="BS25">
            <v>90000</v>
          </cell>
          <cell r="BT25">
            <v>200000</v>
          </cell>
          <cell r="BU25">
            <v>310000</v>
          </cell>
          <cell r="BV25">
            <v>540000</v>
          </cell>
          <cell r="BW25">
            <v>600000</v>
          </cell>
          <cell r="BX25">
            <v>1557752</v>
          </cell>
          <cell r="BY25">
            <v>170000</v>
          </cell>
          <cell r="BZ25">
            <v>80000</v>
          </cell>
          <cell r="CA25">
            <v>6607752</v>
          </cell>
          <cell r="CD25">
            <v>320000</v>
          </cell>
          <cell r="CE25">
            <v>90000</v>
          </cell>
          <cell r="CF25">
            <v>70000</v>
          </cell>
          <cell r="CG25">
            <v>510000</v>
          </cell>
          <cell r="CH25">
            <v>180000</v>
          </cell>
          <cell r="CI25">
            <v>340000</v>
          </cell>
          <cell r="CJ25">
            <v>480000</v>
          </cell>
          <cell r="CK25">
            <v>950000</v>
          </cell>
          <cell r="CL25">
            <v>500000</v>
          </cell>
          <cell r="CM25">
            <v>90000</v>
          </cell>
          <cell r="CN25">
            <v>200000</v>
          </cell>
          <cell r="CO25">
            <v>410000</v>
          </cell>
          <cell r="CP25">
            <v>540000</v>
          </cell>
          <cell r="CQ25">
            <v>660000</v>
          </cell>
          <cell r="CR25">
            <v>1564952</v>
          </cell>
          <cell r="CS25">
            <v>170000</v>
          </cell>
          <cell r="CT25">
            <v>80000</v>
          </cell>
          <cell r="CU25">
            <v>7154952</v>
          </cell>
          <cell r="CX25">
            <v>320000</v>
          </cell>
          <cell r="CY25">
            <v>190000</v>
          </cell>
          <cell r="CZ25">
            <v>70000</v>
          </cell>
          <cell r="DA25">
            <v>510000</v>
          </cell>
          <cell r="DB25">
            <v>240000</v>
          </cell>
          <cell r="DC25">
            <v>420000</v>
          </cell>
          <cell r="DD25">
            <v>480000</v>
          </cell>
          <cell r="DE25">
            <v>1150000</v>
          </cell>
          <cell r="DF25">
            <v>680000</v>
          </cell>
          <cell r="DG25">
            <v>210000</v>
          </cell>
          <cell r="DH25">
            <v>200000</v>
          </cell>
          <cell r="DI25">
            <v>630000</v>
          </cell>
          <cell r="DJ25">
            <v>640000</v>
          </cell>
          <cell r="DK25">
            <v>700000</v>
          </cell>
          <cell r="DL25">
            <v>1611650.03</v>
          </cell>
          <cell r="DM25">
            <v>190000</v>
          </cell>
          <cell r="DN25">
            <v>80000</v>
          </cell>
          <cell r="DO25">
            <v>8321650.0300000003</v>
          </cell>
          <cell r="DR25">
            <v>112400</v>
          </cell>
          <cell r="DS25">
            <v>-12000</v>
          </cell>
          <cell r="DT25">
            <v>25400</v>
          </cell>
          <cell r="DU25">
            <v>318600</v>
          </cell>
          <cell r="DV25">
            <v>120600</v>
          </cell>
          <cell r="DW25">
            <v>23400</v>
          </cell>
          <cell r="DX25">
            <v>380000</v>
          </cell>
          <cell r="DY25">
            <v>456000</v>
          </cell>
          <cell r="DZ25">
            <v>433200</v>
          </cell>
          <cell r="EA25">
            <v>-58000</v>
          </cell>
          <cell r="EB25">
            <v>211400</v>
          </cell>
          <cell r="EC25">
            <v>376800</v>
          </cell>
          <cell r="ED25">
            <v>212600</v>
          </cell>
          <cell r="EE25">
            <v>-12800</v>
          </cell>
          <cell r="EF25">
            <v>1738050.03</v>
          </cell>
          <cell r="EG25">
            <v>-14400</v>
          </cell>
          <cell r="EH25">
            <v>30400</v>
          </cell>
          <cell r="EI25">
            <v>4341650.03</v>
          </cell>
        </row>
        <row r="26">
          <cell r="B26">
            <v>180000</v>
          </cell>
          <cell r="C26">
            <v>40000</v>
          </cell>
          <cell r="D26">
            <v>30000</v>
          </cell>
          <cell r="E26">
            <v>350000</v>
          </cell>
          <cell r="F26">
            <v>20000</v>
          </cell>
          <cell r="G26">
            <v>90000</v>
          </cell>
          <cell r="H26">
            <v>140000</v>
          </cell>
          <cell r="I26">
            <v>340000</v>
          </cell>
          <cell r="J26">
            <v>165000</v>
          </cell>
          <cell r="K26">
            <v>20000</v>
          </cell>
          <cell r="L26">
            <v>90000</v>
          </cell>
          <cell r="M26">
            <v>140000</v>
          </cell>
          <cell r="N26">
            <v>215000</v>
          </cell>
          <cell r="O26">
            <v>640000</v>
          </cell>
          <cell r="P26">
            <v>518773</v>
          </cell>
          <cell r="Q26">
            <v>70000</v>
          </cell>
          <cell r="R26">
            <v>20000</v>
          </cell>
          <cell r="S26">
            <v>3068773</v>
          </cell>
          <cell r="V26">
            <v>200000</v>
          </cell>
          <cell r="W26">
            <v>80000</v>
          </cell>
          <cell r="X26">
            <v>70000</v>
          </cell>
          <cell r="Y26">
            <v>400000</v>
          </cell>
          <cell r="Z26">
            <v>110000</v>
          </cell>
          <cell r="AA26">
            <v>120000</v>
          </cell>
          <cell r="AB26">
            <v>165000</v>
          </cell>
          <cell r="AC26">
            <v>410000</v>
          </cell>
          <cell r="AD26">
            <v>285000</v>
          </cell>
          <cell r="AE26">
            <v>45000</v>
          </cell>
          <cell r="AF26">
            <v>310000</v>
          </cell>
          <cell r="AG26">
            <v>210000</v>
          </cell>
          <cell r="AH26">
            <v>760000</v>
          </cell>
          <cell r="AI26">
            <v>690000</v>
          </cell>
          <cell r="AJ26">
            <v>2419173</v>
          </cell>
          <cell r="AK26">
            <v>70000</v>
          </cell>
          <cell r="AL26">
            <v>130000</v>
          </cell>
          <cell r="AM26">
            <v>6474173</v>
          </cell>
          <cell r="AP26">
            <v>200000</v>
          </cell>
          <cell r="AQ26">
            <v>120000</v>
          </cell>
          <cell r="AR26">
            <v>120000</v>
          </cell>
          <cell r="AS26">
            <v>400000</v>
          </cell>
          <cell r="AT26">
            <v>160000</v>
          </cell>
          <cell r="AU26">
            <v>190000</v>
          </cell>
          <cell r="AV26">
            <v>240000</v>
          </cell>
          <cell r="AW26">
            <v>490000</v>
          </cell>
          <cell r="AX26">
            <v>360000</v>
          </cell>
          <cell r="AY26">
            <v>115000</v>
          </cell>
          <cell r="AZ26">
            <v>350000</v>
          </cell>
          <cell r="BA26">
            <v>318000</v>
          </cell>
          <cell r="BB26">
            <v>825000</v>
          </cell>
          <cell r="BC26">
            <v>723700</v>
          </cell>
          <cell r="BD26">
            <v>2570573</v>
          </cell>
          <cell r="BE26">
            <v>120000</v>
          </cell>
          <cell r="BF26">
            <v>105000</v>
          </cell>
          <cell r="BG26">
            <v>7407273</v>
          </cell>
          <cell r="BJ26">
            <v>250000</v>
          </cell>
          <cell r="BK26">
            <v>120000</v>
          </cell>
          <cell r="BL26">
            <v>120000</v>
          </cell>
          <cell r="BM26">
            <v>410000</v>
          </cell>
          <cell r="BN26">
            <v>190000</v>
          </cell>
          <cell r="BO26">
            <v>240000</v>
          </cell>
          <cell r="BP26">
            <v>260000</v>
          </cell>
          <cell r="BQ26">
            <v>550000</v>
          </cell>
          <cell r="BR26">
            <v>440000</v>
          </cell>
          <cell r="BS26">
            <v>145000</v>
          </cell>
          <cell r="BT26">
            <v>350000</v>
          </cell>
          <cell r="BU26">
            <v>318000</v>
          </cell>
          <cell r="BV26">
            <v>850000</v>
          </cell>
          <cell r="BW26">
            <v>743700</v>
          </cell>
          <cell r="BX26">
            <v>2596173</v>
          </cell>
          <cell r="BY26">
            <v>130000</v>
          </cell>
          <cell r="BZ26">
            <v>105000</v>
          </cell>
          <cell r="CA26">
            <v>7817873</v>
          </cell>
          <cell r="CD26">
            <v>250000</v>
          </cell>
          <cell r="CE26">
            <v>120000</v>
          </cell>
          <cell r="CF26">
            <v>120000</v>
          </cell>
          <cell r="CG26">
            <v>410000</v>
          </cell>
          <cell r="CH26">
            <v>190000</v>
          </cell>
          <cell r="CI26">
            <v>240000</v>
          </cell>
          <cell r="CJ26">
            <v>260000</v>
          </cell>
          <cell r="CK26">
            <v>670000</v>
          </cell>
          <cell r="CL26">
            <v>440000</v>
          </cell>
          <cell r="CM26">
            <v>145000</v>
          </cell>
          <cell r="CN26">
            <v>350000</v>
          </cell>
          <cell r="CO26">
            <v>318000</v>
          </cell>
          <cell r="CP26">
            <v>850000</v>
          </cell>
          <cell r="CQ26">
            <v>763700</v>
          </cell>
          <cell r="CR26">
            <v>2599673</v>
          </cell>
          <cell r="CS26">
            <v>130000</v>
          </cell>
          <cell r="CT26">
            <v>105000</v>
          </cell>
          <cell r="CU26">
            <v>7961373</v>
          </cell>
          <cell r="CX26">
            <v>250000</v>
          </cell>
          <cell r="CY26">
            <v>130000</v>
          </cell>
          <cell r="CZ26">
            <v>120000</v>
          </cell>
          <cell r="DA26">
            <v>410000</v>
          </cell>
          <cell r="DB26">
            <v>210000</v>
          </cell>
          <cell r="DC26">
            <v>240000</v>
          </cell>
          <cell r="DD26">
            <v>260000</v>
          </cell>
          <cell r="DE26">
            <v>745000</v>
          </cell>
          <cell r="DF26">
            <v>505000</v>
          </cell>
          <cell r="DG26">
            <v>175000</v>
          </cell>
          <cell r="DH26">
            <v>350000</v>
          </cell>
          <cell r="DI26">
            <v>318000</v>
          </cell>
          <cell r="DJ26">
            <v>870000</v>
          </cell>
          <cell r="DK26">
            <v>763700</v>
          </cell>
          <cell r="DL26">
            <v>2603949.5150000001</v>
          </cell>
          <cell r="DM26">
            <v>130000</v>
          </cell>
          <cell r="DN26">
            <v>105000</v>
          </cell>
          <cell r="DO26">
            <v>8185649.5150000006</v>
          </cell>
          <cell r="DR26">
            <v>118300</v>
          </cell>
          <cell r="DS26">
            <v>27200</v>
          </cell>
          <cell r="DT26">
            <v>35300</v>
          </cell>
          <cell r="DU26">
            <v>190400</v>
          </cell>
          <cell r="DV26">
            <v>112900</v>
          </cell>
          <cell r="DW26">
            <v>65000</v>
          </cell>
          <cell r="DX26">
            <v>199500</v>
          </cell>
          <cell r="DY26">
            <v>394800</v>
          </cell>
          <cell r="DZ26">
            <v>345300</v>
          </cell>
          <cell r="EA26">
            <v>-24200</v>
          </cell>
          <cell r="EB26">
            <v>248600</v>
          </cell>
          <cell r="EC26">
            <v>116800</v>
          </cell>
          <cell r="ED26">
            <v>437900</v>
          </cell>
          <cell r="EE26">
            <v>185500</v>
          </cell>
          <cell r="EF26">
            <v>2254249.5150000001</v>
          </cell>
          <cell r="EG26">
            <v>-1600</v>
          </cell>
          <cell r="EH26">
            <v>17700</v>
          </cell>
          <cell r="EI26">
            <v>4723649.5150000006</v>
          </cell>
        </row>
        <row r="27">
          <cell r="B27">
            <v>84000</v>
          </cell>
          <cell r="C27">
            <v>16000</v>
          </cell>
          <cell r="D27">
            <v>16000</v>
          </cell>
          <cell r="E27">
            <v>198000</v>
          </cell>
          <cell r="F27">
            <v>8000</v>
          </cell>
          <cell r="G27">
            <v>28000</v>
          </cell>
          <cell r="H27">
            <v>76000</v>
          </cell>
          <cell r="I27">
            <v>158000</v>
          </cell>
          <cell r="J27">
            <v>80000</v>
          </cell>
          <cell r="K27">
            <v>14000</v>
          </cell>
          <cell r="L27">
            <v>58000</v>
          </cell>
          <cell r="M27">
            <v>84000</v>
          </cell>
          <cell r="N27">
            <v>92000</v>
          </cell>
          <cell r="O27">
            <v>218000</v>
          </cell>
          <cell r="P27">
            <v>247487</v>
          </cell>
          <cell r="Q27">
            <v>32000</v>
          </cell>
          <cell r="R27">
            <v>14000</v>
          </cell>
          <cell r="S27">
            <v>1423487</v>
          </cell>
          <cell r="V27">
            <v>116000</v>
          </cell>
          <cell r="W27">
            <v>29000</v>
          </cell>
          <cell r="X27">
            <v>45000</v>
          </cell>
          <cell r="Y27">
            <v>326000</v>
          </cell>
          <cell r="Z27">
            <v>64000</v>
          </cell>
          <cell r="AA27">
            <v>88000</v>
          </cell>
          <cell r="AB27">
            <v>114000</v>
          </cell>
          <cell r="AC27">
            <v>224000</v>
          </cell>
          <cell r="AD27">
            <v>140000</v>
          </cell>
          <cell r="AE27">
            <v>46000</v>
          </cell>
          <cell r="AF27">
            <v>202000</v>
          </cell>
          <cell r="AG27">
            <v>124000</v>
          </cell>
          <cell r="AH27">
            <v>371600</v>
          </cell>
          <cell r="AI27">
            <v>266000</v>
          </cell>
          <cell r="AJ27">
            <v>1007487</v>
          </cell>
          <cell r="AK27">
            <v>32000</v>
          </cell>
          <cell r="AL27">
            <v>58000</v>
          </cell>
          <cell r="AM27">
            <v>3253087</v>
          </cell>
          <cell r="AP27">
            <v>116000</v>
          </cell>
          <cell r="AQ27">
            <v>53000</v>
          </cell>
          <cell r="AR27">
            <v>71000</v>
          </cell>
          <cell r="AS27">
            <v>326000</v>
          </cell>
          <cell r="AT27">
            <v>82000</v>
          </cell>
          <cell r="AU27">
            <v>102000</v>
          </cell>
          <cell r="AV27">
            <v>134000</v>
          </cell>
          <cell r="AW27">
            <v>252000</v>
          </cell>
          <cell r="AX27">
            <v>180000</v>
          </cell>
          <cell r="AY27">
            <v>58000</v>
          </cell>
          <cell r="AZ27">
            <v>208000</v>
          </cell>
          <cell r="BA27">
            <v>156000</v>
          </cell>
          <cell r="BB27">
            <v>411600</v>
          </cell>
          <cell r="BC27">
            <v>284000</v>
          </cell>
          <cell r="BD27">
            <v>1007807</v>
          </cell>
          <cell r="BE27">
            <v>58000</v>
          </cell>
          <cell r="BF27">
            <v>56000</v>
          </cell>
          <cell r="BG27">
            <v>3555407</v>
          </cell>
          <cell r="BJ27">
            <v>116000</v>
          </cell>
          <cell r="BK27">
            <v>53000</v>
          </cell>
          <cell r="BL27">
            <v>71000</v>
          </cell>
          <cell r="BM27">
            <v>330000</v>
          </cell>
          <cell r="BN27">
            <v>90000</v>
          </cell>
          <cell r="BO27">
            <v>122000</v>
          </cell>
          <cell r="BP27">
            <v>134000</v>
          </cell>
          <cell r="BQ27">
            <v>272000</v>
          </cell>
          <cell r="BR27">
            <v>200000</v>
          </cell>
          <cell r="BS27">
            <v>74000</v>
          </cell>
          <cell r="BT27">
            <v>208000</v>
          </cell>
          <cell r="BU27">
            <v>156000</v>
          </cell>
          <cell r="BV27">
            <v>411600</v>
          </cell>
          <cell r="BW27">
            <v>296000</v>
          </cell>
          <cell r="BX27">
            <v>1017887</v>
          </cell>
          <cell r="BY27">
            <v>58000</v>
          </cell>
          <cell r="BZ27">
            <v>56000</v>
          </cell>
          <cell r="CA27">
            <v>3665487</v>
          </cell>
          <cell r="CD27">
            <v>116000</v>
          </cell>
          <cell r="CE27">
            <v>53000</v>
          </cell>
          <cell r="CF27">
            <v>71000</v>
          </cell>
          <cell r="CG27">
            <v>330000</v>
          </cell>
          <cell r="CH27">
            <v>90000</v>
          </cell>
          <cell r="CI27">
            <v>122000</v>
          </cell>
          <cell r="CJ27">
            <v>134000</v>
          </cell>
          <cell r="CK27">
            <v>272000</v>
          </cell>
          <cell r="CL27">
            <v>200000</v>
          </cell>
          <cell r="CM27">
            <v>74000</v>
          </cell>
          <cell r="CN27">
            <v>208000</v>
          </cell>
          <cell r="CO27">
            <v>156000</v>
          </cell>
          <cell r="CP27">
            <v>411600</v>
          </cell>
          <cell r="CQ27">
            <v>296000</v>
          </cell>
          <cell r="CR27">
            <v>1019327</v>
          </cell>
          <cell r="CS27">
            <v>58000</v>
          </cell>
          <cell r="CT27">
            <v>56000</v>
          </cell>
          <cell r="CU27">
            <v>3666927</v>
          </cell>
          <cell r="CX27">
            <v>116000</v>
          </cell>
          <cell r="CY27">
            <v>57000</v>
          </cell>
          <cell r="CZ27">
            <v>71000</v>
          </cell>
          <cell r="DA27">
            <v>330000</v>
          </cell>
          <cell r="DB27">
            <v>90000</v>
          </cell>
          <cell r="DC27">
            <v>122000</v>
          </cell>
          <cell r="DD27">
            <v>134000</v>
          </cell>
          <cell r="DE27">
            <v>272000</v>
          </cell>
          <cell r="DF27">
            <v>216000</v>
          </cell>
          <cell r="DG27">
            <v>78000</v>
          </cell>
          <cell r="DH27">
            <v>208000</v>
          </cell>
          <cell r="DI27">
            <v>156000</v>
          </cell>
          <cell r="DJ27">
            <v>411600</v>
          </cell>
          <cell r="DK27">
            <v>296000</v>
          </cell>
          <cell r="DL27">
            <v>1021017.606</v>
          </cell>
          <cell r="DM27">
            <v>58000</v>
          </cell>
          <cell r="DN27">
            <v>56000</v>
          </cell>
          <cell r="DO27">
            <v>3692617.6060000001</v>
          </cell>
          <cell r="DR27">
            <v>62200</v>
          </cell>
          <cell r="DS27">
            <v>19840</v>
          </cell>
          <cell r="DT27">
            <v>40440</v>
          </cell>
          <cell r="DU27">
            <v>214480</v>
          </cell>
          <cell r="DV27">
            <v>56120</v>
          </cell>
          <cell r="DW27">
            <v>49160</v>
          </cell>
          <cell r="DX27">
            <v>90800</v>
          </cell>
          <cell r="DY27">
            <v>204440</v>
          </cell>
          <cell r="DZ27">
            <v>151120</v>
          </cell>
          <cell r="EA27">
            <v>12840</v>
          </cell>
          <cell r="EB27">
            <v>133120</v>
          </cell>
          <cell r="EC27">
            <v>80640</v>
          </cell>
          <cell r="ED27">
            <v>285640</v>
          </cell>
          <cell r="EE27">
            <v>124640</v>
          </cell>
          <cell r="EF27">
            <v>956137.60600000003</v>
          </cell>
          <cell r="EG27">
            <v>7520</v>
          </cell>
          <cell r="EH27">
            <v>4520</v>
          </cell>
          <cell r="EI27">
            <v>2493657.6060000001</v>
          </cell>
        </row>
        <row r="28">
          <cell r="B28">
            <v>7000</v>
          </cell>
          <cell r="C28">
            <v>4000</v>
          </cell>
          <cell r="D28">
            <v>2000</v>
          </cell>
          <cell r="E28">
            <v>9000</v>
          </cell>
          <cell r="F28">
            <v>3000</v>
          </cell>
          <cell r="G28">
            <v>4000</v>
          </cell>
          <cell r="H28">
            <v>10000</v>
          </cell>
          <cell r="I28">
            <v>12000</v>
          </cell>
          <cell r="J28">
            <v>14000</v>
          </cell>
          <cell r="K28">
            <v>0</v>
          </cell>
          <cell r="L28">
            <v>5000</v>
          </cell>
          <cell r="M28">
            <v>7000</v>
          </cell>
          <cell r="N28">
            <v>9000</v>
          </cell>
          <cell r="O28">
            <v>18000</v>
          </cell>
          <cell r="P28">
            <v>475</v>
          </cell>
          <cell r="Q28">
            <v>4000</v>
          </cell>
          <cell r="R28">
            <v>1000</v>
          </cell>
          <cell r="S28">
            <v>109475</v>
          </cell>
          <cell r="V28">
            <v>7000</v>
          </cell>
          <cell r="W28">
            <v>4000</v>
          </cell>
          <cell r="X28">
            <v>2000</v>
          </cell>
          <cell r="Y28">
            <v>9000</v>
          </cell>
          <cell r="Z28">
            <v>3000</v>
          </cell>
          <cell r="AA28">
            <v>4000</v>
          </cell>
          <cell r="AB28">
            <v>10000</v>
          </cell>
          <cell r="AC28">
            <v>22000</v>
          </cell>
          <cell r="AD28">
            <v>18000</v>
          </cell>
          <cell r="AE28">
            <v>0</v>
          </cell>
          <cell r="AF28">
            <v>5000</v>
          </cell>
          <cell r="AG28">
            <v>7000</v>
          </cell>
          <cell r="AH28">
            <v>13000</v>
          </cell>
          <cell r="AI28">
            <v>18000</v>
          </cell>
          <cell r="AJ28">
            <v>475</v>
          </cell>
          <cell r="AK28">
            <v>4000</v>
          </cell>
          <cell r="AL28">
            <v>2000</v>
          </cell>
          <cell r="AM28">
            <v>128475</v>
          </cell>
          <cell r="AP28">
            <v>7000</v>
          </cell>
          <cell r="AQ28">
            <v>4000</v>
          </cell>
          <cell r="AR28">
            <v>2000</v>
          </cell>
          <cell r="AS28">
            <v>9000</v>
          </cell>
          <cell r="AT28">
            <v>3000</v>
          </cell>
          <cell r="AU28">
            <v>4000</v>
          </cell>
          <cell r="AV28">
            <v>10000</v>
          </cell>
          <cell r="AW28">
            <v>22000</v>
          </cell>
          <cell r="AX28">
            <v>18000</v>
          </cell>
          <cell r="AY28">
            <v>2000</v>
          </cell>
          <cell r="AZ28">
            <v>5000</v>
          </cell>
          <cell r="BA28">
            <v>7000</v>
          </cell>
          <cell r="BB28">
            <v>13000</v>
          </cell>
          <cell r="BC28">
            <v>18000</v>
          </cell>
          <cell r="BD28">
            <v>475</v>
          </cell>
          <cell r="BE28">
            <v>4000</v>
          </cell>
          <cell r="BF28">
            <v>2000</v>
          </cell>
          <cell r="BG28">
            <v>130475</v>
          </cell>
          <cell r="BJ28">
            <v>7000</v>
          </cell>
          <cell r="BK28">
            <v>4000</v>
          </cell>
          <cell r="BL28">
            <v>2000</v>
          </cell>
          <cell r="BM28">
            <v>9000</v>
          </cell>
          <cell r="BN28">
            <v>3000</v>
          </cell>
          <cell r="BO28">
            <v>4000</v>
          </cell>
          <cell r="BP28">
            <v>10000</v>
          </cell>
          <cell r="BQ28">
            <v>22000</v>
          </cell>
          <cell r="BR28">
            <v>18000</v>
          </cell>
          <cell r="BS28">
            <v>2000</v>
          </cell>
          <cell r="BT28">
            <v>5000</v>
          </cell>
          <cell r="BU28">
            <v>7000</v>
          </cell>
          <cell r="BV28">
            <v>13000</v>
          </cell>
          <cell r="BW28">
            <v>18000</v>
          </cell>
          <cell r="BX28">
            <v>475</v>
          </cell>
          <cell r="BY28">
            <v>4000</v>
          </cell>
          <cell r="BZ28">
            <v>2000</v>
          </cell>
          <cell r="CA28">
            <v>130475</v>
          </cell>
          <cell r="CD28">
            <v>7000</v>
          </cell>
          <cell r="CE28">
            <v>4000</v>
          </cell>
          <cell r="CF28">
            <v>2000</v>
          </cell>
          <cell r="CG28">
            <v>9000</v>
          </cell>
          <cell r="CH28">
            <v>3000</v>
          </cell>
          <cell r="CI28">
            <v>4000</v>
          </cell>
          <cell r="CJ28">
            <v>10000</v>
          </cell>
          <cell r="CK28">
            <v>22000</v>
          </cell>
          <cell r="CL28">
            <v>18000</v>
          </cell>
          <cell r="CM28">
            <v>2000</v>
          </cell>
          <cell r="CN28">
            <v>5000</v>
          </cell>
          <cell r="CO28">
            <v>7000</v>
          </cell>
          <cell r="CP28">
            <v>13000</v>
          </cell>
          <cell r="CQ28">
            <v>18000</v>
          </cell>
          <cell r="CR28">
            <v>475</v>
          </cell>
          <cell r="CS28">
            <v>4000</v>
          </cell>
          <cell r="CT28">
            <v>2000</v>
          </cell>
          <cell r="CU28">
            <v>130475</v>
          </cell>
          <cell r="CX28">
            <v>7000</v>
          </cell>
          <cell r="CY28">
            <v>4000</v>
          </cell>
          <cell r="CZ28">
            <v>2000</v>
          </cell>
          <cell r="DA28">
            <v>9000</v>
          </cell>
          <cell r="DB28">
            <v>3000</v>
          </cell>
          <cell r="DC28">
            <v>4000</v>
          </cell>
          <cell r="DD28">
            <v>10000</v>
          </cell>
          <cell r="DE28">
            <v>22000</v>
          </cell>
          <cell r="DF28">
            <v>18000</v>
          </cell>
          <cell r="DG28">
            <v>2000</v>
          </cell>
          <cell r="DH28">
            <v>5000</v>
          </cell>
          <cell r="DI28">
            <v>7000</v>
          </cell>
          <cell r="DJ28">
            <v>13000</v>
          </cell>
          <cell r="DK28">
            <v>18000</v>
          </cell>
          <cell r="DL28">
            <v>475.303</v>
          </cell>
          <cell r="DM28">
            <v>4000</v>
          </cell>
          <cell r="DN28">
            <v>2000</v>
          </cell>
          <cell r="DO28">
            <v>130475.303</v>
          </cell>
          <cell r="DR28">
            <v>7000</v>
          </cell>
          <cell r="DS28">
            <v>4000</v>
          </cell>
          <cell r="DT28">
            <v>2180</v>
          </cell>
          <cell r="DU28">
            <v>11560</v>
          </cell>
          <cell r="DV28">
            <v>3000</v>
          </cell>
          <cell r="DW28">
            <v>4480</v>
          </cell>
          <cell r="DX28">
            <v>10000</v>
          </cell>
          <cell r="DY28">
            <v>22000</v>
          </cell>
          <cell r="DZ28">
            <v>21440</v>
          </cell>
          <cell r="EA28">
            <v>4580</v>
          </cell>
          <cell r="EB28">
            <v>5000</v>
          </cell>
          <cell r="EC28">
            <v>9760</v>
          </cell>
          <cell r="ED28">
            <v>14240</v>
          </cell>
          <cell r="EE28">
            <v>18000</v>
          </cell>
          <cell r="EF28">
            <v>475.303</v>
          </cell>
          <cell r="EG28">
            <v>4000</v>
          </cell>
          <cell r="EH28">
            <v>2000</v>
          </cell>
          <cell r="EI28">
            <v>143715.30300000001</v>
          </cell>
        </row>
        <row r="29">
          <cell r="B29">
            <v>1331000</v>
          </cell>
          <cell r="C29">
            <v>2580000</v>
          </cell>
          <cell r="D29">
            <v>-472000</v>
          </cell>
          <cell r="E29">
            <v>-573000</v>
          </cell>
          <cell r="F29">
            <v>2171000</v>
          </cell>
          <cell r="G29">
            <v>3082000</v>
          </cell>
          <cell r="H29">
            <v>3246000</v>
          </cell>
          <cell r="I29">
            <v>5890000</v>
          </cell>
          <cell r="J29">
            <v>4459000</v>
          </cell>
          <cell r="K29">
            <v>1044000</v>
          </cell>
          <cell r="L29">
            <v>3213000</v>
          </cell>
          <cell r="M29">
            <v>3801000</v>
          </cell>
          <cell r="N29">
            <v>1136000</v>
          </cell>
          <cell r="O29">
            <v>3566000</v>
          </cell>
          <cell r="P29">
            <v>8122255</v>
          </cell>
          <cell r="Q29">
            <v>1926000</v>
          </cell>
          <cell r="R29">
            <v>286000</v>
          </cell>
          <cell r="S29">
            <v>44808255</v>
          </cell>
          <cell r="V29">
            <v>4998000</v>
          </cell>
          <cell r="W29">
            <v>3788000</v>
          </cell>
          <cell r="X29">
            <v>657000</v>
          </cell>
          <cell r="Y29">
            <v>4415000</v>
          </cell>
          <cell r="Z29">
            <v>3347000</v>
          </cell>
          <cell r="AA29">
            <v>4612000</v>
          </cell>
          <cell r="AB29">
            <v>3389000</v>
          </cell>
          <cell r="AC29">
            <v>7436000</v>
          </cell>
          <cell r="AD29">
            <v>5103000</v>
          </cell>
          <cell r="AE29">
            <v>951000</v>
          </cell>
          <cell r="AF29">
            <v>5367000</v>
          </cell>
          <cell r="AG29">
            <v>6091000</v>
          </cell>
          <cell r="AH29">
            <v>8914600</v>
          </cell>
          <cell r="AI29">
            <v>6344000</v>
          </cell>
          <cell r="AJ29">
            <v>29980655</v>
          </cell>
          <cell r="AK29">
            <v>1926000</v>
          </cell>
          <cell r="AL29">
            <v>-219000</v>
          </cell>
          <cell r="AM29">
            <v>97100255</v>
          </cell>
          <cell r="AP29">
            <v>5698000</v>
          </cell>
          <cell r="AQ29">
            <v>5292000</v>
          </cell>
          <cell r="AR29">
            <v>1843000</v>
          </cell>
          <cell r="AS29">
            <v>7815000</v>
          </cell>
          <cell r="AT29">
            <v>5375000</v>
          </cell>
          <cell r="AU29">
            <v>6496000</v>
          </cell>
          <cell r="AV29">
            <v>4304000</v>
          </cell>
          <cell r="AW29">
            <v>9894000</v>
          </cell>
          <cell r="AX29">
            <v>7938000</v>
          </cell>
          <cell r="AY29">
            <v>2055000</v>
          </cell>
          <cell r="AZ29">
            <v>6033000</v>
          </cell>
          <cell r="BA29">
            <v>8371000</v>
          </cell>
          <cell r="BB29">
            <v>13499600</v>
          </cell>
          <cell r="BC29">
            <v>8521700</v>
          </cell>
          <cell r="BD29">
            <v>40195575</v>
          </cell>
          <cell r="BE29">
            <v>3062000</v>
          </cell>
          <cell r="BF29">
            <v>554000</v>
          </cell>
          <cell r="BG29">
            <v>136946875</v>
          </cell>
          <cell r="BJ29">
            <v>7448000</v>
          </cell>
          <cell r="BK29">
            <v>6322000</v>
          </cell>
          <cell r="BL29">
            <v>1843000</v>
          </cell>
          <cell r="BM29">
            <v>7929000</v>
          </cell>
          <cell r="BN29">
            <v>6693000</v>
          </cell>
          <cell r="BO29">
            <v>9616000</v>
          </cell>
          <cell r="BP29">
            <v>5424000</v>
          </cell>
          <cell r="BQ29">
            <v>11114000</v>
          </cell>
          <cell r="BR29">
            <v>13118000</v>
          </cell>
          <cell r="BS29">
            <v>4081000</v>
          </cell>
          <cell r="BT29">
            <v>6033000</v>
          </cell>
          <cell r="BU29">
            <v>8811000</v>
          </cell>
          <cell r="BV29">
            <v>12784600</v>
          </cell>
          <cell r="BW29">
            <v>9593700</v>
          </cell>
          <cell r="BX29">
            <v>40992255</v>
          </cell>
          <cell r="BY29">
            <v>4122000</v>
          </cell>
          <cell r="BZ29">
            <v>554000</v>
          </cell>
          <cell r="CA29">
            <v>156478555</v>
          </cell>
          <cell r="CD29">
            <v>8248000</v>
          </cell>
          <cell r="CE29">
            <v>7542000</v>
          </cell>
          <cell r="CF29">
            <v>1543000</v>
          </cell>
          <cell r="CG29">
            <v>7929000</v>
          </cell>
          <cell r="CH29">
            <v>6693000</v>
          </cell>
          <cell r="CI29">
            <v>9616000</v>
          </cell>
          <cell r="CJ29">
            <v>8344000</v>
          </cell>
          <cell r="CK29">
            <v>13394000</v>
          </cell>
          <cell r="CL29">
            <v>15318000</v>
          </cell>
          <cell r="CM29">
            <v>4081000</v>
          </cell>
          <cell r="CN29">
            <v>6783000</v>
          </cell>
          <cell r="CO29">
            <v>11111000</v>
          </cell>
          <cell r="CP29">
            <v>11084600</v>
          </cell>
          <cell r="CQ29">
            <v>10173700</v>
          </cell>
          <cell r="CR29">
            <v>40057995</v>
          </cell>
          <cell r="CS29">
            <v>4122000</v>
          </cell>
          <cell r="CT29">
            <v>554000</v>
          </cell>
          <cell r="CU29">
            <v>166594295</v>
          </cell>
          <cell r="CX29">
            <v>10648000</v>
          </cell>
          <cell r="CY29">
            <v>7656000</v>
          </cell>
          <cell r="CZ29">
            <v>1543000</v>
          </cell>
          <cell r="DA29">
            <v>3429000</v>
          </cell>
          <cell r="DB29">
            <v>6773000</v>
          </cell>
          <cell r="DC29">
            <v>10996000</v>
          </cell>
          <cell r="DD29">
            <v>8944000</v>
          </cell>
          <cell r="DE29">
            <v>15869000</v>
          </cell>
          <cell r="DF29">
            <v>20259000</v>
          </cell>
          <cell r="DG29">
            <v>5335000</v>
          </cell>
          <cell r="DH29">
            <v>8383000</v>
          </cell>
          <cell r="DI29">
            <v>14931000</v>
          </cell>
          <cell r="DJ29">
            <v>15004600</v>
          </cell>
          <cell r="DK29">
            <v>7713700</v>
          </cell>
          <cell r="DL29">
            <v>45457740.754000001</v>
          </cell>
          <cell r="DM29">
            <v>5292000</v>
          </cell>
          <cell r="DN29">
            <v>554000</v>
          </cell>
          <cell r="DO29">
            <v>188788040.75400004</v>
          </cell>
          <cell r="DR29">
            <v>4900100</v>
          </cell>
          <cell r="DS29">
            <v>7969240</v>
          </cell>
          <cell r="DT29">
            <v>-746080</v>
          </cell>
          <cell r="DU29">
            <v>-3384960</v>
          </cell>
          <cell r="DV29">
            <v>6045420</v>
          </cell>
          <cell r="DW29">
            <v>9802840</v>
          </cell>
          <cell r="DX29">
            <v>6403900</v>
          </cell>
          <cell r="DY29">
            <v>10543040</v>
          </cell>
          <cell r="DZ29">
            <v>16722660</v>
          </cell>
          <cell r="EA29">
            <v>822020</v>
          </cell>
          <cell r="EB29">
            <v>6243120</v>
          </cell>
          <cell r="EC29">
            <v>12157200</v>
          </cell>
          <cell r="ED29">
            <v>10071980</v>
          </cell>
          <cell r="EE29">
            <v>-5891460</v>
          </cell>
          <cell r="EF29">
            <v>49995960.754000001</v>
          </cell>
          <cell r="EG29">
            <v>3418920</v>
          </cell>
          <cell r="EH29">
            <v>-1747580</v>
          </cell>
          <cell r="EI29">
            <v>133326320.75400001</v>
          </cell>
        </row>
        <row r="30">
          <cell r="B30">
            <v>2800</v>
          </cell>
          <cell r="C30">
            <v>1500</v>
          </cell>
          <cell r="D30">
            <v>-4000</v>
          </cell>
          <cell r="E30">
            <v>-12500</v>
          </cell>
          <cell r="F30">
            <v>4750</v>
          </cell>
          <cell r="G30">
            <v>2000</v>
          </cell>
          <cell r="H30">
            <v>4000</v>
          </cell>
          <cell r="I30">
            <v>10000</v>
          </cell>
          <cell r="J30">
            <v>1500</v>
          </cell>
          <cell r="K30">
            <v>1500</v>
          </cell>
          <cell r="L30">
            <v>2000</v>
          </cell>
          <cell r="M30">
            <v>6000</v>
          </cell>
          <cell r="N30">
            <v>11250</v>
          </cell>
          <cell r="O30">
            <v>2500</v>
          </cell>
          <cell r="P30">
            <v>55780</v>
          </cell>
          <cell r="Q30">
            <v>3500</v>
          </cell>
          <cell r="R30">
            <v>500</v>
          </cell>
          <cell r="S30">
            <v>93080</v>
          </cell>
          <cell r="V30">
            <v>3800</v>
          </cell>
          <cell r="W30">
            <v>3750</v>
          </cell>
          <cell r="X30">
            <v>-4000</v>
          </cell>
          <cell r="Y30">
            <v>-12500</v>
          </cell>
          <cell r="Z30">
            <v>7750</v>
          </cell>
          <cell r="AA30">
            <v>4000</v>
          </cell>
          <cell r="AB30">
            <v>11500</v>
          </cell>
          <cell r="AC30">
            <v>11000</v>
          </cell>
          <cell r="AD30">
            <v>7000</v>
          </cell>
          <cell r="AE30">
            <v>3250</v>
          </cell>
          <cell r="AF30">
            <v>9250</v>
          </cell>
          <cell r="AG30">
            <v>8750</v>
          </cell>
          <cell r="AH30">
            <v>16750</v>
          </cell>
          <cell r="AI30">
            <v>2500</v>
          </cell>
          <cell r="AJ30">
            <v>76030</v>
          </cell>
          <cell r="AK30">
            <v>3500</v>
          </cell>
          <cell r="AL30">
            <v>600</v>
          </cell>
          <cell r="AM30">
            <v>152930</v>
          </cell>
          <cell r="AP30">
            <v>6800</v>
          </cell>
          <cell r="AQ30">
            <v>4250</v>
          </cell>
          <cell r="AR30">
            <v>-4000</v>
          </cell>
          <cell r="AS30">
            <v>-12500</v>
          </cell>
          <cell r="AT30">
            <v>9250</v>
          </cell>
          <cell r="AU30">
            <v>11000</v>
          </cell>
          <cell r="AV30">
            <v>11500</v>
          </cell>
          <cell r="AW30">
            <v>12500</v>
          </cell>
          <cell r="AX30">
            <v>11500</v>
          </cell>
          <cell r="AY30">
            <v>4000</v>
          </cell>
          <cell r="AZ30">
            <v>10750</v>
          </cell>
          <cell r="BA30">
            <v>9750</v>
          </cell>
          <cell r="BB30">
            <v>18250</v>
          </cell>
          <cell r="BC30">
            <v>2500</v>
          </cell>
          <cell r="BD30">
            <v>106068.132</v>
          </cell>
          <cell r="BE30">
            <v>6000</v>
          </cell>
          <cell r="BF30">
            <v>800</v>
          </cell>
          <cell r="BG30">
            <v>208418.13199999998</v>
          </cell>
          <cell r="BJ30">
            <v>6800</v>
          </cell>
          <cell r="BK30">
            <v>5000</v>
          </cell>
          <cell r="BL30">
            <v>-4000</v>
          </cell>
          <cell r="BM30">
            <v>-12500</v>
          </cell>
          <cell r="BN30">
            <v>10000</v>
          </cell>
          <cell r="BO30">
            <v>11000</v>
          </cell>
          <cell r="BP30">
            <v>14000</v>
          </cell>
          <cell r="BQ30">
            <v>15250</v>
          </cell>
          <cell r="BR30">
            <v>15500</v>
          </cell>
          <cell r="BS30">
            <v>5000</v>
          </cell>
          <cell r="BT30">
            <v>12750</v>
          </cell>
          <cell r="BU30">
            <v>14750</v>
          </cell>
          <cell r="BV30">
            <v>19750</v>
          </cell>
          <cell r="BW30">
            <v>2500</v>
          </cell>
          <cell r="BX30">
            <v>116788.132</v>
          </cell>
          <cell r="BY30">
            <v>9000</v>
          </cell>
          <cell r="BZ30">
            <v>800</v>
          </cell>
          <cell r="CA30">
            <v>242388.13199999998</v>
          </cell>
          <cell r="CD30">
            <v>7800</v>
          </cell>
          <cell r="CE30">
            <v>5500</v>
          </cell>
          <cell r="CF30">
            <v>-5250</v>
          </cell>
          <cell r="CG30">
            <v>-12500</v>
          </cell>
          <cell r="CH30">
            <v>10000</v>
          </cell>
          <cell r="CI30">
            <v>11000</v>
          </cell>
          <cell r="CJ30">
            <v>16000</v>
          </cell>
          <cell r="CK30">
            <v>19750</v>
          </cell>
          <cell r="CL30">
            <v>15500</v>
          </cell>
          <cell r="CM30">
            <v>5000</v>
          </cell>
          <cell r="CN30">
            <v>14000</v>
          </cell>
          <cell r="CO30">
            <v>16250</v>
          </cell>
          <cell r="CP30">
            <v>22000</v>
          </cell>
          <cell r="CQ30">
            <v>2500</v>
          </cell>
          <cell r="CR30">
            <v>123038.132</v>
          </cell>
          <cell r="CS30">
            <v>9000</v>
          </cell>
          <cell r="CT30">
            <v>800</v>
          </cell>
          <cell r="CU30">
            <v>260388.13199999998</v>
          </cell>
          <cell r="CX30">
            <v>10300</v>
          </cell>
          <cell r="CY30">
            <v>6000</v>
          </cell>
          <cell r="CZ30">
            <v>-5250</v>
          </cell>
          <cell r="DA30">
            <v>-12500</v>
          </cell>
          <cell r="DB30">
            <v>13250</v>
          </cell>
          <cell r="DC30">
            <v>12500</v>
          </cell>
          <cell r="DD30">
            <v>19500</v>
          </cell>
          <cell r="DE30">
            <v>20750</v>
          </cell>
          <cell r="DF30">
            <v>17500</v>
          </cell>
          <cell r="DG30">
            <v>5500</v>
          </cell>
          <cell r="DH30">
            <v>17000</v>
          </cell>
          <cell r="DI30">
            <v>20250</v>
          </cell>
          <cell r="DJ30">
            <v>27000</v>
          </cell>
          <cell r="DK30">
            <v>2500</v>
          </cell>
          <cell r="DL30">
            <v>144288.13199999998</v>
          </cell>
          <cell r="DM30">
            <v>11500</v>
          </cell>
          <cell r="DN30">
            <v>800</v>
          </cell>
          <cell r="DO30">
            <v>310888.13199999998</v>
          </cell>
          <cell r="DR30">
            <v>9765</v>
          </cell>
          <cell r="DS30">
            <v>3290</v>
          </cell>
          <cell r="DT30">
            <v>-13565</v>
          </cell>
          <cell r="DU30">
            <v>-27990</v>
          </cell>
          <cell r="DV30">
            <v>13615</v>
          </cell>
          <cell r="DW30">
            <v>9500</v>
          </cell>
          <cell r="DX30">
            <v>23820</v>
          </cell>
          <cell r="DY30">
            <v>18005</v>
          </cell>
          <cell r="DZ30">
            <v>14665</v>
          </cell>
          <cell r="EA30">
            <v>-3195</v>
          </cell>
          <cell r="EB30">
            <v>15920</v>
          </cell>
          <cell r="EC30">
            <v>20470</v>
          </cell>
          <cell r="ED30">
            <v>17445</v>
          </cell>
          <cell r="EE30">
            <v>-8540</v>
          </cell>
          <cell r="EF30">
            <v>69883.131999999983</v>
          </cell>
          <cell r="EG30">
            <v>10650</v>
          </cell>
          <cell r="EH30">
            <v>-90</v>
          </cell>
          <cell r="EI30">
            <v>173648.13199999998</v>
          </cell>
        </row>
        <row r="31">
          <cell r="B31">
            <v>1625</v>
          </cell>
          <cell r="C31">
            <v>250</v>
          </cell>
          <cell r="D31">
            <v>0</v>
          </cell>
          <cell r="E31">
            <v>0</v>
          </cell>
          <cell r="F31">
            <v>2500</v>
          </cell>
          <cell r="G31">
            <v>1750</v>
          </cell>
          <cell r="H31">
            <v>3250</v>
          </cell>
          <cell r="I31">
            <v>5500</v>
          </cell>
          <cell r="J31">
            <v>2250</v>
          </cell>
          <cell r="K31">
            <v>875</v>
          </cell>
          <cell r="L31">
            <v>2625</v>
          </cell>
          <cell r="M31">
            <v>3250</v>
          </cell>
          <cell r="N31">
            <v>6750</v>
          </cell>
          <cell r="O31">
            <v>3250</v>
          </cell>
          <cell r="P31">
            <v>45800</v>
          </cell>
          <cell r="Q31">
            <v>1500</v>
          </cell>
          <cell r="R31">
            <v>250</v>
          </cell>
          <cell r="S31">
            <v>81425</v>
          </cell>
          <cell r="V31">
            <v>2375</v>
          </cell>
          <cell r="W31">
            <v>1375</v>
          </cell>
          <cell r="X31">
            <v>0</v>
          </cell>
          <cell r="Y31">
            <v>0</v>
          </cell>
          <cell r="Z31">
            <v>4625</v>
          </cell>
          <cell r="AA31">
            <v>2750</v>
          </cell>
          <cell r="AB31">
            <v>7250</v>
          </cell>
          <cell r="AC31">
            <v>6000</v>
          </cell>
          <cell r="AD31">
            <v>5125</v>
          </cell>
          <cell r="AE31">
            <v>1375</v>
          </cell>
          <cell r="AF31">
            <v>4775</v>
          </cell>
          <cell r="AG31">
            <v>4625</v>
          </cell>
          <cell r="AH31">
            <v>10125</v>
          </cell>
          <cell r="AI31">
            <v>3250</v>
          </cell>
          <cell r="AJ31">
            <v>60720</v>
          </cell>
          <cell r="AK31">
            <v>1500</v>
          </cell>
          <cell r="AL31">
            <v>350</v>
          </cell>
          <cell r="AM31">
            <v>116220</v>
          </cell>
          <cell r="AP31">
            <v>3625</v>
          </cell>
          <cell r="AQ31">
            <v>2750</v>
          </cell>
          <cell r="AR31">
            <v>0</v>
          </cell>
          <cell r="AS31">
            <v>0</v>
          </cell>
          <cell r="AT31">
            <v>5375</v>
          </cell>
          <cell r="AU31">
            <v>4000</v>
          </cell>
          <cell r="AV31">
            <v>8250</v>
          </cell>
          <cell r="AW31">
            <v>7750</v>
          </cell>
          <cell r="AX31">
            <v>6875</v>
          </cell>
          <cell r="AY31">
            <v>3500</v>
          </cell>
          <cell r="AZ31">
            <v>5025</v>
          </cell>
          <cell r="BA31">
            <v>4625</v>
          </cell>
          <cell r="BB31">
            <v>11625</v>
          </cell>
          <cell r="BC31">
            <v>3250</v>
          </cell>
          <cell r="BD31">
            <v>84470</v>
          </cell>
          <cell r="BE31">
            <v>2250</v>
          </cell>
          <cell r="BF31">
            <v>425</v>
          </cell>
          <cell r="BG31">
            <v>153795</v>
          </cell>
          <cell r="BJ31">
            <v>3625</v>
          </cell>
          <cell r="BK31">
            <v>3000</v>
          </cell>
          <cell r="BL31">
            <v>0</v>
          </cell>
          <cell r="BM31">
            <v>0</v>
          </cell>
          <cell r="BN31">
            <v>5375</v>
          </cell>
          <cell r="BO31">
            <v>6250</v>
          </cell>
          <cell r="BP31">
            <v>8875</v>
          </cell>
          <cell r="BQ31">
            <v>9000</v>
          </cell>
          <cell r="BR31">
            <v>9000</v>
          </cell>
          <cell r="BS31">
            <v>3500</v>
          </cell>
          <cell r="BT31">
            <v>5900</v>
          </cell>
          <cell r="BU31">
            <v>5875</v>
          </cell>
          <cell r="BV31">
            <v>12500</v>
          </cell>
          <cell r="BW31">
            <v>3250</v>
          </cell>
          <cell r="BX31">
            <v>92030</v>
          </cell>
          <cell r="BY31">
            <v>3750</v>
          </cell>
          <cell r="BZ31">
            <v>425</v>
          </cell>
          <cell r="CA31">
            <v>172355</v>
          </cell>
          <cell r="CD31">
            <v>4125</v>
          </cell>
          <cell r="CE31">
            <v>3500</v>
          </cell>
          <cell r="CF31">
            <v>0</v>
          </cell>
          <cell r="CG31">
            <v>0</v>
          </cell>
          <cell r="CH31">
            <v>5375</v>
          </cell>
          <cell r="CI31">
            <v>6250</v>
          </cell>
          <cell r="CJ31">
            <v>12125</v>
          </cell>
          <cell r="CK31">
            <v>11500</v>
          </cell>
          <cell r="CL31">
            <v>9000</v>
          </cell>
          <cell r="CM31">
            <v>3500</v>
          </cell>
          <cell r="CN31">
            <v>6150</v>
          </cell>
          <cell r="CO31">
            <v>5875</v>
          </cell>
          <cell r="CP31">
            <v>14000</v>
          </cell>
          <cell r="CQ31">
            <v>4500</v>
          </cell>
          <cell r="CR31">
            <v>100190</v>
          </cell>
          <cell r="CS31">
            <v>3750</v>
          </cell>
          <cell r="CT31">
            <v>425</v>
          </cell>
          <cell r="CU31">
            <v>190265</v>
          </cell>
          <cell r="CX31">
            <v>4375</v>
          </cell>
          <cell r="CY31">
            <v>4000</v>
          </cell>
          <cell r="CZ31">
            <v>0</v>
          </cell>
          <cell r="DA31">
            <v>0</v>
          </cell>
          <cell r="DB31">
            <v>7000</v>
          </cell>
          <cell r="DC31">
            <v>6250</v>
          </cell>
          <cell r="DD31">
            <v>13375</v>
          </cell>
          <cell r="DE31">
            <v>11500</v>
          </cell>
          <cell r="DF31">
            <v>9875</v>
          </cell>
          <cell r="DG31">
            <v>3500</v>
          </cell>
          <cell r="DH31">
            <v>6900</v>
          </cell>
          <cell r="DI31">
            <v>7625</v>
          </cell>
          <cell r="DJ31">
            <v>16875</v>
          </cell>
          <cell r="DK31">
            <v>6500</v>
          </cell>
          <cell r="DL31">
            <v>115855</v>
          </cell>
          <cell r="DM31">
            <v>4000</v>
          </cell>
          <cell r="DN31">
            <v>425</v>
          </cell>
          <cell r="DO31">
            <v>218055</v>
          </cell>
          <cell r="DR31">
            <v>4595</v>
          </cell>
          <cell r="DS31">
            <v>2532.5</v>
          </cell>
          <cell r="DT31">
            <v>-1822.5</v>
          </cell>
          <cell r="DU31">
            <v>570</v>
          </cell>
          <cell r="DV31">
            <v>7247.5</v>
          </cell>
          <cell r="DW31">
            <v>5057.5</v>
          </cell>
          <cell r="DX31">
            <v>16480</v>
          </cell>
          <cell r="DY31">
            <v>11735</v>
          </cell>
          <cell r="DZ31">
            <v>9557.5</v>
          </cell>
          <cell r="EA31">
            <v>1942.5</v>
          </cell>
          <cell r="EB31">
            <v>7517.5</v>
          </cell>
          <cell r="EC31">
            <v>8657.5</v>
          </cell>
          <cell r="ED31">
            <v>18192.5</v>
          </cell>
          <cell r="EE31">
            <v>5592.5</v>
          </cell>
          <cell r="EF31">
            <v>98627.5</v>
          </cell>
          <cell r="EG31">
            <v>3007.5</v>
          </cell>
          <cell r="EH31">
            <v>497.5</v>
          </cell>
          <cell r="EI31">
            <v>199987.5</v>
          </cell>
        </row>
        <row r="32">
          <cell r="B32">
            <v>250</v>
          </cell>
          <cell r="C32">
            <v>500</v>
          </cell>
          <cell r="D32">
            <v>0</v>
          </cell>
          <cell r="E32">
            <v>500</v>
          </cell>
          <cell r="F32">
            <v>800</v>
          </cell>
          <cell r="G32">
            <v>600</v>
          </cell>
          <cell r="H32">
            <v>600</v>
          </cell>
          <cell r="I32">
            <v>800</v>
          </cell>
          <cell r="J32">
            <v>400</v>
          </cell>
          <cell r="K32">
            <v>600</v>
          </cell>
          <cell r="L32">
            <v>400</v>
          </cell>
          <cell r="M32">
            <v>1000</v>
          </cell>
          <cell r="N32">
            <v>1700</v>
          </cell>
          <cell r="O32">
            <v>2200</v>
          </cell>
          <cell r="P32">
            <v>3220</v>
          </cell>
          <cell r="Q32">
            <v>400</v>
          </cell>
          <cell r="R32">
            <v>0</v>
          </cell>
          <cell r="S32">
            <v>13970</v>
          </cell>
          <cell r="V32">
            <v>450</v>
          </cell>
          <cell r="W32">
            <v>700</v>
          </cell>
          <cell r="X32">
            <v>0</v>
          </cell>
          <cell r="Y32">
            <v>700</v>
          </cell>
          <cell r="Z32">
            <v>1000</v>
          </cell>
          <cell r="AA32">
            <v>600</v>
          </cell>
          <cell r="AB32">
            <v>800</v>
          </cell>
          <cell r="AC32">
            <v>800</v>
          </cell>
          <cell r="AD32">
            <v>600</v>
          </cell>
          <cell r="AE32">
            <v>600</v>
          </cell>
          <cell r="AF32">
            <v>600</v>
          </cell>
          <cell r="AG32">
            <v>1200</v>
          </cell>
          <cell r="AH32">
            <v>2000</v>
          </cell>
          <cell r="AI32">
            <v>2800</v>
          </cell>
          <cell r="AJ32">
            <v>5060</v>
          </cell>
          <cell r="AK32">
            <v>400</v>
          </cell>
          <cell r="AL32">
            <v>340</v>
          </cell>
          <cell r="AM32">
            <v>18650</v>
          </cell>
          <cell r="AP32">
            <v>850</v>
          </cell>
          <cell r="AQ32">
            <v>1300</v>
          </cell>
          <cell r="AR32">
            <v>0</v>
          </cell>
          <cell r="AS32">
            <v>700</v>
          </cell>
          <cell r="AT32">
            <v>2000</v>
          </cell>
          <cell r="AU32">
            <v>1600</v>
          </cell>
          <cell r="AV32">
            <v>1400</v>
          </cell>
          <cell r="AW32">
            <v>1800</v>
          </cell>
          <cell r="AX32">
            <v>1200</v>
          </cell>
          <cell r="AY32">
            <v>1200</v>
          </cell>
          <cell r="AZ32">
            <v>1000</v>
          </cell>
          <cell r="BA32">
            <v>2000</v>
          </cell>
          <cell r="BB32">
            <v>2500</v>
          </cell>
          <cell r="BC32">
            <v>3200</v>
          </cell>
          <cell r="BD32">
            <v>9100</v>
          </cell>
          <cell r="BE32">
            <v>800</v>
          </cell>
          <cell r="BF32">
            <v>220</v>
          </cell>
          <cell r="BG32">
            <v>30870</v>
          </cell>
          <cell r="BJ32">
            <v>850</v>
          </cell>
          <cell r="BK32">
            <v>1500</v>
          </cell>
          <cell r="BL32">
            <v>0</v>
          </cell>
          <cell r="BM32">
            <v>1300</v>
          </cell>
          <cell r="BN32">
            <v>2300</v>
          </cell>
          <cell r="BO32">
            <v>2200</v>
          </cell>
          <cell r="BP32">
            <v>1800</v>
          </cell>
          <cell r="BQ32">
            <v>1800</v>
          </cell>
          <cell r="BR32">
            <v>1800</v>
          </cell>
          <cell r="BS32">
            <v>1600</v>
          </cell>
          <cell r="BT32">
            <v>1300</v>
          </cell>
          <cell r="BU32">
            <v>2200</v>
          </cell>
          <cell r="BV32">
            <v>2900</v>
          </cell>
          <cell r="BW32">
            <v>3400</v>
          </cell>
          <cell r="BX32">
            <v>12560</v>
          </cell>
          <cell r="BY32">
            <v>1000</v>
          </cell>
          <cell r="BZ32">
            <v>220</v>
          </cell>
          <cell r="CA32">
            <v>38730</v>
          </cell>
          <cell r="CD32">
            <v>850</v>
          </cell>
          <cell r="CE32">
            <v>1500</v>
          </cell>
          <cell r="CF32">
            <v>0</v>
          </cell>
          <cell r="CG32">
            <v>1300</v>
          </cell>
          <cell r="CH32">
            <v>2300</v>
          </cell>
          <cell r="CI32">
            <v>2200</v>
          </cell>
          <cell r="CJ32">
            <v>1800</v>
          </cell>
          <cell r="CK32">
            <v>2400</v>
          </cell>
          <cell r="CL32">
            <v>1800</v>
          </cell>
          <cell r="CM32">
            <v>1600</v>
          </cell>
          <cell r="CN32">
            <v>1400</v>
          </cell>
          <cell r="CO32">
            <v>2600</v>
          </cell>
          <cell r="CP32">
            <v>3500</v>
          </cell>
          <cell r="CQ32">
            <v>3700</v>
          </cell>
          <cell r="CR32">
            <v>13592</v>
          </cell>
          <cell r="CS32">
            <v>1000</v>
          </cell>
          <cell r="CT32">
            <v>220</v>
          </cell>
          <cell r="CU32">
            <v>41762</v>
          </cell>
          <cell r="CX32">
            <v>1050</v>
          </cell>
          <cell r="CY32">
            <v>1500</v>
          </cell>
          <cell r="CZ32">
            <v>0</v>
          </cell>
          <cell r="DA32">
            <v>1300</v>
          </cell>
          <cell r="DB32">
            <v>2700</v>
          </cell>
          <cell r="DC32">
            <v>3000</v>
          </cell>
          <cell r="DD32">
            <v>3200</v>
          </cell>
          <cell r="DE32">
            <v>3000</v>
          </cell>
          <cell r="DF32">
            <v>2800</v>
          </cell>
          <cell r="DG32">
            <v>1800</v>
          </cell>
          <cell r="DH32">
            <v>1600</v>
          </cell>
          <cell r="DI32">
            <v>3300</v>
          </cell>
          <cell r="DJ32">
            <v>4700</v>
          </cell>
          <cell r="DK32">
            <v>4700</v>
          </cell>
          <cell r="DL32">
            <v>16824</v>
          </cell>
          <cell r="DM32">
            <v>1400</v>
          </cell>
          <cell r="DN32">
            <v>220</v>
          </cell>
          <cell r="DO32">
            <v>53094</v>
          </cell>
          <cell r="DR32">
            <v>1004</v>
          </cell>
          <cell r="DS32">
            <v>1554</v>
          </cell>
          <cell r="DT32">
            <v>-102</v>
          </cell>
          <cell r="DU32">
            <v>1528</v>
          </cell>
          <cell r="DV32">
            <v>2792</v>
          </cell>
          <cell r="DW32">
            <v>1908</v>
          </cell>
          <cell r="DX32">
            <v>3016</v>
          </cell>
          <cell r="DY32">
            <v>356</v>
          </cell>
          <cell r="DZ32">
            <v>2212</v>
          </cell>
          <cell r="EA32">
            <v>1392</v>
          </cell>
          <cell r="EB32">
            <v>2064</v>
          </cell>
          <cell r="EC32">
            <v>2980</v>
          </cell>
          <cell r="ED32">
            <v>5064</v>
          </cell>
          <cell r="EE32">
            <v>4580</v>
          </cell>
          <cell r="EF32">
            <v>17956</v>
          </cell>
          <cell r="EG32">
            <v>428</v>
          </cell>
          <cell r="EH32">
            <v>-120</v>
          </cell>
          <cell r="EI32">
            <v>48612</v>
          </cell>
        </row>
        <row r="33">
          <cell r="B33">
            <v>415</v>
          </cell>
          <cell r="C33">
            <v>200</v>
          </cell>
          <cell r="D33">
            <v>100</v>
          </cell>
          <cell r="E33">
            <v>640</v>
          </cell>
          <cell r="F33">
            <v>500</v>
          </cell>
          <cell r="G33">
            <v>400</v>
          </cell>
          <cell r="H33">
            <v>800</v>
          </cell>
          <cell r="I33">
            <v>500</v>
          </cell>
          <cell r="J33">
            <v>550</v>
          </cell>
          <cell r="K33">
            <v>200</v>
          </cell>
          <cell r="L33">
            <v>450</v>
          </cell>
          <cell r="M33">
            <v>700</v>
          </cell>
          <cell r="N33">
            <v>1300</v>
          </cell>
          <cell r="O33">
            <v>500</v>
          </cell>
          <cell r="P33">
            <v>4923</v>
          </cell>
          <cell r="Q33">
            <v>400</v>
          </cell>
          <cell r="R33">
            <v>0</v>
          </cell>
          <cell r="S33">
            <v>12578</v>
          </cell>
          <cell r="V33">
            <v>515</v>
          </cell>
          <cell r="W33">
            <v>300</v>
          </cell>
          <cell r="X33">
            <v>230</v>
          </cell>
          <cell r="Y33">
            <v>840</v>
          </cell>
          <cell r="Z33">
            <v>650</v>
          </cell>
          <cell r="AA33">
            <v>500</v>
          </cell>
          <cell r="AB33">
            <v>800</v>
          </cell>
          <cell r="AC33">
            <v>550</v>
          </cell>
          <cell r="AD33">
            <v>750</v>
          </cell>
          <cell r="AE33">
            <v>300</v>
          </cell>
          <cell r="AF33">
            <v>550</v>
          </cell>
          <cell r="AG33">
            <v>800</v>
          </cell>
          <cell r="AH33">
            <v>1400</v>
          </cell>
          <cell r="AI33">
            <v>800</v>
          </cell>
          <cell r="AJ33">
            <v>6365</v>
          </cell>
          <cell r="AK33">
            <v>400</v>
          </cell>
          <cell r="AL33">
            <v>120</v>
          </cell>
          <cell r="AM33">
            <v>15870</v>
          </cell>
          <cell r="AP33">
            <v>515</v>
          </cell>
          <cell r="AQ33">
            <v>400</v>
          </cell>
          <cell r="AR33">
            <v>230</v>
          </cell>
          <cell r="AS33">
            <v>840</v>
          </cell>
          <cell r="AT33">
            <v>950</v>
          </cell>
          <cell r="AU33">
            <v>800</v>
          </cell>
          <cell r="AV33">
            <v>900</v>
          </cell>
          <cell r="AW33">
            <v>650</v>
          </cell>
          <cell r="AX33">
            <v>850</v>
          </cell>
          <cell r="AY33">
            <v>400</v>
          </cell>
          <cell r="AZ33">
            <v>650</v>
          </cell>
          <cell r="BA33">
            <v>1000</v>
          </cell>
          <cell r="BB33">
            <v>1500</v>
          </cell>
          <cell r="BC33">
            <v>1000</v>
          </cell>
          <cell r="BD33">
            <v>8765</v>
          </cell>
          <cell r="BE33">
            <v>600</v>
          </cell>
          <cell r="BF33">
            <v>60</v>
          </cell>
          <cell r="BG33">
            <v>20110</v>
          </cell>
          <cell r="BJ33">
            <v>515</v>
          </cell>
          <cell r="BK33">
            <v>500</v>
          </cell>
          <cell r="BL33">
            <v>230</v>
          </cell>
          <cell r="BM33">
            <v>1240</v>
          </cell>
          <cell r="BN33">
            <v>1150</v>
          </cell>
          <cell r="BO33">
            <v>1000</v>
          </cell>
          <cell r="BP33">
            <v>900</v>
          </cell>
          <cell r="BQ33">
            <v>650</v>
          </cell>
          <cell r="BR33">
            <v>1150</v>
          </cell>
          <cell r="BS33">
            <v>700</v>
          </cell>
          <cell r="BT33">
            <v>800</v>
          </cell>
          <cell r="BU33">
            <v>1100</v>
          </cell>
          <cell r="BV33">
            <v>1700</v>
          </cell>
          <cell r="BW33">
            <v>1100</v>
          </cell>
          <cell r="BX33">
            <v>10395</v>
          </cell>
          <cell r="BY33">
            <v>700</v>
          </cell>
          <cell r="BZ33">
            <v>60</v>
          </cell>
          <cell r="CA33">
            <v>23890</v>
          </cell>
          <cell r="CD33">
            <v>515</v>
          </cell>
          <cell r="CE33">
            <v>600</v>
          </cell>
          <cell r="CF33">
            <v>230</v>
          </cell>
          <cell r="CG33">
            <v>1240</v>
          </cell>
          <cell r="CH33">
            <v>1150</v>
          </cell>
          <cell r="CI33">
            <v>1000</v>
          </cell>
          <cell r="CJ33">
            <v>1100</v>
          </cell>
          <cell r="CK33">
            <v>750</v>
          </cell>
          <cell r="CL33">
            <v>1150</v>
          </cell>
          <cell r="CM33">
            <v>700</v>
          </cell>
          <cell r="CN33">
            <v>850</v>
          </cell>
          <cell r="CO33">
            <v>1200</v>
          </cell>
          <cell r="CP33">
            <v>1900</v>
          </cell>
          <cell r="CQ33">
            <v>1250</v>
          </cell>
          <cell r="CR33">
            <v>11361</v>
          </cell>
          <cell r="CS33">
            <v>700</v>
          </cell>
          <cell r="CT33">
            <v>60</v>
          </cell>
          <cell r="CU33">
            <v>25756</v>
          </cell>
          <cell r="CX33">
            <v>515</v>
          </cell>
          <cell r="CY33">
            <v>700</v>
          </cell>
          <cell r="CZ33">
            <v>230</v>
          </cell>
          <cell r="DA33">
            <v>1240</v>
          </cell>
          <cell r="DB33">
            <v>1300</v>
          </cell>
          <cell r="DC33">
            <v>1100</v>
          </cell>
          <cell r="DD33">
            <v>1300</v>
          </cell>
          <cell r="DE33">
            <v>850</v>
          </cell>
          <cell r="DF33">
            <v>1450</v>
          </cell>
          <cell r="DG33">
            <v>800</v>
          </cell>
          <cell r="DH33">
            <v>950</v>
          </cell>
          <cell r="DI33">
            <v>1450</v>
          </cell>
          <cell r="DJ33">
            <v>2200</v>
          </cell>
          <cell r="DK33">
            <v>1450</v>
          </cell>
          <cell r="DL33">
            <v>12389</v>
          </cell>
          <cell r="DM33">
            <v>700</v>
          </cell>
          <cell r="DN33">
            <v>60</v>
          </cell>
          <cell r="DO33">
            <v>28684</v>
          </cell>
          <cell r="DR33">
            <v>526</v>
          </cell>
          <cell r="DS33">
            <v>806</v>
          </cell>
          <cell r="DT33">
            <v>250</v>
          </cell>
          <cell r="DU33">
            <v>1334</v>
          </cell>
          <cell r="DV33">
            <v>1516</v>
          </cell>
          <cell r="DW33">
            <v>1016</v>
          </cell>
          <cell r="DX33">
            <v>1920</v>
          </cell>
          <cell r="DY33">
            <v>566</v>
          </cell>
          <cell r="DZ33">
            <v>1634</v>
          </cell>
          <cell r="EA33">
            <v>472</v>
          </cell>
          <cell r="EB33">
            <v>1119</v>
          </cell>
          <cell r="EC33">
            <v>1750</v>
          </cell>
          <cell r="ED33">
            <v>2286</v>
          </cell>
          <cell r="EE33">
            <v>1358</v>
          </cell>
          <cell r="EF33">
            <v>13890</v>
          </cell>
          <cell r="EG33">
            <v>649</v>
          </cell>
          <cell r="EH33">
            <v>-22</v>
          </cell>
          <cell r="EI33">
            <v>31070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10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10</v>
          </cell>
          <cell r="V34">
            <v>0</v>
          </cell>
          <cell r="W34">
            <v>0</v>
          </cell>
          <cell r="X34">
            <v>0</v>
          </cell>
          <cell r="Y34">
            <v>10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10</v>
          </cell>
          <cell r="AP34">
            <v>0</v>
          </cell>
          <cell r="AQ34">
            <v>0</v>
          </cell>
          <cell r="AR34">
            <v>0</v>
          </cell>
          <cell r="AS34">
            <v>10</v>
          </cell>
          <cell r="AT34">
            <v>0</v>
          </cell>
          <cell r="AU34">
            <v>0</v>
          </cell>
          <cell r="AV34">
            <v>100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110</v>
          </cell>
          <cell r="BJ34">
            <v>0</v>
          </cell>
          <cell r="BK34">
            <v>0</v>
          </cell>
          <cell r="BL34">
            <v>0</v>
          </cell>
          <cell r="BM34">
            <v>60</v>
          </cell>
          <cell r="BN34">
            <v>0</v>
          </cell>
          <cell r="BO34">
            <v>0</v>
          </cell>
          <cell r="BP34">
            <v>100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160</v>
          </cell>
          <cell r="CD34">
            <v>0</v>
          </cell>
          <cell r="CE34">
            <v>0</v>
          </cell>
          <cell r="CF34">
            <v>0</v>
          </cell>
          <cell r="CG34">
            <v>60</v>
          </cell>
          <cell r="CH34">
            <v>0</v>
          </cell>
          <cell r="CI34">
            <v>0</v>
          </cell>
          <cell r="CJ34">
            <v>300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50</v>
          </cell>
          <cell r="CS34">
            <v>0</v>
          </cell>
          <cell r="CT34">
            <v>0</v>
          </cell>
          <cell r="CU34">
            <v>410</v>
          </cell>
          <cell r="CX34">
            <v>0</v>
          </cell>
          <cell r="CY34">
            <v>0</v>
          </cell>
          <cell r="CZ34">
            <v>0</v>
          </cell>
          <cell r="DA34">
            <v>60</v>
          </cell>
          <cell r="DB34">
            <v>0</v>
          </cell>
          <cell r="DC34">
            <v>0</v>
          </cell>
          <cell r="DD34">
            <v>500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50</v>
          </cell>
          <cell r="DM34">
            <v>0</v>
          </cell>
          <cell r="DN34">
            <v>0</v>
          </cell>
          <cell r="DO34">
            <v>610</v>
          </cell>
          <cell r="DR34">
            <v>0</v>
          </cell>
          <cell r="DS34">
            <v>0</v>
          </cell>
          <cell r="DT34">
            <v>0</v>
          </cell>
          <cell r="DU34">
            <v>75</v>
          </cell>
          <cell r="DV34">
            <v>0</v>
          </cell>
          <cell r="DW34">
            <v>0</v>
          </cell>
          <cell r="DX34">
            <v>500</v>
          </cell>
          <cell r="DY34">
            <v>0</v>
          </cell>
          <cell r="DZ34">
            <v>4</v>
          </cell>
          <cell r="EA34">
            <v>0</v>
          </cell>
          <cell r="EB34">
            <v>0</v>
          </cell>
          <cell r="EC34">
            <v>2</v>
          </cell>
          <cell r="ED34">
            <v>0</v>
          </cell>
          <cell r="EE34">
            <v>0</v>
          </cell>
          <cell r="EF34">
            <v>50</v>
          </cell>
          <cell r="EG34">
            <v>0</v>
          </cell>
          <cell r="EH34">
            <v>0</v>
          </cell>
          <cell r="EI34">
            <v>631</v>
          </cell>
        </row>
        <row r="35">
          <cell r="B35">
            <v>5090</v>
          </cell>
          <cell r="C35">
            <v>2450</v>
          </cell>
          <cell r="D35">
            <v>-3900</v>
          </cell>
          <cell r="E35">
            <v>-11350</v>
          </cell>
          <cell r="F35">
            <v>8550</v>
          </cell>
          <cell r="G35">
            <v>4750</v>
          </cell>
          <cell r="H35">
            <v>8650</v>
          </cell>
          <cell r="I35">
            <v>16800</v>
          </cell>
          <cell r="J35">
            <v>4700</v>
          </cell>
          <cell r="K35">
            <v>3175</v>
          </cell>
          <cell r="L35">
            <v>5475</v>
          </cell>
          <cell r="M35">
            <v>10950</v>
          </cell>
          <cell r="N35">
            <v>21000</v>
          </cell>
          <cell r="O35">
            <v>8450</v>
          </cell>
          <cell r="P35">
            <v>109723</v>
          </cell>
          <cell r="Q35">
            <v>5800</v>
          </cell>
          <cell r="R35">
            <v>750</v>
          </cell>
          <cell r="S35">
            <v>201063</v>
          </cell>
          <cell r="V35">
            <v>7140</v>
          </cell>
          <cell r="W35">
            <v>6125</v>
          </cell>
          <cell r="X35">
            <v>-3770</v>
          </cell>
          <cell r="Y35">
            <v>-10950</v>
          </cell>
          <cell r="Z35">
            <v>14025</v>
          </cell>
          <cell r="AA35">
            <v>7850</v>
          </cell>
          <cell r="AB35">
            <v>20350</v>
          </cell>
          <cell r="AC35">
            <v>18350</v>
          </cell>
          <cell r="AD35">
            <v>13475</v>
          </cell>
          <cell r="AE35">
            <v>5525</v>
          </cell>
          <cell r="AF35">
            <v>15175</v>
          </cell>
          <cell r="AG35">
            <v>15375</v>
          </cell>
          <cell r="AH35">
            <v>30275</v>
          </cell>
          <cell r="AI35">
            <v>9350</v>
          </cell>
          <cell r="AJ35">
            <v>148175</v>
          </cell>
          <cell r="AK35">
            <v>5800</v>
          </cell>
          <cell r="AL35">
            <v>1410</v>
          </cell>
          <cell r="AM35">
            <v>303680</v>
          </cell>
          <cell r="AP35">
            <v>11790</v>
          </cell>
          <cell r="AQ35">
            <v>8700</v>
          </cell>
          <cell r="AR35">
            <v>-3770</v>
          </cell>
          <cell r="AS35">
            <v>-10950</v>
          </cell>
          <cell r="AT35">
            <v>17575</v>
          </cell>
          <cell r="AU35">
            <v>17400</v>
          </cell>
          <cell r="AV35">
            <v>22150</v>
          </cell>
          <cell r="AW35">
            <v>22700</v>
          </cell>
          <cell r="AX35">
            <v>20425</v>
          </cell>
          <cell r="AY35">
            <v>9100</v>
          </cell>
          <cell r="AZ35">
            <v>17425</v>
          </cell>
          <cell r="BA35">
            <v>17375</v>
          </cell>
          <cell r="BB35">
            <v>33875</v>
          </cell>
          <cell r="BC35">
            <v>9950</v>
          </cell>
          <cell r="BD35">
            <v>208403.13199999998</v>
          </cell>
          <cell r="BE35">
            <v>9650</v>
          </cell>
          <cell r="BF35">
            <v>1505</v>
          </cell>
          <cell r="BG35">
            <v>413303.13199999998</v>
          </cell>
          <cell r="BJ35">
            <v>11790</v>
          </cell>
          <cell r="BK35">
            <v>10000</v>
          </cell>
          <cell r="BL35">
            <v>-3770</v>
          </cell>
          <cell r="BM35">
            <v>-9900</v>
          </cell>
          <cell r="BN35">
            <v>18825</v>
          </cell>
          <cell r="BO35">
            <v>20450</v>
          </cell>
          <cell r="BP35">
            <v>25675</v>
          </cell>
          <cell r="BQ35">
            <v>26700</v>
          </cell>
          <cell r="BR35">
            <v>27450</v>
          </cell>
          <cell r="BS35">
            <v>10800</v>
          </cell>
          <cell r="BT35">
            <v>20750</v>
          </cell>
          <cell r="BU35">
            <v>23925</v>
          </cell>
          <cell r="BV35">
            <v>36850</v>
          </cell>
          <cell r="BW35">
            <v>10250</v>
          </cell>
          <cell r="BX35">
            <v>231773.13199999998</v>
          </cell>
          <cell r="BY35">
            <v>14450</v>
          </cell>
          <cell r="BZ35">
            <v>1505</v>
          </cell>
          <cell r="CA35">
            <v>477523.13199999998</v>
          </cell>
          <cell r="CD35">
            <v>13290</v>
          </cell>
          <cell r="CE35">
            <v>11100</v>
          </cell>
          <cell r="CF35">
            <v>-5020</v>
          </cell>
          <cell r="CG35">
            <v>-9900</v>
          </cell>
          <cell r="CH35">
            <v>18825</v>
          </cell>
          <cell r="CI35">
            <v>20450</v>
          </cell>
          <cell r="CJ35">
            <v>31325</v>
          </cell>
          <cell r="CK35">
            <v>34400</v>
          </cell>
          <cell r="CL35">
            <v>27450</v>
          </cell>
          <cell r="CM35">
            <v>10800</v>
          </cell>
          <cell r="CN35">
            <v>22400</v>
          </cell>
          <cell r="CO35">
            <v>25925</v>
          </cell>
          <cell r="CP35">
            <v>41400</v>
          </cell>
          <cell r="CQ35">
            <v>11950</v>
          </cell>
          <cell r="CR35">
            <v>248231.13199999998</v>
          </cell>
          <cell r="CS35">
            <v>14450</v>
          </cell>
          <cell r="CT35">
            <v>1505</v>
          </cell>
          <cell r="CU35">
            <v>518581.13199999998</v>
          </cell>
          <cell r="CX35">
            <v>16240</v>
          </cell>
          <cell r="CY35">
            <v>12200</v>
          </cell>
          <cell r="CZ35">
            <v>-5020</v>
          </cell>
          <cell r="DA35">
            <v>-9900</v>
          </cell>
          <cell r="DB35">
            <v>24250</v>
          </cell>
          <cell r="DC35">
            <v>22850</v>
          </cell>
          <cell r="DD35">
            <v>37875</v>
          </cell>
          <cell r="DE35">
            <v>36100</v>
          </cell>
          <cell r="DF35">
            <v>31625</v>
          </cell>
          <cell r="DG35">
            <v>11600</v>
          </cell>
          <cell r="DH35">
            <v>26450</v>
          </cell>
          <cell r="DI35">
            <v>32625</v>
          </cell>
          <cell r="DJ35">
            <v>50775</v>
          </cell>
          <cell r="DK35">
            <v>15150</v>
          </cell>
          <cell r="DL35">
            <v>289406.13199999998</v>
          </cell>
          <cell r="DM35">
            <v>17600</v>
          </cell>
          <cell r="DN35">
            <v>1505</v>
          </cell>
          <cell r="DO35">
            <v>611331.13199999998</v>
          </cell>
          <cell r="DR35">
            <v>15890</v>
          </cell>
          <cell r="DS35">
            <v>8182.5</v>
          </cell>
          <cell r="DT35">
            <v>-15239.5</v>
          </cell>
          <cell r="DU35">
            <v>-24483</v>
          </cell>
          <cell r="DV35">
            <v>25170.5</v>
          </cell>
          <cell r="DW35">
            <v>17481.5</v>
          </cell>
          <cell r="DX35">
            <v>45736</v>
          </cell>
          <cell r="DY35">
            <v>30662</v>
          </cell>
          <cell r="DZ35">
            <v>28072.5</v>
          </cell>
          <cell r="EA35">
            <v>611.5</v>
          </cell>
          <cell r="EB35">
            <v>26620.5</v>
          </cell>
          <cell r="EC35">
            <v>33859.5</v>
          </cell>
          <cell r="ED35">
            <v>42987.5</v>
          </cell>
          <cell r="EE35">
            <v>2990.5</v>
          </cell>
          <cell r="EF35">
            <v>200406.63199999998</v>
          </cell>
          <cell r="EG35">
            <v>14734.5</v>
          </cell>
          <cell r="EH35">
            <v>265.5</v>
          </cell>
          <cell r="EI35">
            <v>453948.63199999998</v>
          </cell>
        </row>
        <row r="36">
          <cell r="B36">
            <v>1336090</v>
          </cell>
          <cell r="C36">
            <v>2582450</v>
          </cell>
          <cell r="D36">
            <v>-475900</v>
          </cell>
          <cell r="E36">
            <v>-584350</v>
          </cell>
          <cell r="F36">
            <v>2179550</v>
          </cell>
          <cell r="G36">
            <v>3086750</v>
          </cell>
          <cell r="H36">
            <v>3254650</v>
          </cell>
          <cell r="I36">
            <v>5906800</v>
          </cell>
          <cell r="J36">
            <v>4463700</v>
          </cell>
          <cell r="K36">
            <v>1047175</v>
          </cell>
          <cell r="L36">
            <v>3218475</v>
          </cell>
          <cell r="M36">
            <v>3811950</v>
          </cell>
          <cell r="N36">
            <v>1157000</v>
          </cell>
          <cell r="O36">
            <v>3574450</v>
          </cell>
          <cell r="P36">
            <v>8231978</v>
          </cell>
          <cell r="Q36">
            <v>1931800</v>
          </cell>
          <cell r="R36">
            <v>286750</v>
          </cell>
          <cell r="S36">
            <v>45009318</v>
          </cell>
          <cell r="V36">
            <v>5005140</v>
          </cell>
          <cell r="W36">
            <v>3794125</v>
          </cell>
          <cell r="X36">
            <v>653230</v>
          </cell>
          <cell r="Y36">
            <v>4404050</v>
          </cell>
          <cell r="Z36">
            <v>3361025</v>
          </cell>
          <cell r="AA36">
            <v>4619850</v>
          </cell>
          <cell r="AB36">
            <v>3409350</v>
          </cell>
          <cell r="AC36">
            <v>7454350</v>
          </cell>
          <cell r="AD36">
            <v>5116475</v>
          </cell>
          <cell r="AE36">
            <v>956525</v>
          </cell>
          <cell r="AF36">
            <v>5382175</v>
          </cell>
          <cell r="AG36">
            <v>6106375</v>
          </cell>
          <cell r="AH36">
            <v>8944875</v>
          </cell>
          <cell r="AI36">
            <v>6353350</v>
          </cell>
          <cell r="AJ36">
            <v>30128830</v>
          </cell>
          <cell r="AK36">
            <v>1931800</v>
          </cell>
          <cell r="AL36">
            <v>-217590</v>
          </cell>
          <cell r="AM36">
            <v>97403935</v>
          </cell>
          <cell r="AP36">
            <v>5709790</v>
          </cell>
          <cell r="AQ36">
            <v>5300700</v>
          </cell>
          <cell r="AR36">
            <v>1839230</v>
          </cell>
          <cell r="AS36">
            <v>7804050</v>
          </cell>
          <cell r="AT36">
            <v>5392575</v>
          </cell>
          <cell r="AU36">
            <v>6513400</v>
          </cell>
          <cell r="AV36">
            <v>4326150</v>
          </cell>
          <cell r="AW36">
            <v>9916700</v>
          </cell>
          <cell r="AX36">
            <v>7958425</v>
          </cell>
          <cell r="AY36">
            <v>2064100</v>
          </cell>
          <cell r="AZ36">
            <v>6050425</v>
          </cell>
          <cell r="BA36">
            <v>8388375</v>
          </cell>
          <cell r="BB36">
            <v>13533475</v>
          </cell>
          <cell r="BC36">
            <v>8531650</v>
          </cell>
          <cell r="BD36">
            <v>40403978.131999999</v>
          </cell>
          <cell r="BE36">
            <v>3071650</v>
          </cell>
          <cell r="BF36">
            <v>555505</v>
          </cell>
          <cell r="BG36">
            <v>137360178.132</v>
          </cell>
          <cell r="BJ36">
            <v>7459790</v>
          </cell>
          <cell r="BK36">
            <v>6332000</v>
          </cell>
          <cell r="BL36">
            <v>1839230</v>
          </cell>
          <cell r="BM36">
            <v>7919100</v>
          </cell>
          <cell r="BN36">
            <v>6711825</v>
          </cell>
          <cell r="BO36">
            <v>9636450</v>
          </cell>
          <cell r="BP36">
            <v>5449675</v>
          </cell>
          <cell r="BQ36">
            <v>11140700</v>
          </cell>
          <cell r="BR36">
            <v>13145450</v>
          </cell>
          <cell r="BS36">
            <v>4091800</v>
          </cell>
          <cell r="BT36">
            <v>6053750</v>
          </cell>
          <cell r="BU36">
            <v>8834925</v>
          </cell>
          <cell r="BV36">
            <v>12821450</v>
          </cell>
          <cell r="BW36">
            <v>9603950</v>
          </cell>
          <cell r="BX36">
            <v>41224028.131999999</v>
          </cell>
          <cell r="BY36">
            <v>4136450</v>
          </cell>
          <cell r="BZ36">
            <v>555505</v>
          </cell>
          <cell r="CA36">
            <v>156956078.132</v>
          </cell>
          <cell r="CD36">
            <v>8261290</v>
          </cell>
          <cell r="CE36">
            <v>7553100</v>
          </cell>
          <cell r="CF36">
            <v>1537980</v>
          </cell>
          <cell r="CG36">
            <v>7919100</v>
          </cell>
          <cell r="CH36">
            <v>6711825</v>
          </cell>
          <cell r="CI36">
            <v>9636450</v>
          </cell>
          <cell r="CJ36">
            <v>8375325</v>
          </cell>
          <cell r="CK36">
            <v>13428400</v>
          </cell>
          <cell r="CL36">
            <v>15345450</v>
          </cell>
          <cell r="CM36">
            <v>4091800</v>
          </cell>
          <cell r="CN36">
            <v>6805400</v>
          </cell>
          <cell r="CO36">
            <v>11136925</v>
          </cell>
          <cell r="CP36">
            <v>11126000</v>
          </cell>
          <cell r="CQ36">
            <v>10185650</v>
          </cell>
          <cell r="CR36">
            <v>40306226.131999999</v>
          </cell>
          <cell r="CS36">
            <v>4136450</v>
          </cell>
          <cell r="CT36">
            <v>555505</v>
          </cell>
          <cell r="CU36">
            <v>167112876.132</v>
          </cell>
          <cell r="CX36">
            <v>10664240</v>
          </cell>
          <cell r="CY36">
            <v>7668200</v>
          </cell>
          <cell r="CZ36">
            <v>1537980</v>
          </cell>
          <cell r="DA36">
            <v>3419100</v>
          </cell>
          <cell r="DB36">
            <v>6797250</v>
          </cell>
          <cell r="DC36">
            <v>11018850</v>
          </cell>
          <cell r="DD36">
            <v>8981875</v>
          </cell>
          <cell r="DE36">
            <v>15905100</v>
          </cell>
          <cell r="DF36">
            <v>20290625</v>
          </cell>
          <cell r="DG36">
            <v>5346600</v>
          </cell>
          <cell r="DH36">
            <v>8409450</v>
          </cell>
          <cell r="DI36">
            <v>14963625</v>
          </cell>
          <cell r="DJ36">
            <v>15055375</v>
          </cell>
          <cell r="DK36">
            <v>7728850</v>
          </cell>
          <cell r="DL36">
            <v>45747146.886</v>
          </cell>
          <cell r="DM36">
            <v>5309600</v>
          </cell>
          <cell r="DN36">
            <v>555505</v>
          </cell>
          <cell r="DO36">
            <v>189399371.88600004</v>
          </cell>
          <cell r="DR36">
            <v>4915990</v>
          </cell>
          <cell r="DS36">
            <v>7977422.5</v>
          </cell>
          <cell r="DT36">
            <v>-761319.5</v>
          </cell>
          <cell r="DU36">
            <v>-3409443</v>
          </cell>
          <cell r="DV36">
            <v>6070590.5</v>
          </cell>
          <cell r="DW36">
            <v>9820321.5</v>
          </cell>
          <cell r="DX36">
            <v>6449636</v>
          </cell>
          <cell r="DY36">
            <v>10573702</v>
          </cell>
          <cell r="DZ36">
            <v>16750732.5</v>
          </cell>
          <cell r="EA36">
            <v>822631.5</v>
          </cell>
          <cell r="EB36">
            <v>6269740.5</v>
          </cell>
          <cell r="EC36">
            <v>12191059.5</v>
          </cell>
          <cell r="ED36">
            <v>10114967.5</v>
          </cell>
          <cell r="EE36">
            <v>-5888469.5</v>
          </cell>
          <cell r="EF36">
            <v>50196367.386</v>
          </cell>
          <cell r="EG36">
            <v>3433654.5</v>
          </cell>
          <cell r="EH36">
            <v>-1747314.5</v>
          </cell>
          <cell r="EI36">
            <v>133780269.38600001</v>
          </cell>
        </row>
      </sheetData>
      <sheetData sheetId="1">
        <row r="3">
          <cell r="B3" t="str">
            <v>KDK Bdl</v>
          </cell>
          <cell r="C3" t="str">
            <v>BTM</v>
          </cell>
          <cell r="D3" t="str">
            <v>Cn</v>
          </cell>
          <cell r="E3" t="str">
            <v>KDK Bd</v>
          </cell>
          <cell r="F3" t="str">
            <v>KDK Bjm</v>
          </cell>
          <cell r="G3" t="str">
            <v>KDK Bpp</v>
          </cell>
          <cell r="H3" t="str">
            <v>KDK Dpr</v>
          </cell>
          <cell r="I3" t="str">
            <v>KDK Mdn</v>
          </cell>
          <cell r="J3" t="str">
            <v>KDK Mks</v>
          </cell>
          <cell r="K3" t="str">
            <v>KDK Mo</v>
          </cell>
          <cell r="L3" t="str">
            <v>KDK Pbr</v>
          </cell>
          <cell r="M3" t="str">
            <v>KDK Pg</v>
          </cell>
          <cell r="N3" t="str">
            <v>KDK Sb</v>
          </cell>
          <cell r="O3" t="str">
            <v>KDK Sm</v>
          </cell>
          <cell r="P3" t="str">
            <v>PgUK</v>
          </cell>
          <cell r="Q3" t="str">
            <v>PTK</v>
          </cell>
          <cell r="R3" t="str">
            <v>Sr</v>
          </cell>
          <cell r="S3" t="str">
            <v>TOTAL NAS</v>
          </cell>
          <cell r="V3" t="str">
            <v>KDK Bdl</v>
          </cell>
          <cell r="W3" t="str">
            <v>BTM</v>
          </cell>
          <cell r="X3" t="str">
            <v>Cn</v>
          </cell>
          <cell r="Y3" t="str">
            <v>KDK Bd</v>
          </cell>
          <cell r="Z3" t="str">
            <v>KDK Bjm</v>
          </cell>
          <cell r="AA3" t="str">
            <v>KDK Bpp</v>
          </cell>
          <cell r="AB3" t="str">
            <v>KDK Dpr</v>
          </cell>
          <cell r="AC3" t="str">
            <v>KDK Mdn</v>
          </cell>
          <cell r="AD3" t="str">
            <v>KDK Mks</v>
          </cell>
          <cell r="AE3" t="str">
            <v>KDK Mo</v>
          </cell>
          <cell r="AF3" t="str">
            <v>KDK Pbr</v>
          </cell>
          <cell r="AG3" t="str">
            <v>KDK Pg</v>
          </cell>
          <cell r="AH3" t="str">
            <v>KDK Sb</v>
          </cell>
          <cell r="AI3" t="str">
            <v>KDK Sm</v>
          </cell>
          <cell r="AJ3" t="str">
            <v>PgUK</v>
          </cell>
          <cell r="AK3" t="str">
            <v>PTK</v>
          </cell>
          <cell r="AL3" t="str">
            <v>Sr</v>
          </cell>
          <cell r="AM3" t="str">
            <v>TOTAL NAS</v>
          </cell>
          <cell r="AP3" t="str">
            <v>KDK Bdl</v>
          </cell>
          <cell r="AQ3" t="str">
            <v>BTM</v>
          </cell>
          <cell r="AR3" t="str">
            <v>Cn</v>
          </cell>
          <cell r="AS3" t="str">
            <v>KDK Bd</v>
          </cell>
          <cell r="AT3" t="str">
            <v>KDK Bjm</v>
          </cell>
          <cell r="AU3" t="str">
            <v>KDK Bpp</v>
          </cell>
          <cell r="AV3" t="str">
            <v>KDK Dpr</v>
          </cell>
          <cell r="AW3" t="str">
            <v>KDK Mdn</v>
          </cell>
          <cell r="AX3" t="str">
            <v>KDK Mks</v>
          </cell>
          <cell r="AY3" t="str">
            <v>KDK Mo</v>
          </cell>
          <cell r="AZ3" t="str">
            <v>KDK Pbr</v>
          </cell>
          <cell r="BA3" t="str">
            <v>KDK Pg</v>
          </cell>
          <cell r="BB3" t="str">
            <v>KDK Sb</v>
          </cell>
          <cell r="BC3" t="str">
            <v>KDK Sm</v>
          </cell>
          <cell r="BD3" t="str">
            <v>PgUK</v>
          </cell>
          <cell r="BE3" t="str">
            <v>PTK</v>
          </cell>
          <cell r="BF3" t="str">
            <v>Sr</v>
          </cell>
          <cell r="BG3" t="str">
            <v>TOTAL NAS</v>
          </cell>
          <cell r="BJ3" t="str">
            <v>KDK Bdl</v>
          </cell>
          <cell r="BK3" t="str">
            <v>BTM</v>
          </cell>
          <cell r="BL3" t="str">
            <v>Cn</v>
          </cell>
          <cell r="BM3" t="str">
            <v>KDK Bd</v>
          </cell>
          <cell r="BN3" t="str">
            <v>KDK Bjm</v>
          </cell>
          <cell r="BO3" t="str">
            <v>KDK Bpp</v>
          </cell>
          <cell r="BP3" t="str">
            <v>KDK Dpr</v>
          </cell>
          <cell r="BQ3" t="str">
            <v>KDK Mdn</v>
          </cell>
          <cell r="BR3" t="str">
            <v>KDK Mks</v>
          </cell>
          <cell r="BS3" t="str">
            <v>KDK Mo</v>
          </cell>
          <cell r="BT3" t="str">
            <v>KDK Pbr</v>
          </cell>
          <cell r="BU3" t="str">
            <v>KDK Pg</v>
          </cell>
          <cell r="BV3" t="str">
            <v>KDK Sb</v>
          </cell>
          <cell r="BW3" t="str">
            <v>KDK Sm</v>
          </cell>
          <cell r="BX3" t="str">
            <v>PgUK</v>
          </cell>
          <cell r="BY3" t="str">
            <v>PTK</v>
          </cell>
          <cell r="BZ3" t="str">
            <v>Sr</v>
          </cell>
          <cell r="CA3" t="str">
            <v>TOTAL NAS</v>
          </cell>
          <cell r="CD3" t="str">
            <v>KDK Bdl</v>
          </cell>
          <cell r="CE3" t="str">
            <v>BTM</v>
          </cell>
          <cell r="CF3" t="str">
            <v>Cn</v>
          </cell>
          <cell r="CG3" t="str">
            <v>KDK Bd</v>
          </cell>
          <cell r="CH3" t="str">
            <v>KDK Bjm</v>
          </cell>
          <cell r="CI3" t="str">
            <v>KDK Bpp</v>
          </cell>
          <cell r="CJ3" t="str">
            <v>KDK Dpr</v>
          </cell>
          <cell r="CK3" t="str">
            <v>KDK Mdn</v>
          </cell>
          <cell r="CL3" t="str">
            <v>KDK Mks</v>
          </cell>
          <cell r="CM3" t="str">
            <v>KDK Mo</v>
          </cell>
          <cell r="CN3" t="str">
            <v>KDK Pbr</v>
          </cell>
          <cell r="CO3" t="str">
            <v>KDK Pg</v>
          </cell>
          <cell r="CP3" t="str">
            <v>KDK Sb</v>
          </cell>
          <cell r="CQ3" t="str">
            <v>KDK Sm</v>
          </cell>
          <cell r="CR3" t="str">
            <v>PgUK</v>
          </cell>
          <cell r="CS3" t="str">
            <v>PTK</v>
          </cell>
          <cell r="CT3" t="str">
            <v>Sr</v>
          </cell>
          <cell r="CU3" t="str">
            <v>TOTAL NAS</v>
          </cell>
          <cell r="CX3" t="str">
            <v>KDK Bdl</v>
          </cell>
          <cell r="CY3" t="str">
            <v>BTM</v>
          </cell>
          <cell r="CZ3" t="str">
            <v>Cn</v>
          </cell>
          <cell r="DA3" t="str">
            <v>KDK Bd</v>
          </cell>
          <cell r="DB3" t="str">
            <v>KDK Bjm</v>
          </cell>
          <cell r="DC3" t="str">
            <v>KDK Bpp</v>
          </cell>
          <cell r="DD3" t="str">
            <v>KDK Dpr</v>
          </cell>
          <cell r="DE3" t="str">
            <v>KDK Mdn</v>
          </cell>
          <cell r="DF3" t="str">
            <v>KDK Mks</v>
          </cell>
          <cell r="DG3" t="str">
            <v>KDK Mo</v>
          </cell>
          <cell r="DH3" t="str">
            <v>KDK Pbr</v>
          </cell>
          <cell r="DI3" t="str">
            <v>KDK Pg</v>
          </cell>
          <cell r="DJ3" t="str">
            <v>KDK Sb</v>
          </cell>
          <cell r="DK3" t="str">
            <v>KDK Sm</v>
          </cell>
          <cell r="DL3" t="str">
            <v>PgUK</v>
          </cell>
          <cell r="DM3" t="str">
            <v>PTK</v>
          </cell>
          <cell r="DN3" t="str">
            <v>Sr</v>
          </cell>
          <cell r="DO3" t="str">
            <v>TOTAL NAS</v>
          </cell>
          <cell r="DR3" t="str">
            <v>KDK Bdl</v>
          </cell>
          <cell r="DS3" t="str">
            <v>BTM</v>
          </cell>
          <cell r="DT3" t="str">
            <v>Cn</v>
          </cell>
          <cell r="DU3" t="str">
            <v>KDK Bd</v>
          </cell>
          <cell r="DV3" t="str">
            <v>KDK Bjm</v>
          </cell>
          <cell r="DW3" t="str">
            <v>KDK Bpp</v>
          </cell>
          <cell r="DX3" t="str">
            <v>KDK Dpr</v>
          </cell>
          <cell r="DY3" t="str">
            <v>KDK Mdn</v>
          </cell>
          <cell r="DZ3" t="str">
            <v>KDK Mks</v>
          </cell>
          <cell r="EA3" t="str">
            <v>KDK Mo</v>
          </cell>
          <cell r="EB3" t="str">
            <v>KDK Pbr</v>
          </cell>
          <cell r="EC3" t="str">
            <v>KDK Pg</v>
          </cell>
          <cell r="ED3" t="str">
            <v>KDK Sb</v>
          </cell>
          <cell r="EE3" t="str">
            <v>KDK Sm</v>
          </cell>
          <cell r="EF3" t="str">
            <v>PgUK</v>
          </cell>
          <cell r="EG3" t="str">
            <v>PTK</v>
          </cell>
          <cell r="EH3" t="str">
            <v>Sr</v>
          </cell>
          <cell r="EI3" t="str">
            <v>TOTAL NAS</v>
          </cell>
          <cell r="EL3" t="str">
            <v>KDK Bdl</v>
          </cell>
          <cell r="EM3" t="str">
            <v>BTM</v>
          </cell>
          <cell r="EN3" t="str">
            <v>Cn</v>
          </cell>
          <cell r="EO3" t="str">
            <v>KDK Bd</v>
          </cell>
          <cell r="EP3" t="str">
            <v>KDK Bjm</v>
          </cell>
          <cell r="EQ3" t="str">
            <v>KDK Bpp</v>
          </cell>
          <cell r="ER3" t="str">
            <v>KDK Dpr</v>
          </cell>
          <cell r="ES3" t="str">
            <v>KDK Mdn</v>
          </cell>
          <cell r="ET3" t="str">
            <v>KDK Mks</v>
          </cell>
          <cell r="EU3" t="str">
            <v>KDK Mo</v>
          </cell>
          <cell r="EV3" t="str">
            <v>KDK Pbr</v>
          </cell>
          <cell r="EW3" t="str">
            <v>KDK Pg</v>
          </cell>
          <cell r="EX3" t="str">
            <v>KDK Sb</v>
          </cell>
          <cell r="EY3" t="str">
            <v>KDK Sm</v>
          </cell>
          <cell r="EZ3" t="str">
            <v>PgUK</v>
          </cell>
          <cell r="FA3" t="str">
            <v>PTK</v>
          </cell>
          <cell r="FB3" t="str">
            <v>Sr</v>
          </cell>
          <cell r="FC3" t="str">
            <v>TOTAL NAS</v>
          </cell>
          <cell r="FF3" t="str">
            <v>KDK Bdl</v>
          </cell>
          <cell r="FG3" t="str">
            <v>BTM</v>
          </cell>
          <cell r="FH3" t="str">
            <v>Cn</v>
          </cell>
          <cell r="FI3" t="str">
            <v>KDK Bd</v>
          </cell>
          <cell r="FJ3" t="str">
            <v>KDK Bjm</v>
          </cell>
          <cell r="FK3" t="str">
            <v>KDK Bpp</v>
          </cell>
          <cell r="FL3" t="str">
            <v>KDK Dpr</v>
          </cell>
          <cell r="FM3" t="str">
            <v>KDK Mdn</v>
          </cell>
          <cell r="FN3" t="str">
            <v>KDK Mks</v>
          </cell>
          <cell r="FO3" t="str">
            <v>KDK Mo</v>
          </cell>
          <cell r="FP3" t="str">
            <v>KDK Pbr</v>
          </cell>
          <cell r="FQ3" t="str">
            <v>KDK Pg</v>
          </cell>
          <cell r="FR3" t="str">
            <v>KDK Sb</v>
          </cell>
          <cell r="FS3" t="str">
            <v>KDK Sm</v>
          </cell>
          <cell r="FT3" t="str">
            <v>PgUK</v>
          </cell>
          <cell r="FU3" t="str">
            <v>PTK</v>
          </cell>
          <cell r="FV3" t="str">
            <v>Sr</v>
          </cell>
          <cell r="FW3" t="str">
            <v>TOTAL NAS</v>
          </cell>
          <cell r="FZ3" t="str">
            <v>KDK Bdl</v>
          </cell>
          <cell r="GA3" t="str">
            <v>BTM</v>
          </cell>
          <cell r="GB3" t="str">
            <v>Cn</v>
          </cell>
          <cell r="GC3" t="str">
            <v>KDK Bd</v>
          </cell>
          <cell r="GD3" t="str">
            <v>KDK Bjm</v>
          </cell>
          <cell r="GE3" t="str">
            <v>KDK Bpp</v>
          </cell>
          <cell r="GF3" t="str">
            <v>KDK Dpr</v>
          </cell>
          <cell r="GG3" t="str">
            <v>KDK Mdn</v>
          </cell>
          <cell r="GH3" t="str">
            <v>KDK Mks</v>
          </cell>
          <cell r="GI3" t="str">
            <v>KDK Mo</v>
          </cell>
          <cell r="GJ3" t="str">
            <v>KDK Pbr</v>
          </cell>
          <cell r="GK3" t="str">
            <v>KDK Pg</v>
          </cell>
          <cell r="GL3" t="str">
            <v>KDK Sb</v>
          </cell>
          <cell r="GM3" t="str">
            <v>KDK Sm</v>
          </cell>
          <cell r="GN3" t="str">
            <v>PgUK</v>
          </cell>
          <cell r="GO3" t="str">
            <v>PTK</v>
          </cell>
          <cell r="GP3" t="str">
            <v>Sr</v>
          </cell>
          <cell r="GQ3" t="str">
            <v>TOTAL NAS</v>
          </cell>
          <cell r="GT3" t="str">
            <v>KDK Bdl</v>
          </cell>
          <cell r="GU3" t="str">
            <v>BTM</v>
          </cell>
          <cell r="GV3" t="str">
            <v>Cn</v>
          </cell>
          <cell r="GW3" t="str">
            <v>KDK Bd</v>
          </cell>
          <cell r="GX3" t="str">
            <v>KDK Bjm</v>
          </cell>
          <cell r="GY3" t="str">
            <v>KDK Bpp</v>
          </cell>
          <cell r="GZ3" t="str">
            <v>KDK Dpr</v>
          </cell>
          <cell r="HA3" t="str">
            <v>KDK Mdn</v>
          </cell>
          <cell r="HB3" t="str">
            <v>KDK Mks</v>
          </cell>
          <cell r="HC3" t="str">
            <v>KDK Mo</v>
          </cell>
          <cell r="HD3" t="str">
            <v>KDK Pbr</v>
          </cell>
          <cell r="HE3" t="str">
            <v>KDK Pg</v>
          </cell>
          <cell r="HF3" t="str">
            <v>KDK Sb</v>
          </cell>
          <cell r="HG3" t="str">
            <v>KDK Sm</v>
          </cell>
          <cell r="HH3" t="str">
            <v>PgUK</v>
          </cell>
          <cell r="HI3" t="str">
            <v>PTK</v>
          </cell>
          <cell r="HJ3" t="str">
            <v>Sr</v>
          </cell>
          <cell r="HK3" t="str">
            <v>TOTAL NAS</v>
          </cell>
          <cell r="HN3" t="str">
            <v>KDK Bdl</v>
          </cell>
          <cell r="HO3" t="str">
            <v>BTM</v>
          </cell>
          <cell r="HP3" t="str">
            <v>Cn</v>
          </cell>
          <cell r="HQ3" t="str">
            <v>KDK Bd</v>
          </cell>
          <cell r="HR3" t="str">
            <v>KDK Bjm</v>
          </cell>
          <cell r="HS3" t="str">
            <v>KDK Bpp</v>
          </cell>
          <cell r="HT3" t="str">
            <v>KDK Dpr</v>
          </cell>
          <cell r="HU3" t="str">
            <v>KDK Mdn</v>
          </cell>
          <cell r="HV3" t="str">
            <v>KDK Mks</v>
          </cell>
          <cell r="HW3" t="str">
            <v>KDK Mo</v>
          </cell>
          <cell r="HX3" t="str">
            <v>KDK Pbr</v>
          </cell>
          <cell r="HY3" t="str">
            <v>KDK Pg</v>
          </cell>
          <cell r="HZ3" t="str">
            <v>KDK Sb</v>
          </cell>
          <cell r="IA3" t="str">
            <v>KDK Sm</v>
          </cell>
          <cell r="IB3" t="str">
            <v>PgUK</v>
          </cell>
          <cell r="IC3" t="str">
            <v>PTK</v>
          </cell>
          <cell r="ID3" t="str">
            <v>Sr</v>
          </cell>
          <cell r="IE3" t="str">
            <v>TOTAL NAS</v>
          </cell>
          <cell r="IH3" t="str">
            <v>KDK Bdl</v>
          </cell>
          <cell r="II3" t="str">
            <v>BTM</v>
          </cell>
          <cell r="IJ3" t="str">
            <v>Cn</v>
          </cell>
          <cell r="IK3" t="str">
            <v>KDK Bd</v>
          </cell>
          <cell r="IL3" t="str">
            <v>KDK Bjm</v>
          </cell>
          <cell r="IM3" t="str">
            <v>KDK Bpp</v>
          </cell>
          <cell r="IN3" t="str">
            <v>KDK Dpr</v>
          </cell>
          <cell r="IO3" t="str">
            <v>KDK Mdn</v>
          </cell>
          <cell r="IP3" t="str">
            <v>KDK Mks</v>
          </cell>
          <cell r="IQ3" t="str">
            <v>KDK Mo</v>
          </cell>
          <cell r="IR3" t="str">
            <v>KDK Pbr</v>
          </cell>
          <cell r="IS3" t="str">
            <v>KDK Pg</v>
          </cell>
          <cell r="IT3" t="str">
            <v>KDK Sb</v>
          </cell>
          <cell r="IU3" t="str">
            <v>KDK Sm</v>
          </cell>
          <cell r="IV3" t="str">
            <v>PgUK</v>
          </cell>
          <cell r="IW3" t="str">
            <v>PTK</v>
          </cell>
          <cell r="IX3" t="str">
            <v>Sr</v>
          </cell>
          <cell r="IY3" t="str">
            <v>TOTAL NAS</v>
          </cell>
          <cell r="JB3" t="str">
            <v>KDK Bdl</v>
          </cell>
          <cell r="JC3" t="str">
            <v>BTM</v>
          </cell>
          <cell r="JD3" t="str">
            <v>Cn</v>
          </cell>
          <cell r="JE3" t="str">
            <v>KDK Bd</v>
          </cell>
          <cell r="JF3" t="str">
            <v>KDK Bjm</v>
          </cell>
          <cell r="JG3" t="str">
            <v>KDK Bpp</v>
          </cell>
          <cell r="JH3" t="str">
            <v>KDK Dpr</v>
          </cell>
          <cell r="JI3" t="str">
            <v>KDK Mdn</v>
          </cell>
          <cell r="JJ3" t="str">
            <v>KDK Mks</v>
          </cell>
          <cell r="JK3" t="str">
            <v>KDK Mo</v>
          </cell>
          <cell r="JL3" t="str">
            <v>KDK Pbr</v>
          </cell>
          <cell r="JM3" t="str">
            <v>KDK Pg</v>
          </cell>
          <cell r="JN3" t="str">
            <v>KDK Sb</v>
          </cell>
          <cell r="JO3" t="str">
            <v>KDK Sm</v>
          </cell>
          <cell r="JP3" t="str">
            <v>PgUK</v>
          </cell>
          <cell r="JQ3" t="str">
            <v>PTK</v>
          </cell>
          <cell r="JR3" t="str">
            <v>Sr</v>
          </cell>
          <cell r="JS3" t="str">
            <v>TOTAL NAS</v>
          </cell>
          <cell r="JV3" t="str">
            <v>KDK Bdl</v>
          </cell>
          <cell r="JW3" t="str">
            <v>BTM</v>
          </cell>
          <cell r="JX3" t="str">
            <v>Cn</v>
          </cell>
          <cell r="JY3" t="str">
            <v>KDK Bd</v>
          </cell>
          <cell r="JZ3" t="str">
            <v>KDK Bjm</v>
          </cell>
          <cell r="KA3" t="str">
            <v>KDK Bpp</v>
          </cell>
          <cell r="KB3" t="str">
            <v>KDK Dpr</v>
          </cell>
          <cell r="KC3" t="str">
            <v>KDK Mdn</v>
          </cell>
          <cell r="KD3" t="str">
            <v>KDK Mks</v>
          </cell>
          <cell r="KE3" t="str">
            <v>KDK Mo</v>
          </cell>
          <cell r="KF3" t="str">
            <v>KDK Pbr</v>
          </cell>
          <cell r="KG3" t="str">
            <v>KDK Pg</v>
          </cell>
          <cell r="KH3" t="str">
            <v>KDK Sb</v>
          </cell>
          <cell r="KI3" t="str">
            <v>KDK Sm</v>
          </cell>
          <cell r="KJ3" t="str">
            <v>PgUK</v>
          </cell>
          <cell r="KK3" t="str">
            <v>PTK</v>
          </cell>
          <cell r="KL3" t="str">
            <v>Sr</v>
          </cell>
          <cell r="KM3" t="str">
            <v>TOTAL NAS</v>
          </cell>
          <cell r="KP3" t="str">
            <v>KDK Bdl</v>
          </cell>
          <cell r="KQ3" t="str">
            <v>BTM</v>
          </cell>
          <cell r="KR3" t="str">
            <v>Cn</v>
          </cell>
          <cell r="KS3" t="str">
            <v>KDK Bd</v>
          </cell>
          <cell r="KT3" t="str">
            <v>KDK Bjm</v>
          </cell>
          <cell r="KU3" t="str">
            <v>KDK Bpp</v>
          </cell>
          <cell r="KV3" t="str">
            <v>KDK Dpr</v>
          </cell>
          <cell r="KW3" t="str">
            <v>KDK Mdn</v>
          </cell>
          <cell r="KX3" t="str">
            <v>KDK Mks</v>
          </cell>
          <cell r="KY3" t="str">
            <v>KDK Mo</v>
          </cell>
          <cell r="KZ3" t="str">
            <v>KDK Pbr</v>
          </cell>
          <cell r="LA3" t="str">
            <v>KDK Pg</v>
          </cell>
          <cell r="LB3" t="str">
            <v>KDK Sb</v>
          </cell>
          <cell r="LC3" t="str">
            <v>KDK Sm</v>
          </cell>
          <cell r="LD3" t="str">
            <v>PgUK</v>
          </cell>
          <cell r="LE3" t="str">
            <v>PTK</v>
          </cell>
          <cell r="LF3" t="str">
            <v>Sr</v>
          </cell>
          <cell r="LG3" t="str">
            <v>TOTAL NAS</v>
          </cell>
          <cell r="LJ3" t="str">
            <v>KDK Bdl</v>
          </cell>
          <cell r="LK3" t="str">
            <v>BTM</v>
          </cell>
          <cell r="LL3" t="str">
            <v>Cn</v>
          </cell>
          <cell r="LM3" t="str">
            <v>KDK Bd</v>
          </cell>
          <cell r="LN3" t="str">
            <v>KDK Bjm</v>
          </cell>
          <cell r="LO3" t="str">
            <v>KDK Bpp</v>
          </cell>
          <cell r="LP3" t="str">
            <v>KDK Dpr</v>
          </cell>
          <cell r="LQ3" t="str">
            <v>KDK Mdn</v>
          </cell>
          <cell r="LR3" t="str">
            <v>KDK Mks</v>
          </cell>
          <cell r="LS3" t="str">
            <v>KDK Mo</v>
          </cell>
          <cell r="LT3" t="str">
            <v>KDK Pbr</v>
          </cell>
          <cell r="LU3" t="str">
            <v>KDK Pg</v>
          </cell>
          <cell r="LV3" t="str">
            <v>KDK Sb</v>
          </cell>
          <cell r="LW3" t="str">
            <v>KDK Sm</v>
          </cell>
          <cell r="LX3" t="str">
            <v>PgUK</v>
          </cell>
          <cell r="LY3" t="str">
            <v>PTK</v>
          </cell>
          <cell r="LZ3" t="str">
            <v>Sr</v>
          </cell>
          <cell r="MA3" t="str">
            <v>TOTAL NAS</v>
          </cell>
          <cell r="MD3" t="str">
            <v>KDK Bdl</v>
          </cell>
          <cell r="ME3" t="str">
            <v>BTM</v>
          </cell>
          <cell r="MF3" t="str">
            <v>Cn</v>
          </cell>
          <cell r="MG3" t="str">
            <v>KDK Bd</v>
          </cell>
          <cell r="MH3" t="str">
            <v>KDK Bjm</v>
          </cell>
          <cell r="MI3" t="str">
            <v>KDK Bpp</v>
          </cell>
          <cell r="MJ3" t="str">
            <v>KDK Dpr</v>
          </cell>
          <cell r="MK3" t="str">
            <v>KDK Mdn</v>
          </cell>
          <cell r="ML3" t="str">
            <v>KDK Mks</v>
          </cell>
          <cell r="MM3" t="str">
            <v>KDK Mo</v>
          </cell>
          <cell r="MN3" t="str">
            <v>KDK Pbr</v>
          </cell>
          <cell r="MO3" t="str">
            <v>KDK Pg</v>
          </cell>
          <cell r="MP3" t="str">
            <v>KDK Sb</v>
          </cell>
          <cell r="MQ3" t="str">
            <v>KDK Sm</v>
          </cell>
          <cell r="MR3" t="str">
            <v>PgUK</v>
          </cell>
          <cell r="MS3" t="str">
            <v>PTK</v>
          </cell>
          <cell r="MT3" t="str">
            <v>Sr</v>
          </cell>
          <cell r="MU3" t="str">
            <v>TOTAL NAS</v>
          </cell>
          <cell r="MX3" t="str">
            <v>KDK Bdl</v>
          </cell>
          <cell r="MY3" t="str">
            <v>BTM</v>
          </cell>
          <cell r="MZ3" t="str">
            <v>Cn</v>
          </cell>
          <cell r="NA3" t="str">
            <v>KDK Bd</v>
          </cell>
          <cell r="NB3" t="str">
            <v>KDK Bjm</v>
          </cell>
          <cell r="NC3" t="str">
            <v>KDK Bpp</v>
          </cell>
          <cell r="ND3" t="str">
            <v>KDK Dpr</v>
          </cell>
          <cell r="NE3" t="str">
            <v>KDK Mdn</v>
          </cell>
          <cell r="NF3" t="str">
            <v>KDK Mks</v>
          </cell>
          <cell r="NG3" t="str">
            <v>KDK Mo</v>
          </cell>
          <cell r="NH3" t="str">
            <v>KDK Pbr</v>
          </cell>
          <cell r="NI3" t="str">
            <v>KDK Pg</v>
          </cell>
          <cell r="NJ3" t="str">
            <v>KDK Sb</v>
          </cell>
          <cell r="NK3" t="str">
            <v>KDK Sm</v>
          </cell>
          <cell r="NL3" t="str">
            <v>PgUK</v>
          </cell>
          <cell r="NM3" t="str">
            <v>PTK</v>
          </cell>
          <cell r="NN3" t="str">
            <v>Sr</v>
          </cell>
          <cell r="NO3" t="str">
            <v>TOTAL NAS</v>
          </cell>
        </row>
        <row r="4">
          <cell r="B4">
            <v>0</v>
          </cell>
          <cell r="C4">
            <v>1000000</v>
          </cell>
          <cell r="D4">
            <v>0</v>
          </cell>
          <cell r="E4">
            <v>0</v>
          </cell>
          <cell r="F4">
            <v>1100000</v>
          </cell>
          <cell r="G4">
            <v>0</v>
          </cell>
          <cell r="H4">
            <v>1000000</v>
          </cell>
          <cell r="I4">
            <v>1000000</v>
          </cell>
          <cell r="J4">
            <v>1600000</v>
          </cell>
          <cell r="K4">
            <v>0</v>
          </cell>
          <cell r="L4">
            <v>0</v>
          </cell>
          <cell r="M4">
            <v>1000000</v>
          </cell>
          <cell r="N4">
            <v>0</v>
          </cell>
          <cell r="O4">
            <v>0</v>
          </cell>
          <cell r="P4">
            <v>20000</v>
          </cell>
          <cell r="Q4">
            <v>0</v>
          </cell>
          <cell r="R4">
            <v>0</v>
          </cell>
          <cell r="S4">
            <v>6720000</v>
          </cell>
          <cell r="V4">
            <v>500000</v>
          </cell>
          <cell r="W4">
            <v>200000</v>
          </cell>
          <cell r="X4">
            <v>0</v>
          </cell>
          <cell r="Y4">
            <v>0</v>
          </cell>
          <cell r="Z4">
            <v>0</v>
          </cell>
          <cell r="AA4">
            <v>1000000</v>
          </cell>
          <cell r="AB4">
            <v>800000</v>
          </cell>
          <cell r="AC4">
            <v>600000</v>
          </cell>
          <cell r="AD4">
            <v>200000</v>
          </cell>
          <cell r="AE4">
            <v>400000</v>
          </cell>
          <cell r="AF4">
            <v>1600000</v>
          </cell>
          <cell r="AG4">
            <v>600000</v>
          </cell>
          <cell r="AH4">
            <v>0</v>
          </cell>
          <cell r="AI4">
            <v>400000</v>
          </cell>
          <cell r="AJ4">
            <v>12000</v>
          </cell>
          <cell r="AK4">
            <v>600000</v>
          </cell>
          <cell r="AL4">
            <v>400000</v>
          </cell>
          <cell r="AM4">
            <v>7312000</v>
          </cell>
          <cell r="AP4">
            <v>0</v>
          </cell>
          <cell r="AQ4">
            <v>200000</v>
          </cell>
          <cell r="AR4">
            <v>0</v>
          </cell>
          <cell r="AS4">
            <v>-1800000</v>
          </cell>
          <cell r="AT4">
            <v>400000</v>
          </cell>
          <cell r="AU4">
            <v>400000</v>
          </cell>
          <cell r="AV4">
            <v>0</v>
          </cell>
          <cell r="AW4">
            <v>400000</v>
          </cell>
          <cell r="AX4">
            <v>0</v>
          </cell>
          <cell r="AY4">
            <v>0</v>
          </cell>
          <cell r="AZ4">
            <v>0</v>
          </cell>
          <cell r="BA4">
            <v>200000</v>
          </cell>
          <cell r="BB4">
            <v>400000</v>
          </cell>
          <cell r="BC4">
            <v>0</v>
          </cell>
          <cell r="BD4">
            <v>1800000</v>
          </cell>
          <cell r="BE4">
            <v>400000</v>
          </cell>
          <cell r="BF4">
            <v>0</v>
          </cell>
          <cell r="BG4">
            <v>2400000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-600000</v>
          </cell>
          <cell r="BX4">
            <v>1995986</v>
          </cell>
          <cell r="BY4">
            <v>0</v>
          </cell>
          <cell r="BZ4">
            <v>-330000</v>
          </cell>
          <cell r="CA4">
            <v>1065986</v>
          </cell>
          <cell r="CD4">
            <v>3190000</v>
          </cell>
          <cell r="CE4">
            <v>700000</v>
          </cell>
          <cell r="CF4">
            <v>700000</v>
          </cell>
          <cell r="CG4">
            <v>4030000</v>
          </cell>
          <cell r="CH4">
            <v>0</v>
          </cell>
          <cell r="CI4">
            <v>400000</v>
          </cell>
          <cell r="CJ4">
            <v>0</v>
          </cell>
          <cell r="CK4">
            <v>1200000</v>
          </cell>
          <cell r="CL4">
            <v>0</v>
          </cell>
          <cell r="CM4">
            <v>-100000</v>
          </cell>
          <cell r="CN4">
            <v>1320000</v>
          </cell>
          <cell r="CO4">
            <v>1880000</v>
          </cell>
          <cell r="CP4">
            <v>4900000</v>
          </cell>
          <cell r="CQ4">
            <v>2600000</v>
          </cell>
          <cell r="CR4">
            <v>12218000</v>
          </cell>
          <cell r="CS4">
            <v>0</v>
          </cell>
          <cell r="CT4">
            <v>-300000</v>
          </cell>
          <cell r="CU4">
            <v>32738000</v>
          </cell>
          <cell r="CX4">
            <v>0</v>
          </cell>
          <cell r="CY4">
            <v>0</v>
          </cell>
          <cell r="CZ4">
            <v>1100000</v>
          </cell>
          <cell r="DA4">
            <v>2500000</v>
          </cell>
          <cell r="DB4">
            <v>800000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600000</v>
          </cell>
          <cell r="DI4">
            <v>0</v>
          </cell>
          <cell r="DJ4">
            <v>3500000</v>
          </cell>
          <cell r="DK4">
            <v>2026000</v>
          </cell>
          <cell r="DL4">
            <v>9174000</v>
          </cell>
          <cell r="DM4">
            <v>200000</v>
          </cell>
          <cell r="DN4">
            <v>300000</v>
          </cell>
          <cell r="DO4">
            <v>20200000</v>
          </cell>
          <cell r="DR4">
            <v>400000</v>
          </cell>
          <cell r="DS4">
            <v>1000000</v>
          </cell>
          <cell r="DT4">
            <v>0</v>
          </cell>
          <cell r="DU4">
            <v>0</v>
          </cell>
          <cell r="DV4">
            <v>600000</v>
          </cell>
          <cell r="DW4">
            <v>1400000</v>
          </cell>
          <cell r="DX4">
            <v>600000</v>
          </cell>
          <cell r="DY4">
            <v>1600000</v>
          </cell>
          <cell r="DZ4">
            <v>1800000</v>
          </cell>
          <cell r="EA4">
            <v>800000</v>
          </cell>
          <cell r="EB4">
            <v>0</v>
          </cell>
          <cell r="EC4">
            <v>1540000</v>
          </cell>
          <cell r="ED4">
            <v>600000</v>
          </cell>
          <cell r="EE4">
            <v>0</v>
          </cell>
          <cell r="EF4">
            <v>-816000</v>
          </cell>
          <cell r="EG4">
            <v>600000</v>
          </cell>
          <cell r="EH4">
            <v>0</v>
          </cell>
          <cell r="EI4">
            <v>10124000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800000</v>
          </cell>
          <cell r="EQ4">
            <v>600000</v>
          </cell>
          <cell r="ER4">
            <v>0</v>
          </cell>
          <cell r="ES4">
            <v>0</v>
          </cell>
          <cell r="ET4">
            <v>2200000</v>
          </cell>
          <cell r="EU4">
            <v>600000</v>
          </cell>
          <cell r="EV4">
            <v>0</v>
          </cell>
          <cell r="EW4">
            <v>200000</v>
          </cell>
          <cell r="EX4">
            <v>-1600000</v>
          </cell>
          <cell r="EY4">
            <v>0</v>
          </cell>
          <cell r="EZ4">
            <v>468000</v>
          </cell>
          <cell r="FA4">
            <v>0</v>
          </cell>
          <cell r="FB4">
            <v>0</v>
          </cell>
          <cell r="FC4">
            <v>3268000</v>
          </cell>
          <cell r="FF4">
            <v>400000</v>
          </cell>
          <cell r="FG4">
            <v>1200000</v>
          </cell>
          <cell r="FH4">
            <v>-300000</v>
          </cell>
          <cell r="FI4">
            <v>0</v>
          </cell>
          <cell r="FJ4">
            <v>0</v>
          </cell>
          <cell r="FK4">
            <v>0</v>
          </cell>
          <cell r="FL4">
            <v>1000000</v>
          </cell>
          <cell r="FM4">
            <v>400000</v>
          </cell>
          <cell r="FN4">
            <v>2200000</v>
          </cell>
          <cell r="FO4">
            <v>0</v>
          </cell>
          <cell r="FP4">
            <v>200000</v>
          </cell>
          <cell r="FQ4">
            <v>0</v>
          </cell>
          <cell r="FR4">
            <v>-2200000</v>
          </cell>
          <cell r="FS4">
            <v>0</v>
          </cell>
          <cell r="FT4">
            <v>-992000</v>
          </cell>
          <cell r="FU4">
            <v>0</v>
          </cell>
          <cell r="FV4">
            <v>0</v>
          </cell>
          <cell r="FW4">
            <v>1908000</v>
          </cell>
          <cell r="FZ4">
            <v>2200000</v>
          </cell>
          <cell r="GA4">
            <v>0</v>
          </cell>
          <cell r="GB4">
            <v>0</v>
          </cell>
          <cell r="GC4">
            <v>-3000000</v>
          </cell>
          <cell r="GD4">
            <v>0</v>
          </cell>
          <cell r="GE4">
            <v>600000</v>
          </cell>
          <cell r="GF4">
            <v>600000</v>
          </cell>
          <cell r="GG4">
            <v>1400000</v>
          </cell>
          <cell r="GH4">
            <v>3400000</v>
          </cell>
          <cell r="GI4">
            <v>400000</v>
          </cell>
          <cell r="GJ4">
            <v>1000000</v>
          </cell>
          <cell r="GK4">
            <v>2600000</v>
          </cell>
          <cell r="GL4">
            <v>3300000</v>
          </cell>
          <cell r="GM4">
            <v>-2000000</v>
          </cell>
          <cell r="GN4">
            <v>4145980.3</v>
          </cell>
          <cell r="GO4">
            <v>750000</v>
          </cell>
          <cell r="GP4">
            <v>0</v>
          </cell>
          <cell r="GQ4">
            <v>15395980.300000001</v>
          </cell>
          <cell r="GT4">
            <v>0</v>
          </cell>
          <cell r="GU4">
            <v>900000</v>
          </cell>
          <cell r="GV4">
            <v>100000</v>
          </cell>
          <cell r="GW4">
            <v>600000</v>
          </cell>
          <cell r="GX4">
            <v>1400000</v>
          </cell>
          <cell r="GY4">
            <v>2400000</v>
          </cell>
          <cell r="GZ4">
            <v>1200000</v>
          </cell>
          <cell r="HA4">
            <v>2000000</v>
          </cell>
          <cell r="HB4">
            <v>4000000</v>
          </cell>
          <cell r="HC4">
            <v>0</v>
          </cell>
          <cell r="HD4">
            <v>4500000</v>
          </cell>
          <cell r="HE4">
            <v>1700000</v>
          </cell>
          <cell r="HF4">
            <v>2400000</v>
          </cell>
          <cell r="HG4">
            <v>300000</v>
          </cell>
          <cell r="HH4">
            <v>2580000</v>
          </cell>
          <cell r="HI4">
            <v>1100000</v>
          </cell>
          <cell r="HJ4">
            <v>0</v>
          </cell>
          <cell r="HK4">
            <v>25180000</v>
          </cell>
          <cell r="HN4">
            <v>-700000</v>
          </cell>
          <cell r="HO4">
            <v>0</v>
          </cell>
          <cell r="HP4">
            <v>0</v>
          </cell>
          <cell r="HQ4">
            <v>-400000</v>
          </cell>
          <cell r="HR4">
            <v>0</v>
          </cell>
          <cell r="HS4">
            <v>0</v>
          </cell>
          <cell r="HT4">
            <v>-200000</v>
          </cell>
          <cell r="HU4">
            <v>1800000</v>
          </cell>
          <cell r="HV4">
            <v>1600000</v>
          </cell>
          <cell r="HW4">
            <v>0</v>
          </cell>
          <cell r="HX4">
            <v>0</v>
          </cell>
          <cell r="HY4">
            <v>-1500000</v>
          </cell>
          <cell r="HZ4">
            <v>1400000</v>
          </cell>
          <cell r="IA4">
            <v>1660000</v>
          </cell>
          <cell r="IB4">
            <v>18124000</v>
          </cell>
          <cell r="IC4">
            <v>-500000</v>
          </cell>
          <cell r="ID4">
            <v>200000</v>
          </cell>
          <cell r="IE4">
            <v>21484000</v>
          </cell>
          <cell r="IH4">
            <v>500000</v>
          </cell>
          <cell r="II4">
            <v>1400000</v>
          </cell>
          <cell r="IJ4">
            <v>0</v>
          </cell>
          <cell r="IK4">
            <v>-1800000</v>
          </cell>
          <cell r="IL4">
            <v>1500000</v>
          </cell>
          <cell r="IM4">
            <v>1400000</v>
          </cell>
          <cell r="IN4">
            <v>1800000</v>
          </cell>
          <cell r="IO4">
            <v>2000000</v>
          </cell>
          <cell r="IP4">
            <v>1800000</v>
          </cell>
          <cell r="IQ4">
            <v>400000</v>
          </cell>
          <cell r="IR4">
            <v>1600000</v>
          </cell>
          <cell r="IS4">
            <v>1800000</v>
          </cell>
          <cell r="IT4">
            <v>400000</v>
          </cell>
          <cell r="IU4">
            <v>400000</v>
          </cell>
          <cell r="IV4">
            <v>1832000</v>
          </cell>
          <cell r="IW4">
            <v>1000000</v>
          </cell>
          <cell r="IX4">
            <v>400000</v>
          </cell>
          <cell r="IY4">
            <v>16432000</v>
          </cell>
          <cell r="JB4">
            <v>3190000</v>
          </cell>
          <cell r="JC4">
            <v>700000</v>
          </cell>
          <cell r="JD4">
            <v>1800000</v>
          </cell>
          <cell r="JE4">
            <v>6530000</v>
          </cell>
          <cell r="JF4">
            <v>800000</v>
          </cell>
          <cell r="JG4">
            <v>400000</v>
          </cell>
          <cell r="JH4">
            <v>0</v>
          </cell>
          <cell r="JI4">
            <v>1200000</v>
          </cell>
          <cell r="JJ4">
            <v>0</v>
          </cell>
          <cell r="JK4">
            <v>-100000</v>
          </cell>
          <cell r="JL4">
            <v>1920000</v>
          </cell>
          <cell r="JM4">
            <v>1880000</v>
          </cell>
          <cell r="JN4">
            <v>8400000</v>
          </cell>
          <cell r="JO4">
            <v>4026000</v>
          </cell>
          <cell r="JP4">
            <v>23387986</v>
          </cell>
          <cell r="JQ4">
            <v>200000</v>
          </cell>
          <cell r="JR4">
            <v>-330000</v>
          </cell>
          <cell r="JS4">
            <v>54003986</v>
          </cell>
          <cell r="JV4">
            <v>800000</v>
          </cell>
          <cell r="JW4">
            <v>2200000</v>
          </cell>
          <cell r="JX4">
            <v>-300000</v>
          </cell>
          <cell r="JY4">
            <v>0</v>
          </cell>
          <cell r="JZ4">
            <v>1400000</v>
          </cell>
          <cell r="KA4">
            <v>2000000</v>
          </cell>
          <cell r="KB4">
            <v>1600000</v>
          </cell>
          <cell r="KC4">
            <v>2000000</v>
          </cell>
          <cell r="KD4">
            <v>6200000</v>
          </cell>
          <cell r="KE4">
            <v>1400000</v>
          </cell>
          <cell r="KF4">
            <v>200000</v>
          </cell>
          <cell r="KG4">
            <v>1740000</v>
          </cell>
          <cell r="KH4">
            <v>-3200000</v>
          </cell>
          <cell r="KI4">
            <v>0</v>
          </cell>
          <cell r="KJ4">
            <v>-1340000</v>
          </cell>
          <cell r="KK4">
            <v>600000</v>
          </cell>
          <cell r="KL4">
            <v>0</v>
          </cell>
          <cell r="KM4">
            <v>15300000</v>
          </cell>
          <cell r="KP4">
            <v>1500000</v>
          </cell>
          <cell r="KQ4">
            <v>900000</v>
          </cell>
          <cell r="KR4">
            <v>100000</v>
          </cell>
          <cell r="KS4">
            <v>-2800000</v>
          </cell>
          <cell r="KT4">
            <v>1400000</v>
          </cell>
          <cell r="KU4">
            <v>3000000</v>
          </cell>
          <cell r="KV4">
            <v>1600000</v>
          </cell>
          <cell r="KW4">
            <v>5200000</v>
          </cell>
          <cell r="KX4">
            <v>9000000</v>
          </cell>
          <cell r="KY4">
            <v>400000</v>
          </cell>
          <cell r="KZ4">
            <v>5500000</v>
          </cell>
          <cell r="LA4">
            <v>2800000</v>
          </cell>
          <cell r="LB4">
            <v>7100000</v>
          </cell>
          <cell r="LC4">
            <v>-40000</v>
          </cell>
          <cell r="LD4">
            <v>24849980.300000001</v>
          </cell>
          <cell r="LE4">
            <v>1350000</v>
          </cell>
          <cell r="LF4">
            <v>200000</v>
          </cell>
          <cell r="LG4">
            <v>62059980.299999997</v>
          </cell>
          <cell r="LJ4">
            <v>3690000</v>
          </cell>
          <cell r="LK4">
            <v>2100000</v>
          </cell>
          <cell r="LL4">
            <v>1800000</v>
          </cell>
          <cell r="LM4">
            <v>4730000</v>
          </cell>
          <cell r="LN4">
            <v>2300000</v>
          </cell>
          <cell r="LO4">
            <v>1800000</v>
          </cell>
          <cell r="LP4">
            <v>1800000</v>
          </cell>
          <cell r="LQ4">
            <v>3200000</v>
          </cell>
          <cell r="LR4">
            <v>1800000</v>
          </cell>
          <cell r="LS4">
            <v>300000</v>
          </cell>
          <cell r="LT4">
            <v>3520000</v>
          </cell>
          <cell r="LU4">
            <v>3680000</v>
          </cell>
          <cell r="LV4">
            <v>8800000</v>
          </cell>
          <cell r="LW4">
            <v>4426000</v>
          </cell>
          <cell r="LX4">
            <v>25219986</v>
          </cell>
          <cell r="LY4">
            <v>1200000</v>
          </cell>
          <cell r="LZ4">
            <v>70000</v>
          </cell>
          <cell r="MA4">
            <v>70435986</v>
          </cell>
          <cell r="MD4">
            <v>2300000</v>
          </cell>
          <cell r="ME4">
            <v>3100000</v>
          </cell>
          <cell r="MF4">
            <v>-200000</v>
          </cell>
          <cell r="MG4">
            <v>-2800000</v>
          </cell>
          <cell r="MH4">
            <v>2800000</v>
          </cell>
          <cell r="MI4">
            <v>5000000</v>
          </cell>
          <cell r="MJ4">
            <v>3200000</v>
          </cell>
          <cell r="MK4">
            <v>7200000</v>
          </cell>
          <cell r="ML4">
            <v>15200000</v>
          </cell>
          <cell r="MM4">
            <v>1800000</v>
          </cell>
          <cell r="MN4">
            <v>5700000</v>
          </cell>
          <cell r="MO4">
            <v>4540000</v>
          </cell>
          <cell r="MP4">
            <v>3900000</v>
          </cell>
          <cell r="MQ4">
            <v>-40000</v>
          </cell>
          <cell r="MR4">
            <v>23509980.300000001</v>
          </cell>
          <cell r="MS4">
            <v>1950000</v>
          </cell>
          <cell r="MT4">
            <v>200000</v>
          </cell>
          <cell r="MU4">
            <v>77359980.299999997</v>
          </cell>
          <cell r="MX4">
            <v>5990000</v>
          </cell>
          <cell r="MY4">
            <v>5200000</v>
          </cell>
          <cell r="MZ4">
            <v>1600000</v>
          </cell>
          <cell r="NA4">
            <v>1930000</v>
          </cell>
          <cell r="NB4">
            <v>5100000</v>
          </cell>
          <cell r="NC4">
            <v>6800000</v>
          </cell>
          <cell r="ND4">
            <v>5000000</v>
          </cell>
          <cell r="NE4">
            <v>10400000</v>
          </cell>
          <cell r="NF4">
            <v>17000000</v>
          </cell>
          <cell r="NG4">
            <v>2100000</v>
          </cell>
          <cell r="NH4">
            <v>9220000</v>
          </cell>
          <cell r="NI4">
            <v>8220000</v>
          </cell>
          <cell r="NJ4">
            <v>12700000</v>
          </cell>
          <cell r="NK4">
            <v>4386000</v>
          </cell>
          <cell r="NL4">
            <v>48729966.299999997</v>
          </cell>
          <cell r="NM4">
            <v>3150000</v>
          </cell>
          <cell r="NN4">
            <v>270000</v>
          </cell>
          <cell r="NO4">
            <v>147795966.30000001</v>
          </cell>
        </row>
        <row r="5">
          <cell r="B5">
            <v>0</v>
          </cell>
          <cell r="C5">
            <v>1000000</v>
          </cell>
          <cell r="D5">
            <v>0</v>
          </cell>
          <cell r="E5">
            <v>0</v>
          </cell>
          <cell r="F5">
            <v>400000</v>
          </cell>
          <cell r="G5">
            <v>0</v>
          </cell>
          <cell r="H5">
            <v>0</v>
          </cell>
          <cell r="I5">
            <v>2000000</v>
          </cell>
          <cell r="J5">
            <v>1800000</v>
          </cell>
          <cell r="K5">
            <v>0</v>
          </cell>
          <cell r="L5">
            <v>0</v>
          </cell>
          <cell r="M5">
            <v>1000000</v>
          </cell>
          <cell r="N5">
            <v>0</v>
          </cell>
          <cell r="O5">
            <v>1250000</v>
          </cell>
          <cell r="P5">
            <v>10000</v>
          </cell>
          <cell r="Q5">
            <v>0</v>
          </cell>
          <cell r="R5">
            <v>0</v>
          </cell>
          <cell r="S5">
            <v>7460000</v>
          </cell>
          <cell r="V5">
            <v>0</v>
          </cell>
          <cell r="W5">
            <v>100000</v>
          </cell>
          <cell r="X5">
            <v>0</v>
          </cell>
          <cell r="Y5">
            <v>0</v>
          </cell>
          <cell r="Z5">
            <v>0</v>
          </cell>
          <cell r="AA5">
            <v>800000</v>
          </cell>
          <cell r="AB5">
            <v>500000</v>
          </cell>
          <cell r="AC5">
            <v>150000</v>
          </cell>
          <cell r="AD5">
            <v>100000</v>
          </cell>
          <cell r="AE5">
            <v>500000</v>
          </cell>
          <cell r="AF5">
            <v>900000</v>
          </cell>
          <cell r="AG5">
            <v>0</v>
          </cell>
          <cell r="AH5">
            <v>0</v>
          </cell>
          <cell r="AI5">
            <v>500000</v>
          </cell>
          <cell r="AJ5">
            <v>2000</v>
          </cell>
          <cell r="AK5">
            <v>200000</v>
          </cell>
          <cell r="AL5">
            <v>0</v>
          </cell>
          <cell r="AM5">
            <v>3752000</v>
          </cell>
          <cell r="AP5">
            <v>0</v>
          </cell>
          <cell r="AQ5">
            <v>0</v>
          </cell>
          <cell r="AR5">
            <v>-600000</v>
          </cell>
          <cell r="AS5">
            <v>-300000</v>
          </cell>
          <cell r="AT5">
            <v>200000</v>
          </cell>
          <cell r="AU5">
            <v>500000</v>
          </cell>
          <cell r="AV5">
            <v>200000</v>
          </cell>
          <cell r="AW5">
            <v>300000</v>
          </cell>
          <cell r="AX5">
            <v>0</v>
          </cell>
          <cell r="AY5">
            <v>0</v>
          </cell>
          <cell r="AZ5">
            <v>300000</v>
          </cell>
          <cell r="BA5">
            <v>200000</v>
          </cell>
          <cell r="BB5">
            <v>0</v>
          </cell>
          <cell r="BC5">
            <v>0</v>
          </cell>
          <cell r="BD5">
            <v>900000</v>
          </cell>
          <cell r="BE5">
            <v>400000</v>
          </cell>
          <cell r="BF5">
            <v>200000</v>
          </cell>
          <cell r="BG5">
            <v>2300000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100000</v>
          </cell>
          <cell r="BV5">
            <v>0</v>
          </cell>
          <cell r="BW5">
            <v>-700000</v>
          </cell>
          <cell r="BX5">
            <v>1059997</v>
          </cell>
          <cell r="BY5">
            <v>0</v>
          </cell>
          <cell r="BZ5">
            <v>-59000</v>
          </cell>
          <cell r="CA5">
            <v>400997</v>
          </cell>
          <cell r="CD5">
            <v>505000</v>
          </cell>
          <cell r="CE5">
            <v>375000</v>
          </cell>
          <cell r="CF5">
            <v>200000</v>
          </cell>
          <cell r="CG5">
            <v>600000</v>
          </cell>
          <cell r="CH5">
            <v>650000</v>
          </cell>
          <cell r="CI5">
            <v>800000</v>
          </cell>
          <cell r="CJ5">
            <v>0</v>
          </cell>
          <cell r="CK5">
            <v>0</v>
          </cell>
          <cell r="CL5">
            <v>0</v>
          </cell>
          <cell r="CM5">
            <v>-250000</v>
          </cell>
          <cell r="CN5">
            <v>230000</v>
          </cell>
          <cell r="CO5">
            <v>180000</v>
          </cell>
          <cell r="CP5">
            <v>1310000</v>
          </cell>
          <cell r="CQ5">
            <v>0</v>
          </cell>
          <cell r="CR5">
            <v>2830000</v>
          </cell>
          <cell r="CS5">
            <v>0</v>
          </cell>
          <cell r="CT5">
            <v>0</v>
          </cell>
          <cell r="CU5">
            <v>7430000</v>
          </cell>
          <cell r="CX5">
            <v>0</v>
          </cell>
          <cell r="CY5">
            <v>0</v>
          </cell>
          <cell r="CZ5">
            <v>0</v>
          </cell>
          <cell r="DA5">
            <v>900000</v>
          </cell>
          <cell r="DB5">
            <v>0</v>
          </cell>
          <cell r="DC5">
            <v>0</v>
          </cell>
          <cell r="DD5">
            <v>0</v>
          </cell>
          <cell r="DE5">
            <v>250000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1498000</v>
          </cell>
          <cell r="DM5">
            <v>0</v>
          </cell>
          <cell r="DN5">
            <v>0</v>
          </cell>
          <cell r="DO5">
            <v>2648000</v>
          </cell>
          <cell r="DR5">
            <v>300000</v>
          </cell>
          <cell r="DS5">
            <v>300000</v>
          </cell>
          <cell r="DT5">
            <v>0</v>
          </cell>
          <cell r="DU5">
            <v>0</v>
          </cell>
          <cell r="DV5">
            <v>500000</v>
          </cell>
          <cell r="DW5">
            <v>400000</v>
          </cell>
          <cell r="DX5">
            <v>200000</v>
          </cell>
          <cell r="DY5">
            <v>400000</v>
          </cell>
          <cell r="DZ5">
            <v>700000</v>
          </cell>
          <cell r="EA5">
            <v>200000</v>
          </cell>
          <cell r="EB5">
            <v>0</v>
          </cell>
          <cell r="EC5">
            <v>500000</v>
          </cell>
          <cell r="ED5">
            <v>300000</v>
          </cell>
          <cell r="EE5">
            <v>100000</v>
          </cell>
          <cell r="EF5">
            <v>6000</v>
          </cell>
          <cell r="EG5">
            <v>100000</v>
          </cell>
          <cell r="EH5">
            <v>0</v>
          </cell>
          <cell r="EI5">
            <v>4006000</v>
          </cell>
          <cell r="EL5">
            <v>1500000</v>
          </cell>
          <cell r="EM5">
            <v>1000000</v>
          </cell>
          <cell r="EN5">
            <v>0</v>
          </cell>
          <cell r="EO5">
            <v>0</v>
          </cell>
          <cell r="EP5">
            <v>400000</v>
          </cell>
          <cell r="EQ5">
            <v>2250000</v>
          </cell>
          <cell r="ER5">
            <v>1000000</v>
          </cell>
          <cell r="ES5">
            <v>1000000</v>
          </cell>
          <cell r="ET5">
            <v>2700000</v>
          </cell>
          <cell r="EU5">
            <v>1300000</v>
          </cell>
          <cell r="EV5">
            <v>0</v>
          </cell>
          <cell r="EW5">
            <v>200000</v>
          </cell>
          <cell r="EX5">
            <v>800000</v>
          </cell>
          <cell r="EY5">
            <v>1000000</v>
          </cell>
          <cell r="EZ5">
            <v>156000</v>
          </cell>
          <cell r="FA5">
            <v>1000000</v>
          </cell>
          <cell r="FB5">
            <v>0</v>
          </cell>
          <cell r="FC5">
            <v>14306000</v>
          </cell>
          <cell r="FF5">
            <v>400000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1800000</v>
          </cell>
          <cell r="FM5">
            <v>1500000</v>
          </cell>
          <cell r="FN5">
            <v>0</v>
          </cell>
          <cell r="FO5">
            <v>0</v>
          </cell>
          <cell r="FP5">
            <v>550000</v>
          </cell>
          <cell r="FQ5">
            <v>2200000</v>
          </cell>
          <cell r="FR5">
            <v>500000</v>
          </cell>
          <cell r="FS5">
            <v>500000</v>
          </cell>
          <cell r="FT5">
            <v>36000</v>
          </cell>
          <cell r="FU5">
            <v>0</v>
          </cell>
          <cell r="FV5">
            <v>0</v>
          </cell>
          <cell r="FW5">
            <v>7486000</v>
          </cell>
          <cell r="FZ5">
            <v>200000</v>
          </cell>
          <cell r="GA5">
            <v>0</v>
          </cell>
          <cell r="GB5">
            <v>0</v>
          </cell>
          <cell r="GC5">
            <v>-1500000</v>
          </cell>
          <cell r="GD5">
            <v>0</v>
          </cell>
          <cell r="GE5">
            <v>700000</v>
          </cell>
          <cell r="GF5">
            <v>0</v>
          </cell>
          <cell r="GG5">
            <v>800000</v>
          </cell>
          <cell r="GH5">
            <v>1200000</v>
          </cell>
          <cell r="GI5">
            <v>700000</v>
          </cell>
          <cell r="GJ5">
            <v>600000</v>
          </cell>
          <cell r="GK5">
            <v>1000000</v>
          </cell>
          <cell r="GL5">
            <v>500000</v>
          </cell>
          <cell r="GM5">
            <v>-500000</v>
          </cell>
          <cell r="GN5">
            <v>1159500</v>
          </cell>
          <cell r="GO5">
            <v>400000</v>
          </cell>
          <cell r="GP5">
            <v>0</v>
          </cell>
          <cell r="GQ5">
            <v>5259500</v>
          </cell>
          <cell r="GT5">
            <v>0</v>
          </cell>
          <cell r="GU5">
            <v>400000</v>
          </cell>
          <cell r="GV5">
            <v>50000</v>
          </cell>
          <cell r="GW5">
            <v>300000</v>
          </cell>
          <cell r="GX5">
            <v>750000</v>
          </cell>
          <cell r="GY5">
            <v>0</v>
          </cell>
          <cell r="GZ5">
            <v>0</v>
          </cell>
          <cell r="HA5">
            <v>500000</v>
          </cell>
          <cell r="HB5">
            <v>1700000</v>
          </cell>
          <cell r="HC5">
            <v>0</v>
          </cell>
          <cell r="HD5">
            <v>200000</v>
          </cell>
          <cell r="HE5">
            <v>800000</v>
          </cell>
          <cell r="HF5">
            <v>600000</v>
          </cell>
          <cell r="HG5">
            <v>150000</v>
          </cell>
          <cell r="HH5">
            <v>390000</v>
          </cell>
          <cell r="HI5">
            <v>0</v>
          </cell>
          <cell r="HJ5">
            <v>0</v>
          </cell>
          <cell r="HK5">
            <v>5840000</v>
          </cell>
          <cell r="HN5">
            <v>-1000000</v>
          </cell>
          <cell r="HO5">
            <v>0</v>
          </cell>
          <cell r="HP5">
            <v>-600000</v>
          </cell>
          <cell r="HQ5">
            <v>-800000</v>
          </cell>
          <cell r="HR5">
            <v>0</v>
          </cell>
          <cell r="HS5">
            <v>0</v>
          </cell>
          <cell r="HT5">
            <v>-1060000</v>
          </cell>
          <cell r="HU5">
            <v>-800000</v>
          </cell>
          <cell r="HV5">
            <v>0</v>
          </cell>
          <cell r="HW5">
            <v>-700000</v>
          </cell>
          <cell r="HX5">
            <v>0</v>
          </cell>
          <cell r="HY5">
            <v>0</v>
          </cell>
          <cell r="HZ5">
            <v>0</v>
          </cell>
          <cell r="IA5">
            <v>-1660000</v>
          </cell>
          <cell r="IB5">
            <v>5162000</v>
          </cell>
          <cell r="IC5">
            <v>-500000</v>
          </cell>
          <cell r="ID5">
            <v>-300000</v>
          </cell>
          <cell r="IE5">
            <v>-2258000</v>
          </cell>
          <cell r="IH5">
            <v>0</v>
          </cell>
          <cell r="II5">
            <v>1100000</v>
          </cell>
          <cell r="IJ5">
            <v>-600000</v>
          </cell>
          <cell r="IK5">
            <v>-300000</v>
          </cell>
          <cell r="IL5">
            <v>600000</v>
          </cell>
          <cell r="IM5">
            <v>1300000</v>
          </cell>
          <cell r="IN5">
            <v>700000</v>
          </cell>
          <cell r="IO5">
            <v>2450000</v>
          </cell>
          <cell r="IP5">
            <v>1900000</v>
          </cell>
          <cell r="IQ5">
            <v>500000</v>
          </cell>
          <cell r="IR5">
            <v>1200000</v>
          </cell>
          <cell r="IS5">
            <v>1200000</v>
          </cell>
          <cell r="IT5">
            <v>0</v>
          </cell>
          <cell r="IU5">
            <v>1750000</v>
          </cell>
          <cell r="IV5">
            <v>912000</v>
          </cell>
          <cell r="IW5">
            <v>600000</v>
          </cell>
          <cell r="IX5">
            <v>200000</v>
          </cell>
          <cell r="IY5">
            <v>13512000</v>
          </cell>
          <cell r="JB5">
            <v>505000</v>
          </cell>
          <cell r="JC5">
            <v>375000</v>
          </cell>
          <cell r="JD5">
            <v>200000</v>
          </cell>
          <cell r="JE5">
            <v>1500000</v>
          </cell>
          <cell r="JF5">
            <v>650000</v>
          </cell>
          <cell r="JG5">
            <v>800000</v>
          </cell>
          <cell r="JH5">
            <v>0</v>
          </cell>
          <cell r="JI5">
            <v>250000</v>
          </cell>
          <cell r="JJ5">
            <v>0</v>
          </cell>
          <cell r="JK5">
            <v>-250000</v>
          </cell>
          <cell r="JL5">
            <v>230000</v>
          </cell>
          <cell r="JM5">
            <v>280000</v>
          </cell>
          <cell r="JN5">
            <v>1310000</v>
          </cell>
          <cell r="JO5">
            <v>-700000</v>
          </cell>
          <cell r="JP5">
            <v>5387997</v>
          </cell>
          <cell r="JQ5">
            <v>0</v>
          </cell>
          <cell r="JR5">
            <v>-59000</v>
          </cell>
          <cell r="JS5">
            <v>10478997</v>
          </cell>
          <cell r="JV5">
            <v>2200000</v>
          </cell>
          <cell r="JW5">
            <v>1300000</v>
          </cell>
          <cell r="JX5">
            <v>0</v>
          </cell>
          <cell r="JY5">
            <v>0</v>
          </cell>
          <cell r="JZ5">
            <v>900000</v>
          </cell>
          <cell r="KA5">
            <v>2650000</v>
          </cell>
          <cell r="KB5">
            <v>3000000</v>
          </cell>
          <cell r="KC5">
            <v>2900000</v>
          </cell>
          <cell r="KD5">
            <v>3400000</v>
          </cell>
          <cell r="KE5">
            <v>1500000</v>
          </cell>
          <cell r="KF5">
            <v>550000</v>
          </cell>
          <cell r="KG5">
            <v>2900000</v>
          </cell>
          <cell r="KH5">
            <v>1600000</v>
          </cell>
          <cell r="KI5">
            <v>1600000</v>
          </cell>
          <cell r="KJ5">
            <v>198000</v>
          </cell>
          <cell r="KK5">
            <v>1100000</v>
          </cell>
          <cell r="KL5">
            <v>0</v>
          </cell>
          <cell r="KM5">
            <v>25798000</v>
          </cell>
          <cell r="KP5">
            <v>-800000</v>
          </cell>
          <cell r="KQ5">
            <v>400000</v>
          </cell>
          <cell r="KR5">
            <v>-550000</v>
          </cell>
          <cell r="KS5">
            <v>-2000000</v>
          </cell>
          <cell r="KT5">
            <v>750000</v>
          </cell>
          <cell r="KU5">
            <v>700000</v>
          </cell>
          <cell r="KV5">
            <v>-1060000</v>
          </cell>
          <cell r="KW5">
            <v>500000</v>
          </cell>
          <cell r="KX5">
            <v>2900000</v>
          </cell>
          <cell r="KY5">
            <v>0</v>
          </cell>
          <cell r="KZ5">
            <v>800000</v>
          </cell>
          <cell r="LA5">
            <v>1800000</v>
          </cell>
          <cell r="LB5">
            <v>1100000</v>
          </cell>
          <cell r="LC5">
            <v>-2010000</v>
          </cell>
          <cell r="LD5">
            <v>6711500</v>
          </cell>
          <cell r="LE5">
            <v>-100000</v>
          </cell>
          <cell r="LF5">
            <v>-300000</v>
          </cell>
          <cell r="LG5">
            <v>8841500</v>
          </cell>
          <cell r="LJ5">
            <v>505000</v>
          </cell>
          <cell r="LK5">
            <v>1475000</v>
          </cell>
          <cell r="LL5">
            <v>-400000</v>
          </cell>
          <cell r="LM5">
            <v>1200000</v>
          </cell>
          <cell r="LN5">
            <v>1250000</v>
          </cell>
          <cell r="LO5">
            <v>2100000</v>
          </cell>
          <cell r="LP5">
            <v>700000</v>
          </cell>
          <cell r="LQ5">
            <v>2700000</v>
          </cell>
          <cell r="LR5">
            <v>1900000</v>
          </cell>
          <cell r="LS5">
            <v>250000</v>
          </cell>
          <cell r="LT5">
            <v>1430000</v>
          </cell>
          <cell r="LU5">
            <v>1480000</v>
          </cell>
          <cell r="LV5">
            <v>1310000</v>
          </cell>
          <cell r="LW5">
            <v>1050000</v>
          </cell>
          <cell r="LX5">
            <v>6299997</v>
          </cell>
          <cell r="LY5">
            <v>600000</v>
          </cell>
          <cell r="LZ5">
            <v>141000</v>
          </cell>
          <cell r="MA5">
            <v>23849997</v>
          </cell>
          <cell r="MD5">
            <v>1400000</v>
          </cell>
          <cell r="ME5">
            <v>1700000</v>
          </cell>
          <cell r="MF5">
            <v>-550000</v>
          </cell>
          <cell r="MG5">
            <v>-2000000</v>
          </cell>
          <cell r="MH5">
            <v>1650000</v>
          </cell>
          <cell r="MI5">
            <v>3350000</v>
          </cell>
          <cell r="MJ5">
            <v>1940000</v>
          </cell>
          <cell r="MK5">
            <v>3400000</v>
          </cell>
          <cell r="ML5">
            <v>6300000</v>
          </cell>
          <cell r="MM5">
            <v>1500000</v>
          </cell>
          <cell r="MN5">
            <v>1350000</v>
          </cell>
          <cell r="MO5">
            <v>4700000</v>
          </cell>
          <cell r="MP5">
            <v>2700000</v>
          </cell>
          <cell r="MQ5">
            <v>-410000</v>
          </cell>
          <cell r="MR5">
            <v>6909500</v>
          </cell>
          <cell r="MS5">
            <v>1000000</v>
          </cell>
          <cell r="MT5">
            <v>-300000</v>
          </cell>
          <cell r="MU5">
            <v>34639500</v>
          </cell>
          <cell r="MX5">
            <v>1905000</v>
          </cell>
          <cell r="MY5">
            <v>3175000</v>
          </cell>
          <cell r="MZ5">
            <v>-950000</v>
          </cell>
          <cell r="NA5">
            <v>-800000</v>
          </cell>
          <cell r="NB5">
            <v>2900000</v>
          </cell>
          <cell r="NC5">
            <v>5450000</v>
          </cell>
          <cell r="ND5">
            <v>2640000</v>
          </cell>
          <cell r="NE5">
            <v>6100000</v>
          </cell>
          <cell r="NF5">
            <v>8200000</v>
          </cell>
          <cell r="NG5">
            <v>1750000</v>
          </cell>
          <cell r="NH5">
            <v>2780000</v>
          </cell>
          <cell r="NI5">
            <v>6180000</v>
          </cell>
          <cell r="NJ5">
            <v>4010000</v>
          </cell>
          <cell r="NK5">
            <v>640000</v>
          </cell>
          <cell r="NL5">
            <v>13209497</v>
          </cell>
          <cell r="NM5">
            <v>1600000</v>
          </cell>
          <cell r="NN5">
            <v>-159000</v>
          </cell>
          <cell r="NO5">
            <v>58630497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280000</v>
          </cell>
          <cell r="I6">
            <v>0</v>
          </cell>
          <cell r="J6">
            <v>160000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600000</v>
          </cell>
          <cell r="P6">
            <v>1600</v>
          </cell>
          <cell r="Q6">
            <v>0</v>
          </cell>
          <cell r="R6">
            <v>0</v>
          </cell>
          <cell r="S6">
            <v>1041600</v>
          </cell>
          <cell r="V6">
            <v>40000</v>
          </cell>
          <cell r="W6">
            <v>0</v>
          </cell>
          <cell r="X6">
            <v>40000</v>
          </cell>
          <cell r="Y6">
            <v>80000</v>
          </cell>
          <cell r="Z6">
            <v>0</v>
          </cell>
          <cell r="AA6">
            <v>0</v>
          </cell>
          <cell r="AB6">
            <v>0</v>
          </cell>
          <cell r="AC6">
            <v>200000</v>
          </cell>
          <cell r="AD6">
            <v>40000</v>
          </cell>
          <cell r="AE6">
            <v>80000</v>
          </cell>
          <cell r="AF6">
            <v>40000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120000</v>
          </cell>
          <cell r="AL6">
            <v>0</v>
          </cell>
          <cell r="AM6">
            <v>640000</v>
          </cell>
          <cell r="AP6">
            <v>120000</v>
          </cell>
          <cell r="AQ6">
            <v>0</v>
          </cell>
          <cell r="AR6">
            <v>0</v>
          </cell>
          <cell r="AS6">
            <v>80000</v>
          </cell>
          <cell r="AT6">
            <v>0</v>
          </cell>
          <cell r="AU6">
            <v>120000</v>
          </cell>
          <cell r="AV6">
            <v>0</v>
          </cell>
          <cell r="AW6">
            <v>80000</v>
          </cell>
          <cell r="AX6">
            <v>40000</v>
          </cell>
          <cell r="AY6">
            <v>0</v>
          </cell>
          <cell r="AZ6">
            <v>80000</v>
          </cell>
          <cell r="BA6">
            <v>220000</v>
          </cell>
          <cell r="BB6">
            <v>120000</v>
          </cell>
          <cell r="BC6">
            <v>80000</v>
          </cell>
          <cell r="BD6">
            <v>0</v>
          </cell>
          <cell r="BE6">
            <v>0</v>
          </cell>
          <cell r="BF6">
            <v>0</v>
          </cell>
          <cell r="BG6">
            <v>940000</v>
          </cell>
          <cell r="BJ6">
            <v>80000</v>
          </cell>
          <cell r="BK6">
            <v>0</v>
          </cell>
          <cell r="BL6">
            <v>0</v>
          </cell>
          <cell r="BM6">
            <v>320000</v>
          </cell>
          <cell r="BN6">
            <v>0</v>
          </cell>
          <cell r="BO6">
            <v>0</v>
          </cell>
          <cell r="BP6">
            <v>0</v>
          </cell>
          <cell r="BQ6">
            <v>160000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600000</v>
          </cell>
          <cell r="BX6">
            <v>1000385</v>
          </cell>
          <cell r="BY6">
            <v>0</v>
          </cell>
          <cell r="BZ6">
            <v>0</v>
          </cell>
          <cell r="CA6">
            <v>2160385</v>
          </cell>
          <cell r="CD6">
            <v>120000</v>
          </cell>
          <cell r="CE6">
            <v>80000</v>
          </cell>
          <cell r="CF6">
            <v>140000</v>
          </cell>
          <cell r="CG6">
            <v>180000</v>
          </cell>
          <cell r="CH6">
            <v>380000</v>
          </cell>
          <cell r="CI6">
            <v>240000</v>
          </cell>
          <cell r="CJ6">
            <v>80000</v>
          </cell>
          <cell r="CK6">
            <v>200000</v>
          </cell>
          <cell r="CL6">
            <v>460000</v>
          </cell>
          <cell r="CM6">
            <v>200000</v>
          </cell>
          <cell r="CN6">
            <v>200000</v>
          </cell>
          <cell r="CO6">
            <v>120000</v>
          </cell>
          <cell r="CP6">
            <v>600000</v>
          </cell>
          <cell r="CQ6">
            <v>80000</v>
          </cell>
          <cell r="CR6">
            <v>3400000</v>
          </cell>
          <cell r="CS6">
            <v>0</v>
          </cell>
          <cell r="CT6">
            <v>100000</v>
          </cell>
          <cell r="CU6">
            <v>6580000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R6">
            <v>0</v>
          </cell>
          <cell r="DS6">
            <v>100000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40000</v>
          </cell>
          <cell r="DZ6">
            <v>160000</v>
          </cell>
          <cell r="EA6">
            <v>0</v>
          </cell>
          <cell r="EB6">
            <v>0</v>
          </cell>
          <cell r="EC6">
            <v>80000</v>
          </cell>
          <cell r="ED6">
            <v>40000</v>
          </cell>
          <cell r="EE6">
            <v>0</v>
          </cell>
          <cell r="EF6">
            <v>0</v>
          </cell>
          <cell r="EG6">
            <v>140000</v>
          </cell>
          <cell r="EH6">
            <v>0</v>
          </cell>
          <cell r="EI6">
            <v>560000</v>
          </cell>
          <cell r="EL6">
            <v>0</v>
          </cell>
          <cell r="EM6">
            <v>0</v>
          </cell>
          <cell r="EN6">
            <v>0</v>
          </cell>
          <cell r="EO6">
            <v>80000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40000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84000</v>
          </cell>
          <cell r="FA6">
            <v>0</v>
          </cell>
          <cell r="FB6">
            <v>0</v>
          </cell>
          <cell r="FC6">
            <v>204000</v>
          </cell>
          <cell r="FF6">
            <v>0</v>
          </cell>
          <cell r="FG6">
            <v>20000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9600</v>
          </cell>
          <cell r="FU6">
            <v>0</v>
          </cell>
          <cell r="FV6">
            <v>0</v>
          </cell>
          <cell r="FW6">
            <v>29600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80000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41600</v>
          </cell>
          <cell r="GO6">
            <v>0</v>
          </cell>
          <cell r="GP6">
            <v>0</v>
          </cell>
          <cell r="GQ6">
            <v>121600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200000</v>
          </cell>
          <cell r="HB6">
            <v>0</v>
          </cell>
          <cell r="HC6">
            <v>0</v>
          </cell>
          <cell r="HD6">
            <v>0</v>
          </cell>
          <cell r="HE6">
            <v>100000</v>
          </cell>
          <cell r="HF6">
            <v>0</v>
          </cell>
          <cell r="HG6">
            <v>0</v>
          </cell>
          <cell r="HH6">
            <v>10400</v>
          </cell>
          <cell r="HI6">
            <v>0</v>
          </cell>
          <cell r="HJ6">
            <v>0</v>
          </cell>
          <cell r="HK6">
            <v>310400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5600</v>
          </cell>
          <cell r="IC6">
            <v>0</v>
          </cell>
          <cell r="ID6">
            <v>0</v>
          </cell>
          <cell r="IE6">
            <v>5600</v>
          </cell>
          <cell r="IH6">
            <v>160000</v>
          </cell>
          <cell r="II6">
            <v>0</v>
          </cell>
          <cell r="IJ6">
            <v>40000</v>
          </cell>
          <cell r="IK6">
            <v>160000</v>
          </cell>
          <cell r="IL6">
            <v>0</v>
          </cell>
          <cell r="IM6">
            <v>120000</v>
          </cell>
          <cell r="IN6">
            <v>280000</v>
          </cell>
          <cell r="IO6">
            <v>280000</v>
          </cell>
          <cell r="IP6">
            <v>240000</v>
          </cell>
          <cell r="IQ6">
            <v>80000</v>
          </cell>
          <cell r="IR6">
            <v>120000</v>
          </cell>
          <cell r="IS6">
            <v>220000</v>
          </cell>
          <cell r="IT6">
            <v>120000</v>
          </cell>
          <cell r="IU6">
            <v>680000</v>
          </cell>
          <cell r="IV6">
            <v>1600</v>
          </cell>
          <cell r="IW6">
            <v>120000</v>
          </cell>
          <cell r="IX6">
            <v>0</v>
          </cell>
          <cell r="IY6">
            <v>2621600</v>
          </cell>
          <cell r="JB6">
            <v>200000</v>
          </cell>
          <cell r="JC6">
            <v>80000</v>
          </cell>
          <cell r="JD6">
            <v>140000</v>
          </cell>
          <cell r="JE6">
            <v>500000</v>
          </cell>
          <cell r="JF6">
            <v>380000</v>
          </cell>
          <cell r="JG6">
            <v>240000</v>
          </cell>
          <cell r="JH6">
            <v>80000</v>
          </cell>
          <cell r="JI6">
            <v>360000</v>
          </cell>
          <cell r="JJ6">
            <v>460000</v>
          </cell>
          <cell r="JK6">
            <v>200000</v>
          </cell>
          <cell r="JL6">
            <v>200000</v>
          </cell>
          <cell r="JM6">
            <v>120000</v>
          </cell>
          <cell r="JN6">
            <v>600000</v>
          </cell>
          <cell r="JO6">
            <v>680000</v>
          </cell>
          <cell r="JP6">
            <v>4400385</v>
          </cell>
          <cell r="JQ6">
            <v>0</v>
          </cell>
          <cell r="JR6">
            <v>100000</v>
          </cell>
          <cell r="JS6">
            <v>8740385</v>
          </cell>
          <cell r="JV6">
            <v>0</v>
          </cell>
          <cell r="JW6">
            <v>120000</v>
          </cell>
          <cell r="JX6">
            <v>0</v>
          </cell>
          <cell r="JY6">
            <v>80000</v>
          </cell>
          <cell r="JZ6">
            <v>0</v>
          </cell>
          <cell r="KA6">
            <v>0</v>
          </cell>
          <cell r="KB6">
            <v>0</v>
          </cell>
          <cell r="KC6">
            <v>40000</v>
          </cell>
          <cell r="KD6">
            <v>160000</v>
          </cell>
          <cell r="KE6">
            <v>40000</v>
          </cell>
          <cell r="KF6">
            <v>0</v>
          </cell>
          <cell r="KG6">
            <v>80000</v>
          </cell>
          <cell r="KH6">
            <v>40000</v>
          </cell>
          <cell r="KI6">
            <v>0</v>
          </cell>
          <cell r="KJ6">
            <v>93600</v>
          </cell>
          <cell r="KK6">
            <v>140000</v>
          </cell>
          <cell r="KL6">
            <v>0</v>
          </cell>
          <cell r="KM6">
            <v>793600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200000</v>
          </cell>
          <cell r="KX6">
            <v>80000</v>
          </cell>
          <cell r="KY6">
            <v>0</v>
          </cell>
          <cell r="KZ6">
            <v>0</v>
          </cell>
          <cell r="LA6">
            <v>100000</v>
          </cell>
          <cell r="LB6">
            <v>0</v>
          </cell>
          <cell r="LC6">
            <v>0</v>
          </cell>
          <cell r="LD6">
            <v>57600</v>
          </cell>
          <cell r="LE6">
            <v>0</v>
          </cell>
          <cell r="LF6">
            <v>0</v>
          </cell>
          <cell r="LG6">
            <v>437600</v>
          </cell>
          <cell r="LJ6">
            <v>360000</v>
          </cell>
          <cell r="LK6">
            <v>80000</v>
          </cell>
          <cell r="LL6">
            <v>180000</v>
          </cell>
          <cell r="LM6">
            <v>660000</v>
          </cell>
          <cell r="LN6">
            <v>380000</v>
          </cell>
          <cell r="LO6">
            <v>360000</v>
          </cell>
          <cell r="LP6">
            <v>360000</v>
          </cell>
          <cell r="LQ6">
            <v>640000</v>
          </cell>
          <cell r="LR6">
            <v>700000</v>
          </cell>
          <cell r="LS6">
            <v>280000</v>
          </cell>
          <cell r="LT6">
            <v>320000</v>
          </cell>
          <cell r="LU6">
            <v>340000</v>
          </cell>
          <cell r="LV6">
            <v>720000</v>
          </cell>
          <cell r="LW6">
            <v>1360000</v>
          </cell>
          <cell r="LX6">
            <v>4401985</v>
          </cell>
          <cell r="LY6">
            <v>120000</v>
          </cell>
          <cell r="LZ6">
            <v>100000</v>
          </cell>
          <cell r="MA6">
            <v>11261985</v>
          </cell>
          <cell r="MD6">
            <v>0</v>
          </cell>
          <cell r="ME6">
            <v>120000</v>
          </cell>
          <cell r="MF6">
            <v>0</v>
          </cell>
          <cell r="MG6">
            <v>80000</v>
          </cell>
          <cell r="MH6">
            <v>0</v>
          </cell>
          <cell r="MI6">
            <v>0</v>
          </cell>
          <cell r="MJ6">
            <v>0</v>
          </cell>
          <cell r="MK6">
            <v>240000</v>
          </cell>
          <cell r="ML6">
            <v>240000</v>
          </cell>
          <cell r="MM6">
            <v>40000</v>
          </cell>
          <cell r="MN6">
            <v>0</v>
          </cell>
          <cell r="MO6">
            <v>180000</v>
          </cell>
          <cell r="MP6">
            <v>40000</v>
          </cell>
          <cell r="MQ6">
            <v>0</v>
          </cell>
          <cell r="MR6">
            <v>151200</v>
          </cell>
          <cell r="MS6">
            <v>140000</v>
          </cell>
          <cell r="MT6">
            <v>0</v>
          </cell>
          <cell r="MU6">
            <v>1231200</v>
          </cell>
          <cell r="MX6">
            <v>360000</v>
          </cell>
          <cell r="MY6">
            <v>200000</v>
          </cell>
          <cell r="MZ6">
            <v>180000</v>
          </cell>
          <cell r="NA6">
            <v>740000</v>
          </cell>
          <cell r="NB6">
            <v>380000</v>
          </cell>
          <cell r="NC6">
            <v>360000</v>
          </cell>
          <cell r="ND6">
            <v>360000</v>
          </cell>
          <cell r="NE6">
            <v>880000</v>
          </cell>
          <cell r="NF6">
            <v>940000</v>
          </cell>
          <cell r="NG6">
            <v>320000</v>
          </cell>
          <cell r="NH6">
            <v>320000</v>
          </cell>
          <cell r="NI6">
            <v>520000</v>
          </cell>
          <cell r="NJ6">
            <v>760000</v>
          </cell>
          <cell r="NK6">
            <v>1360000</v>
          </cell>
          <cell r="NL6">
            <v>4553185</v>
          </cell>
          <cell r="NM6">
            <v>260000</v>
          </cell>
          <cell r="NN6">
            <v>100000</v>
          </cell>
          <cell r="NO6">
            <v>12593185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40000</v>
          </cell>
          <cell r="G7">
            <v>0</v>
          </cell>
          <cell r="H7">
            <v>140000</v>
          </cell>
          <cell r="I7">
            <v>0</v>
          </cell>
          <cell r="J7">
            <v>100000</v>
          </cell>
          <cell r="K7">
            <v>0</v>
          </cell>
          <cell r="L7">
            <v>0</v>
          </cell>
          <cell r="M7">
            <v>60000</v>
          </cell>
          <cell r="N7">
            <v>0</v>
          </cell>
          <cell r="O7">
            <v>0</v>
          </cell>
          <cell r="P7">
            <v>1600</v>
          </cell>
          <cell r="Q7">
            <v>0</v>
          </cell>
          <cell r="R7">
            <v>0</v>
          </cell>
          <cell r="S7">
            <v>341600</v>
          </cell>
          <cell r="V7">
            <v>40000</v>
          </cell>
          <cell r="W7">
            <v>0</v>
          </cell>
          <cell r="X7">
            <v>20000</v>
          </cell>
          <cell r="Y7">
            <v>100000</v>
          </cell>
          <cell r="Z7">
            <v>0</v>
          </cell>
          <cell r="AA7">
            <v>100000</v>
          </cell>
          <cell r="AB7">
            <v>0</v>
          </cell>
          <cell r="AC7">
            <v>210000</v>
          </cell>
          <cell r="AD7">
            <v>60000</v>
          </cell>
          <cell r="AE7">
            <v>30000</v>
          </cell>
          <cell r="AF7">
            <v>20000</v>
          </cell>
          <cell r="AG7">
            <v>0</v>
          </cell>
          <cell r="AH7">
            <v>80000</v>
          </cell>
          <cell r="AI7">
            <v>120000</v>
          </cell>
          <cell r="AJ7">
            <v>201200</v>
          </cell>
          <cell r="AK7">
            <v>80000</v>
          </cell>
          <cell r="AL7">
            <v>20000</v>
          </cell>
          <cell r="AM7">
            <v>1081200</v>
          </cell>
          <cell r="AP7">
            <v>120000</v>
          </cell>
          <cell r="AQ7">
            <v>20000</v>
          </cell>
          <cell r="AR7">
            <v>20000</v>
          </cell>
          <cell r="AS7">
            <v>140000</v>
          </cell>
          <cell r="AT7">
            <v>0</v>
          </cell>
          <cell r="AU7">
            <v>40000</v>
          </cell>
          <cell r="AV7">
            <v>100000</v>
          </cell>
          <cell r="AW7">
            <v>160000</v>
          </cell>
          <cell r="AX7">
            <v>100000</v>
          </cell>
          <cell r="AY7">
            <v>0</v>
          </cell>
          <cell r="AZ7">
            <v>120000</v>
          </cell>
          <cell r="BA7">
            <v>110000</v>
          </cell>
          <cell r="BB7">
            <v>120000</v>
          </cell>
          <cell r="BC7">
            <v>80000</v>
          </cell>
          <cell r="BD7">
            <v>200</v>
          </cell>
          <cell r="BE7">
            <v>20000</v>
          </cell>
          <cell r="BF7">
            <v>20000</v>
          </cell>
          <cell r="BG7">
            <v>1170200</v>
          </cell>
          <cell r="BJ7">
            <v>160000</v>
          </cell>
          <cell r="BK7">
            <v>0</v>
          </cell>
          <cell r="BL7">
            <v>0</v>
          </cell>
          <cell r="BM7">
            <v>250000</v>
          </cell>
          <cell r="BN7">
            <v>0</v>
          </cell>
          <cell r="BO7">
            <v>0</v>
          </cell>
          <cell r="BP7">
            <v>0</v>
          </cell>
          <cell r="BQ7">
            <v>120000</v>
          </cell>
          <cell r="BR7">
            <v>0</v>
          </cell>
          <cell r="BS7">
            <v>0</v>
          </cell>
          <cell r="BT7">
            <v>0</v>
          </cell>
          <cell r="BU7">
            <v>80000</v>
          </cell>
          <cell r="BV7">
            <v>100000</v>
          </cell>
          <cell r="BW7">
            <v>360000</v>
          </cell>
          <cell r="BX7">
            <v>350552</v>
          </cell>
          <cell r="BY7">
            <v>0</v>
          </cell>
          <cell r="BZ7">
            <v>0</v>
          </cell>
          <cell r="CA7">
            <v>1420552</v>
          </cell>
          <cell r="CD7">
            <v>-200000</v>
          </cell>
          <cell r="CE7">
            <v>0</v>
          </cell>
          <cell r="CF7">
            <v>20000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40000</v>
          </cell>
          <cell r="CO7">
            <v>0</v>
          </cell>
          <cell r="CP7">
            <v>140000</v>
          </cell>
          <cell r="CQ7">
            <v>0</v>
          </cell>
          <cell r="CR7">
            <v>750000</v>
          </cell>
          <cell r="CS7">
            <v>0</v>
          </cell>
          <cell r="CT7">
            <v>40000</v>
          </cell>
          <cell r="CU7">
            <v>790000</v>
          </cell>
          <cell r="CX7">
            <v>0</v>
          </cell>
          <cell r="CY7">
            <v>0</v>
          </cell>
          <cell r="CZ7">
            <v>10000</v>
          </cell>
          <cell r="DA7">
            <v>0</v>
          </cell>
          <cell r="DB7">
            <v>20000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20000</v>
          </cell>
          <cell r="DI7">
            <v>0</v>
          </cell>
          <cell r="DJ7">
            <v>0</v>
          </cell>
          <cell r="DK7">
            <v>0</v>
          </cell>
          <cell r="DL7">
            <v>200000</v>
          </cell>
          <cell r="DM7">
            <v>0</v>
          </cell>
          <cell r="DN7">
            <v>0</v>
          </cell>
          <cell r="DO7">
            <v>250000</v>
          </cell>
          <cell r="DR7">
            <v>0</v>
          </cell>
          <cell r="DS7">
            <v>40000</v>
          </cell>
          <cell r="DT7">
            <v>0</v>
          </cell>
          <cell r="DU7">
            <v>0</v>
          </cell>
          <cell r="DV7">
            <v>40000</v>
          </cell>
          <cell r="DW7">
            <v>0</v>
          </cell>
          <cell r="DX7">
            <v>20000</v>
          </cell>
          <cell r="DY7">
            <v>60000</v>
          </cell>
          <cell r="DZ7">
            <v>60000</v>
          </cell>
          <cell r="EA7">
            <v>20000</v>
          </cell>
          <cell r="EB7">
            <v>0</v>
          </cell>
          <cell r="EC7">
            <v>20000</v>
          </cell>
          <cell r="ED7">
            <v>40000</v>
          </cell>
          <cell r="EE7">
            <v>0</v>
          </cell>
          <cell r="EF7">
            <v>1200</v>
          </cell>
          <cell r="EG7">
            <v>20000</v>
          </cell>
          <cell r="EH7">
            <v>0</v>
          </cell>
          <cell r="EI7">
            <v>321200</v>
          </cell>
          <cell r="EL7">
            <v>200000</v>
          </cell>
          <cell r="EM7">
            <v>30000</v>
          </cell>
          <cell r="EN7">
            <v>0</v>
          </cell>
          <cell r="EO7">
            <v>20000</v>
          </cell>
          <cell r="EP7">
            <v>80000</v>
          </cell>
          <cell r="EQ7">
            <v>200000</v>
          </cell>
          <cell r="ER7">
            <v>100000</v>
          </cell>
          <cell r="ES7">
            <v>140000</v>
          </cell>
          <cell r="ET7">
            <v>180000</v>
          </cell>
          <cell r="EU7">
            <v>40000</v>
          </cell>
          <cell r="EV7">
            <v>0</v>
          </cell>
          <cell r="EW7">
            <v>40000</v>
          </cell>
          <cell r="EX7">
            <v>60000</v>
          </cell>
          <cell r="EY7">
            <v>40000</v>
          </cell>
          <cell r="EZ7">
            <v>53000</v>
          </cell>
          <cell r="FA7">
            <v>50000</v>
          </cell>
          <cell r="FB7">
            <v>0</v>
          </cell>
          <cell r="FC7">
            <v>1233000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120000</v>
          </cell>
          <cell r="FM7">
            <v>260000</v>
          </cell>
          <cell r="FN7">
            <v>0</v>
          </cell>
          <cell r="FO7">
            <v>0</v>
          </cell>
          <cell r="FP7">
            <v>0</v>
          </cell>
          <cell r="FQ7">
            <v>100000</v>
          </cell>
          <cell r="FR7">
            <v>0</v>
          </cell>
          <cell r="FS7">
            <v>60000</v>
          </cell>
          <cell r="FT7">
            <v>7200</v>
          </cell>
          <cell r="FU7">
            <v>0</v>
          </cell>
          <cell r="FV7">
            <v>0</v>
          </cell>
          <cell r="FW7">
            <v>547200</v>
          </cell>
          <cell r="FZ7">
            <v>0</v>
          </cell>
          <cell r="GA7">
            <v>100000</v>
          </cell>
          <cell r="GB7">
            <v>0</v>
          </cell>
          <cell r="GC7">
            <v>0</v>
          </cell>
          <cell r="GD7">
            <v>60000</v>
          </cell>
          <cell r="GE7">
            <v>80000</v>
          </cell>
          <cell r="GF7">
            <v>0</v>
          </cell>
          <cell r="GG7">
            <v>200000</v>
          </cell>
          <cell r="GH7">
            <v>180000</v>
          </cell>
          <cell r="GI7">
            <v>120000</v>
          </cell>
          <cell r="GJ7">
            <v>0</v>
          </cell>
          <cell r="GK7">
            <v>220000</v>
          </cell>
          <cell r="GL7">
            <v>100000</v>
          </cell>
          <cell r="GM7">
            <v>40000</v>
          </cell>
          <cell r="GN7">
            <v>46698.03</v>
          </cell>
          <cell r="GO7">
            <v>20000</v>
          </cell>
          <cell r="GP7">
            <v>0</v>
          </cell>
          <cell r="GQ7">
            <v>1166698.03</v>
          </cell>
          <cell r="GT7">
            <v>60000</v>
          </cell>
          <cell r="GU7">
            <v>0</v>
          </cell>
          <cell r="GV7">
            <v>110000</v>
          </cell>
          <cell r="GW7">
            <v>0</v>
          </cell>
          <cell r="GX7">
            <v>60000</v>
          </cell>
          <cell r="GY7">
            <v>0</v>
          </cell>
          <cell r="GZ7">
            <v>0</v>
          </cell>
          <cell r="HA7">
            <v>60000</v>
          </cell>
          <cell r="HB7">
            <v>100000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60000</v>
          </cell>
          <cell r="HH7">
            <v>8000</v>
          </cell>
          <cell r="HI7">
            <v>0</v>
          </cell>
          <cell r="HJ7">
            <v>0</v>
          </cell>
          <cell r="HK7">
            <v>458000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382400</v>
          </cell>
          <cell r="IC7">
            <v>0</v>
          </cell>
          <cell r="ID7">
            <v>0</v>
          </cell>
          <cell r="IE7">
            <v>382400</v>
          </cell>
          <cell r="IH7">
            <v>160000</v>
          </cell>
          <cell r="II7">
            <v>20000</v>
          </cell>
          <cell r="IJ7">
            <v>40000</v>
          </cell>
          <cell r="IK7">
            <v>240000</v>
          </cell>
          <cell r="IL7">
            <v>40000</v>
          </cell>
          <cell r="IM7">
            <v>140000</v>
          </cell>
          <cell r="IN7">
            <v>240000</v>
          </cell>
          <cell r="IO7">
            <v>370000</v>
          </cell>
          <cell r="IP7">
            <v>260000</v>
          </cell>
          <cell r="IQ7">
            <v>30000</v>
          </cell>
          <cell r="IR7">
            <v>140000</v>
          </cell>
          <cell r="IS7">
            <v>170000</v>
          </cell>
          <cell r="IT7">
            <v>200000</v>
          </cell>
          <cell r="IU7">
            <v>200000</v>
          </cell>
          <cell r="IV7">
            <v>203000</v>
          </cell>
          <cell r="IW7">
            <v>100000</v>
          </cell>
          <cell r="IX7">
            <v>40000</v>
          </cell>
          <cell r="IY7">
            <v>2593000</v>
          </cell>
          <cell r="JB7">
            <v>-40000</v>
          </cell>
          <cell r="JC7">
            <v>0</v>
          </cell>
          <cell r="JD7">
            <v>30000</v>
          </cell>
          <cell r="JE7">
            <v>250000</v>
          </cell>
          <cell r="JF7">
            <v>20000</v>
          </cell>
          <cell r="JG7">
            <v>0</v>
          </cell>
          <cell r="JH7">
            <v>0</v>
          </cell>
          <cell r="JI7">
            <v>120000</v>
          </cell>
          <cell r="JJ7">
            <v>0</v>
          </cell>
          <cell r="JK7">
            <v>0</v>
          </cell>
          <cell r="JL7">
            <v>60000</v>
          </cell>
          <cell r="JM7">
            <v>80000</v>
          </cell>
          <cell r="JN7">
            <v>240000</v>
          </cell>
          <cell r="JO7">
            <v>360000</v>
          </cell>
          <cell r="JP7">
            <v>1300552</v>
          </cell>
          <cell r="JQ7">
            <v>0</v>
          </cell>
          <cell r="JR7">
            <v>40000</v>
          </cell>
          <cell r="JS7">
            <v>2460552</v>
          </cell>
          <cell r="JV7">
            <v>200000</v>
          </cell>
          <cell r="JW7">
            <v>70000</v>
          </cell>
          <cell r="JX7">
            <v>0</v>
          </cell>
          <cell r="JY7">
            <v>20000</v>
          </cell>
          <cell r="JZ7">
            <v>120000</v>
          </cell>
          <cell r="KA7">
            <v>200000</v>
          </cell>
          <cell r="KB7">
            <v>240000</v>
          </cell>
          <cell r="KC7">
            <v>460000</v>
          </cell>
          <cell r="KD7">
            <v>240000</v>
          </cell>
          <cell r="KE7">
            <v>60000</v>
          </cell>
          <cell r="KF7">
            <v>0</v>
          </cell>
          <cell r="KG7">
            <v>160000</v>
          </cell>
          <cell r="KH7">
            <v>100000</v>
          </cell>
          <cell r="KI7">
            <v>100000</v>
          </cell>
          <cell r="KJ7">
            <v>61400</v>
          </cell>
          <cell r="KK7">
            <v>70000</v>
          </cell>
          <cell r="KL7">
            <v>0</v>
          </cell>
          <cell r="KM7">
            <v>2101400</v>
          </cell>
          <cell r="KP7">
            <v>60000</v>
          </cell>
          <cell r="KQ7">
            <v>100000</v>
          </cell>
          <cell r="KR7">
            <v>110000</v>
          </cell>
          <cell r="KS7">
            <v>0</v>
          </cell>
          <cell r="KT7">
            <v>120000</v>
          </cell>
          <cell r="KU7">
            <v>80000</v>
          </cell>
          <cell r="KV7">
            <v>0</v>
          </cell>
          <cell r="KW7">
            <v>260000</v>
          </cell>
          <cell r="KX7">
            <v>280000</v>
          </cell>
          <cell r="KY7">
            <v>120000</v>
          </cell>
          <cell r="KZ7">
            <v>0</v>
          </cell>
          <cell r="LA7">
            <v>220000</v>
          </cell>
          <cell r="LB7">
            <v>100000</v>
          </cell>
          <cell r="LC7">
            <v>100000</v>
          </cell>
          <cell r="LD7">
            <v>437098.03</v>
          </cell>
          <cell r="LE7">
            <v>20000</v>
          </cell>
          <cell r="LF7">
            <v>0</v>
          </cell>
          <cell r="LG7">
            <v>2007098.03</v>
          </cell>
          <cell r="LJ7">
            <v>120000</v>
          </cell>
          <cell r="LK7">
            <v>20000</v>
          </cell>
          <cell r="LL7">
            <v>70000</v>
          </cell>
          <cell r="LM7">
            <v>490000</v>
          </cell>
          <cell r="LN7">
            <v>60000</v>
          </cell>
          <cell r="LO7">
            <v>140000</v>
          </cell>
          <cell r="LP7">
            <v>240000</v>
          </cell>
          <cell r="LQ7">
            <v>490000</v>
          </cell>
          <cell r="LR7">
            <v>260000</v>
          </cell>
          <cell r="LS7">
            <v>30000</v>
          </cell>
          <cell r="LT7">
            <v>200000</v>
          </cell>
          <cell r="LU7">
            <v>250000</v>
          </cell>
          <cell r="LV7">
            <v>440000</v>
          </cell>
          <cell r="LW7">
            <v>560000</v>
          </cell>
          <cell r="LX7">
            <v>1503552</v>
          </cell>
          <cell r="LY7">
            <v>100000</v>
          </cell>
          <cell r="LZ7">
            <v>80000</v>
          </cell>
          <cell r="MA7">
            <v>4973552</v>
          </cell>
          <cell r="MD7">
            <v>260000</v>
          </cell>
          <cell r="ME7">
            <v>170000</v>
          </cell>
          <cell r="MF7">
            <v>110000</v>
          </cell>
          <cell r="MG7">
            <v>20000</v>
          </cell>
          <cell r="MH7">
            <v>240000</v>
          </cell>
          <cell r="MI7">
            <v>280000</v>
          </cell>
          <cell r="MJ7">
            <v>240000</v>
          </cell>
          <cell r="MK7">
            <v>720000</v>
          </cell>
          <cell r="ML7">
            <v>520000</v>
          </cell>
          <cell r="MM7">
            <v>180000</v>
          </cell>
          <cell r="MN7">
            <v>0</v>
          </cell>
          <cell r="MO7">
            <v>380000</v>
          </cell>
          <cell r="MP7">
            <v>200000</v>
          </cell>
          <cell r="MQ7">
            <v>200000</v>
          </cell>
          <cell r="MR7">
            <v>498498.03</v>
          </cell>
          <cell r="MS7">
            <v>90000</v>
          </cell>
          <cell r="MT7">
            <v>0</v>
          </cell>
          <cell r="MU7">
            <v>4108498.0300000003</v>
          </cell>
          <cell r="MX7">
            <v>380000</v>
          </cell>
          <cell r="MY7">
            <v>190000</v>
          </cell>
          <cell r="MZ7">
            <v>180000</v>
          </cell>
          <cell r="NA7">
            <v>510000</v>
          </cell>
          <cell r="NB7">
            <v>300000</v>
          </cell>
          <cell r="NC7">
            <v>420000</v>
          </cell>
          <cell r="ND7">
            <v>480000</v>
          </cell>
          <cell r="NE7">
            <v>1210000</v>
          </cell>
          <cell r="NF7">
            <v>780000</v>
          </cell>
          <cell r="NG7">
            <v>210000</v>
          </cell>
          <cell r="NH7">
            <v>200000</v>
          </cell>
          <cell r="NI7">
            <v>630000</v>
          </cell>
          <cell r="NJ7">
            <v>640000</v>
          </cell>
          <cell r="NK7">
            <v>760000</v>
          </cell>
          <cell r="NL7">
            <v>2002050.03</v>
          </cell>
          <cell r="NM7">
            <v>190000</v>
          </cell>
          <cell r="NN7">
            <v>80000</v>
          </cell>
          <cell r="NO7">
            <v>9162050.0299999993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20000</v>
          </cell>
          <cell r="G8">
            <v>0</v>
          </cell>
          <cell r="H8">
            <v>0</v>
          </cell>
          <cell r="I8">
            <v>50000</v>
          </cell>
          <cell r="J8">
            <v>65000</v>
          </cell>
          <cell r="K8">
            <v>0</v>
          </cell>
          <cell r="L8">
            <v>0</v>
          </cell>
          <cell r="M8">
            <v>20000</v>
          </cell>
          <cell r="N8">
            <v>0</v>
          </cell>
          <cell r="O8">
            <v>0</v>
          </cell>
          <cell r="P8">
            <v>76000</v>
          </cell>
          <cell r="Q8">
            <v>0</v>
          </cell>
          <cell r="R8">
            <v>0</v>
          </cell>
          <cell r="S8">
            <v>231000</v>
          </cell>
          <cell r="V8">
            <v>20000</v>
          </cell>
          <cell r="W8">
            <v>0</v>
          </cell>
          <cell r="X8">
            <v>10000</v>
          </cell>
          <cell r="Y8">
            <v>85000</v>
          </cell>
          <cell r="Z8">
            <v>0</v>
          </cell>
          <cell r="AA8">
            <v>60000</v>
          </cell>
          <cell r="AB8">
            <v>80000</v>
          </cell>
          <cell r="AC8">
            <v>80000</v>
          </cell>
          <cell r="AD8">
            <v>30000</v>
          </cell>
          <cell r="AE8">
            <v>20000</v>
          </cell>
          <cell r="AF8">
            <v>10000</v>
          </cell>
          <cell r="AG8">
            <v>0</v>
          </cell>
          <cell r="AH8">
            <v>15000</v>
          </cell>
          <cell r="AI8">
            <v>40000</v>
          </cell>
          <cell r="AJ8">
            <v>600</v>
          </cell>
          <cell r="AK8">
            <v>50000</v>
          </cell>
          <cell r="AL8">
            <v>10000</v>
          </cell>
          <cell r="AM8">
            <v>510600</v>
          </cell>
          <cell r="AP8">
            <v>60000</v>
          </cell>
          <cell r="AQ8">
            <v>40000</v>
          </cell>
          <cell r="AR8">
            <v>20000</v>
          </cell>
          <cell r="AS8">
            <v>90000</v>
          </cell>
          <cell r="AT8">
            <v>0</v>
          </cell>
          <cell r="AU8">
            <v>30000</v>
          </cell>
          <cell r="AV8">
            <v>60000</v>
          </cell>
          <cell r="AW8">
            <v>100000</v>
          </cell>
          <cell r="AX8">
            <v>70000</v>
          </cell>
          <cell r="AY8">
            <v>0</v>
          </cell>
          <cell r="AZ8">
            <v>80000</v>
          </cell>
          <cell r="BA8">
            <v>25000</v>
          </cell>
          <cell r="BB8">
            <v>120000</v>
          </cell>
          <cell r="BC8">
            <v>130000</v>
          </cell>
          <cell r="BD8">
            <v>31000</v>
          </cell>
          <cell r="BE8">
            <v>20000</v>
          </cell>
          <cell r="BF8">
            <v>10000</v>
          </cell>
          <cell r="BG8">
            <v>886000</v>
          </cell>
          <cell r="BJ8">
            <v>100000</v>
          </cell>
          <cell r="BK8">
            <v>0</v>
          </cell>
          <cell r="BL8">
            <v>0</v>
          </cell>
          <cell r="BM8">
            <v>175000</v>
          </cell>
          <cell r="BN8">
            <v>0</v>
          </cell>
          <cell r="BO8">
            <v>0</v>
          </cell>
          <cell r="BP8">
            <v>0</v>
          </cell>
          <cell r="BQ8">
            <v>110000</v>
          </cell>
          <cell r="BR8">
            <v>0</v>
          </cell>
          <cell r="BS8">
            <v>0</v>
          </cell>
          <cell r="BT8">
            <v>0</v>
          </cell>
          <cell r="BU8">
            <v>95000</v>
          </cell>
          <cell r="BV8">
            <v>80000</v>
          </cell>
          <cell r="BW8">
            <v>470000</v>
          </cell>
          <cell r="BX8">
            <v>411173</v>
          </cell>
          <cell r="BY8">
            <v>0</v>
          </cell>
          <cell r="BZ8">
            <v>0</v>
          </cell>
          <cell r="CA8">
            <v>1441173</v>
          </cell>
          <cell r="CD8">
            <v>20000</v>
          </cell>
          <cell r="CE8">
            <v>40000</v>
          </cell>
          <cell r="CF8">
            <v>40000</v>
          </cell>
          <cell r="CG8">
            <v>50000</v>
          </cell>
          <cell r="CH8">
            <v>90000</v>
          </cell>
          <cell r="CI8">
            <v>30000</v>
          </cell>
          <cell r="CJ8">
            <v>25000</v>
          </cell>
          <cell r="CK8">
            <v>70000</v>
          </cell>
          <cell r="CL8">
            <v>120000</v>
          </cell>
          <cell r="CM8">
            <v>25000</v>
          </cell>
          <cell r="CN8">
            <v>220000</v>
          </cell>
          <cell r="CO8">
            <v>70000</v>
          </cell>
          <cell r="CP8">
            <v>545000</v>
          </cell>
          <cell r="CQ8">
            <v>50000</v>
          </cell>
          <cell r="CR8">
            <v>1900400</v>
          </cell>
          <cell r="CS8">
            <v>0</v>
          </cell>
          <cell r="CT8">
            <v>45000</v>
          </cell>
          <cell r="CU8">
            <v>3340400</v>
          </cell>
          <cell r="CX8">
            <v>0</v>
          </cell>
          <cell r="CY8">
            <v>0</v>
          </cell>
          <cell r="CZ8">
            <v>50000</v>
          </cell>
          <cell r="DA8">
            <v>0</v>
          </cell>
          <cell r="DB8">
            <v>10000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40000</v>
          </cell>
          <cell r="DI8">
            <v>0</v>
          </cell>
          <cell r="DJ8">
            <v>35000</v>
          </cell>
          <cell r="DK8">
            <v>13700</v>
          </cell>
          <cell r="DL8">
            <v>150200</v>
          </cell>
          <cell r="DM8">
            <v>0</v>
          </cell>
          <cell r="DN8">
            <v>40000</v>
          </cell>
          <cell r="DO8">
            <v>338900</v>
          </cell>
          <cell r="DR8">
            <v>0</v>
          </cell>
          <cell r="DS8">
            <v>40000</v>
          </cell>
          <cell r="DT8">
            <v>0</v>
          </cell>
          <cell r="DU8">
            <v>0</v>
          </cell>
          <cell r="DV8">
            <v>40000</v>
          </cell>
          <cell r="DW8">
            <v>70000</v>
          </cell>
          <cell r="DX8">
            <v>75000</v>
          </cell>
          <cell r="DY8">
            <v>80000</v>
          </cell>
          <cell r="DZ8">
            <v>75000</v>
          </cell>
          <cell r="EA8">
            <v>70000</v>
          </cell>
          <cell r="EB8">
            <v>0</v>
          </cell>
          <cell r="EC8">
            <v>108000</v>
          </cell>
          <cell r="ED8">
            <v>30000</v>
          </cell>
          <cell r="EE8">
            <v>20000</v>
          </cell>
          <cell r="EF8">
            <v>1200</v>
          </cell>
          <cell r="EG8">
            <v>50000</v>
          </cell>
          <cell r="EH8">
            <v>0</v>
          </cell>
          <cell r="EI8">
            <v>659200</v>
          </cell>
          <cell r="EL8">
            <v>50000</v>
          </cell>
          <cell r="EM8">
            <v>0</v>
          </cell>
          <cell r="EN8">
            <v>0</v>
          </cell>
          <cell r="EO8">
            <v>10000</v>
          </cell>
          <cell r="EP8">
            <v>30000</v>
          </cell>
          <cell r="EQ8">
            <v>50000</v>
          </cell>
          <cell r="ER8">
            <v>20000</v>
          </cell>
          <cell r="ES8">
            <v>60000</v>
          </cell>
          <cell r="ET8">
            <v>80000</v>
          </cell>
          <cell r="EU8">
            <v>30000</v>
          </cell>
          <cell r="EV8">
            <v>0</v>
          </cell>
          <cell r="EW8">
            <v>0</v>
          </cell>
          <cell r="EX8">
            <v>25000</v>
          </cell>
          <cell r="EY8">
            <v>20000</v>
          </cell>
          <cell r="EZ8">
            <v>25600</v>
          </cell>
          <cell r="FA8">
            <v>10000</v>
          </cell>
          <cell r="FB8">
            <v>0</v>
          </cell>
          <cell r="FC8">
            <v>410600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120000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20000</v>
          </cell>
          <cell r="FT8">
            <v>3500</v>
          </cell>
          <cell r="FU8">
            <v>0</v>
          </cell>
          <cell r="FV8">
            <v>0</v>
          </cell>
          <cell r="FW8">
            <v>143500</v>
          </cell>
          <cell r="FZ8">
            <v>0</v>
          </cell>
          <cell r="GA8">
            <v>10000</v>
          </cell>
          <cell r="GB8">
            <v>0</v>
          </cell>
          <cell r="GC8">
            <v>0</v>
          </cell>
          <cell r="GD8">
            <v>20000</v>
          </cell>
          <cell r="GE8">
            <v>0</v>
          </cell>
          <cell r="GF8">
            <v>0</v>
          </cell>
          <cell r="GG8">
            <v>75000</v>
          </cell>
          <cell r="GH8">
            <v>65000</v>
          </cell>
          <cell r="GI8">
            <v>30000</v>
          </cell>
          <cell r="GJ8">
            <v>0</v>
          </cell>
          <cell r="GK8">
            <v>0</v>
          </cell>
          <cell r="GL8">
            <v>20000</v>
          </cell>
          <cell r="GM8">
            <v>0</v>
          </cell>
          <cell r="GN8">
            <v>4276.5149999999994</v>
          </cell>
          <cell r="GO8">
            <v>0</v>
          </cell>
          <cell r="GP8">
            <v>0</v>
          </cell>
          <cell r="GQ8">
            <v>224276.51500000001</v>
          </cell>
          <cell r="GT8">
            <v>40000</v>
          </cell>
          <cell r="GU8">
            <v>0</v>
          </cell>
          <cell r="GV8">
            <v>10000</v>
          </cell>
          <cell r="GW8">
            <v>0</v>
          </cell>
          <cell r="GX8">
            <v>10000</v>
          </cell>
          <cell r="GY8">
            <v>20000</v>
          </cell>
          <cell r="GZ8">
            <v>0</v>
          </cell>
          <cell r="HA8">
            <v>50000</v>
          </cell>
          <cell r="HB8">
            <v>30000</v>
          </cell>
          <cell r="HC8">
            <v>0</v>
          </cell>
          <cell r="HD8">
            <v>0</v>
          </cell>
          <cell r="HE8">
            <v>50000</v>
          </cell>
          <cell r="HF8">
            <v>0</v>
          </cell>
          <cell r="HG8">
            <v>0</v>
          </cell>
          <cell r="HH8">
            <v>4100</v>
          </cell>
          <cell r="HI8">
            <v>0</v>
          </cell>
          <cell r="HJ8">
            <v>0</v>
          </cell>
          <cell r="HK8">
            <v>214100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71000</v>
          </cell>
          <cell r="IC8">
            <v>0</v>
          </cell>
          <cell r="ID8">
            <v>0</v>
          </cell>
          <cell r="IE8">
            <v>71000</v>
          </cell>
          <cell r="IH8">
            <v>80000</v>
          </cell>
          <cell r="II8">
            <v>40000</v>
          </cell>
          <cell r="IJ8">
            <v>30000</v>
          </cell>
          <cell r="IK8">
            <v>175000</v>
          </cell>
          <cell r="IL8">
            <v>20000</v>
          </cell>
          <cell r="IM8">
            <v>90000</v>
          </cell>
          <cell r="IN8">
            <v>140000</v>
          </cell>
          <cell r="IO8">
            <v>230000</v>
          </cell>
          <cell r="IP8">
            <v>165000</v>
          </cell>
          <cell r="IQ8">
            <v>20000</v>
          </cell>
          <cell r="IR8">
            <v>90000</v>
          </cell>
          <cell r="IS8">
            <v>45000</v>
          </cell>
          <cell r="IT8">
            <v>135000</v>
          </cell>
          <cell r="IU8">
            <v>170000</v>
          </cell>
          <cell r="IV8">
            <v>107600</v>
          </cell>
          <cell r="IW8">
            <v>70000</v>
          </cell>
          <cell r="IX8">
            <v>20000</v>
          </cell>
          <cell r="IY8">
            <v>1627600</v>
          </cell>
          <cell r="JB8">
            <v>120000</v>
          </cell>
          <cell r="JC8">
            <v>40000</v>
          </cell>
          <cell r="JD8">
            <v>90000</v>
          </cell>
          <cell r="JE8">
            <v>225000</v>
          </cell>
          <cell r="JF8">
            <v>100000</v>
          </cell>
          <cell r="JG8">
            <v>30000</v>
          </cell>
          <cell r="JH8">
            <v>25000</v>
          </cell>
          <cell r="JI8">
            <v>180000</v>
          </cell>
          <cell r="JJ8">
            <v>120000</v>
          </cell>
          <cell r="JK8">
            <v>25000</v>
          </cell>
          <cell r="JL8">
            <v>260000</v>
          </cell>
          <cell r="JM8">
            <v>165000</v>
          </cell>
          <cell r="JN8">
            <v>660000</v>
          </cell>
          <cell r="JO8">
            <v>533700</v>
          </cell>
          <cell r="JP8">
            <v>2461773</v>
          </cell>
          <cell r="JQ8">
            <v>0</v>
          </cell>
          <cell r="JR8">
            <v>85000</v>
          </cell>
          <cell r="JS8">
            <v>5120473</v>
          </cell>
          <cell r="JV8">
            <v>50000</v>
          </cell>
          <cell r="JW8">
            <v>40000</v>
          </cell>
          <cell r="JX8">
            <v>0</v>
          </cell>
          <cell r="JY8">
            <v>10000</v>
          </cell>
          <cell r="JZ8">
            <v>70000</v>
          </cell>
          <cell r="KA8">
            <v>120000</v>
          </cell>
          <cell r="KB8">
            <v>95000</v>
          </cell>
          <cell r="KC8">
            <v>260000</v>
          </cell>
          <cell r="KD8">
            <v>155000</v>
          </cell>
          <cell r="KE8">
            <v>100000</v>
          </cell>
          <cell r="KF8">
            <v>0</v>
          </cell>
          <cell r="KG8">
            <v>108000</v>
          </cell>
          <cell r="KH8">
            <v>55000</v>
          </cell>
          <cell r="KI8">
            <v>60000</v>
          </cell>
          <cell r="KJ8">
            <v>30300</v>
          </cell>
          <cell r="KK8">
            <v>60000</v>
          </cell>
          <cell r="KL8">
            <v>0</v>
          </cell>
          <cell r="KM8">
            <v>1213300</v>
          </cell>
          <cell r="KP8">
            <v>40000</v>
          </cell>
          <cell r="KQ8">
            <v>10000</v>
          </cell>
          <cell r="KR8">
            <v>10000</v>
          </cell>
          <cell r="KS8">
            <v>0</v>
          </cell>
          <cell r="KT8">
            <v>30000</v>
          </cell>
          <cell r="KU8">
            <v>20000</v>
          </cell>
          <cell r="KV8">
            <v>0</v>
          </cell>
          <cell r="KW8">
            <v>125000</v>
          </cell>
          <cell r="KX8">
            <v>95000</v>
          </cell>
          <cell r="KY8">
            <v>30000</v>
          </cell>
          <cell r="KZ8">
            <v>0</v>
          </cell>
          <cell r="LA8">
            <v>50000</v>
          </cell>
          <cell r="LB8">
            <v>20000</v>
          </cell>
          <cell r="LC8">
            <v>0</v>
          </cell>
          <cell r="LD8">
            <v>79376.514999999999</v>
          </cell>
          <cell r="LE8">
            <v>0</v>
          </cell>
          <cell r="LF8">
            <v>0</v>
          </cell>
          <cell r="LG8">
            <v>509376.51500000001</v>
          </cell>
          <cell r="LJ8">
            <v>200000</v>
          </cell>
          <cell r="LK8">
            <v>80000</v>
          </cell>
          <cell r="LL8">
            <v>120000</v>
          </cell>
          <cell r="LM8">
            <v>400000</v>
          </cell>
          <cell r="LN8">
            <v>120000</v>
          </cell>
          <cell r="LO8">
            <v>120000</v>
          </cell>
          <cell r="LP8">
            <v>165000</v>
          </cell>
          <cell r="LQ8">
            <v>410000</v>
          </cell>
          <cell r="LR8">
            <v>285000</v>
          </cell>
          <cell r="LS8">
            <v>45000</v>
          </cell>
          <cell r="LT8">
            <v>350000</v>
          </cell>
          <cell r="LU8">
            <v>210000</v>
          </cell>
          <cell r="LV8">
            <v>795000</v>
          </cell>
          <cell r="LW8">
            <v>703700</v>
          </cell>
          <cell r="LX8">
            <v>2569373</v>
          </cell>
          <cell r="LY8">
            <v>70000</v>
          </cell>
          <cell r="LZ8">
            <v>105000</v>
          </cell>
          <cell r="MA8">
            <v>6643073</v>
          </cell>
          <cell r="MD8">
            <v>90000</v>
          </cell>
          <cell r="ME8">
            <v>50000</v>
          </cell>
          <cell r="MF8">
            <v>10000</v>
          </cell>
          <cell r="MG8">
            <v>10000</v>
          </cell>
          <cell r="MH8">
            <v>100000</v>
          </cell>
          <cell r="MI8">
            <v>140000</v>
          </cell>
          <cell r="MJ8">
            <v>95000</v>
          </cell>
          <cell r="MK8">
            <v>385000</v>
          </cell>
          <cell r="ML8">
            <v>250000</v>
          </cell>
          <cell r="MM8">
            <v>130000</v>
          </cell>
          <cell r="MN8">
            <v>0</v>
          </cell>
          <cell r="MO8">
            <v>158000</v>
          </cell>
          <cell r="MP8">
            <v>75000</v>
          </cell>
          <cell r="MQ8">
            <v>60000</v>
          </cell>
          <cell r="MR8">
            <v>109676.515</v>
          </cell>
          <cell r="MS8">
            <v>60000</v>
          </cell>
          <cell r="MT8">
            <v>0</v>
          </cell>
          <cell r="MU8">
            <v>1722676.5149999999</v>
          </cell>
          <cell r="MX8">
            <v>290000</v>
          </cell>
          <cell r="MY8">
            <v>130000</v>
          </cell>
          <cell r="MZ8">
            <v>130000</v>
          </cell>
          <cell r="NA8">
            <v>410000</v>
          </cell>
          <cell r="NB8">
            <v>220000</v>
          </cell>
          <cell r="NC8">
            <v>260000</v>
          </cell>
          <cell r="ND8">
            <v>260000</v>
          </cell>
          <cell r="NE8">
            <v>795000</v>
          </cell>
          <cell r="NF8">
            <v>535000</v>
          </cell>
          <cell r="NG8">
            <v>175000</v>
          </cell>
          <cell r="NH8">
            <v>350000</v>
          </cell>
          <cell r="NI8">
            <v>368000</v>
          </cell>
          <cell r="NJ8">
            <v>870000</v>
          </cell>
          <cell r="NK8">
            <v>763700</v>
          </cell>
          <cell r="NL8">
            <v>2679049.5150000001</v>
          </cell>
          <cell r="NM8">
            <v>130000</v>
          </cell>
          <cell r="NN8">
            <v>105000</v>
          </cell>
          <cell r="NO8">
            <v>8470749.5150000006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8000</v>
          </cell>
          <cell r="G9">
            <v>0</v>
          </cell>
          <cell r="H9">
            <v>0</v>
          </cell>
          <cell r="I9">
            <v>30000</v>
          </cell>
          <cell r="J9">
            <v>12000</v>
          </cell>
          <cell r="K9">
            <v>0</v>
          </cell>
          <cell r="L9">
            <v>0</v>
          </cell>
          <cell r="M9">
            <v>20000</v>
          </cell>
          <cell r="N9">
            <v>20000</v>
          </cell>
          <cell r="O9">
            <v>34000</v>
          </cell>
          <cell r="P9">
            <v>30400</v>
          </cell>
          <cell r="Q9">
            <v>0</v>
          </cell>
          <cell r="R9">
            <v>0</v>
          </cell>
          <cell r="S9">
            <v>154400</v>
          </cell>
          <cell r="V9">
            <v>12000</v>
          </cell>
          <cell r="W9">
            <v>0</v>
          </cell>
          <cell r="X9">
            <v>8000</v>
          </cell>
          <cell r="Y9">
            <v>24000</v>
          </cell>
          <cell r="Z9">
            <v>0</v>
          </cell>
          <cell r="AA9">
            <v>0</v>
          </cell>
          <cell r="AB9">
            <v>40000</v>
          </cell>
          <cell r="AC9">
            <v>44000</v>
          </cell>
          <cell r="AD9">
            <v>16000</v>
          </cell>
          <cell r="AE9">
            <v>14000</v>
          </cell>
          <cell r="AF9">
            <v>8000</v>
          </cell>
          <cell r="AG9">
            <v>8000</v>
          </cell>
          <cell r="AH9">
            <v>0</v>
          </cell>
          <cell r="AI9">
            <v>24000</v>
          </cell>
          <cell r="AJ9">
            <v>240</v>
          </cell>
          <cell r="AK9">
            <v>20000</v>
          </cell>
          <cell r="AL9">
            <v>8000</v>
          </cell>
          <cell r="AM9">
            <v>226240</v>
          </cell>
          <cell r="AP9">
            <v>12000</v>
          </cell>
          <cell r="AQ9">
            <v>16000</v>
          </cell>
          <cell r="AR9">
            <v>8000</v>
          </cell>
          <cell r="AS9">
            <v>56000</v>
          </cell>
          <cell r="AT9">
            <v>0</v>
          </cell>
          <cell r="AU9">
            <v>28000</v>
          </cell>
          <cell r="AV9">
            <v>36000</v>
          </cell>
          <cell r="AW9">
            <v>40000</v>
          </cell>
          <cell r="AX9">
            <v>52000</v>
          </cell>
          <cell r="AY9">
            <v>0</v>
          </cell>
          <cell r="AZ9">
            <v>50000</v>
          </cell>
          <cell r="BA9">
            <v>24000</v>
          </cell>
          <cell r="BB9">
            <v>40000</v>
          </cell>
          <cell r="BC9">
            <v>4000</v>
          </cell>
          <cell r="BD9">
            <v>38400</v>
          </cell>
          <cell r="BE9">
            <v>12000</v>
          </cell>
          <cell r="BF9">
            <v>6000</v>
          </cell>
          <cell r="BG9">
            <v>422400</v>
          </cell>
          <cell r="BJ9">
            <v>60000</v>
          </cell>
          <cell r="BK9">
            <v>0</v>
          </cell>
          <cell r="BL9">
            <v>0</v>
          </cell>
          <cell r="BM9">
            <v>118000</v>
          </cell>
          <cell r="BN9">
            <v>0</v>
          </cell>
          <cell r="BO9">
            <v>0</v>
          </cell>
          <cell r="BP9">
            <v>0</v>
          </cell>
          <cell r="BQ9">
            <v>44000</v>
          </cell>
          <cell r="BR9">
            <v>0</v>
          </cell>
          <cell r="BS9">
            <v>0</v>
          </cell>
          <cell r="BT9">
            <v>0</v>
          </cell>
          <cell r="BU9">
            <v>32000</v>
          </cell>
          <cell r="BV9">
            <v>32000</v>
          </cell>
          <cell r="BW9">
            <v>156000</v>
          </cell>
          <cell r="BX9">
            <v>178447</v>
          </cell>
          <cell r="BY9">
            <v>0</v>
          </cell>
          <cell r="BZ9">
            <v>0</v>
          </cell>
          <cell r="CA9">
            <v>620447</v>
          </cell>
          <cell r="CD9">
            <v>32000</v>
          </cell>
          <cell r="CE9">
            <v>13000</v>
          </cell>
          <cell r="CF9">
            <v>29000</v>
          </cell>
          <cell r="CG9">
            <v>128000</v>
          </cell>
          <cell r="CH9">
            <v>56000</v>
          </cell>
          <cell r="CI9">
            <v>60000</v>
          </cell>
          <cell r="CJ9">
            <v>38000</v>
          </cell>
          <cell r="CK9">
            <v>66000</v>
          </cell>
          <cell r="CL9">
            <v>60000</v>
          </cell>
          <cell r="CM9">
            <v>32000</v>
          </cell>
          <cell r="CN9">
            <v>144000</v>
          </cell>
          <cell r="CO9">
            <v>40000</v>
          </cell>
          <cell r="CP9">
            <v>279600</v>
          </cell>
          <cell r="CQ9">
            <v>48000</v>
          </cell>
          <cell r="CR9">
            <v>760000</v>
          </cell>
          <cell r="CS9">
            <v>0</v>
          </cell>
          <cell r="CT9">
            <v>16000</v>
          </cell>
          <cell r="CU9">
            <v>1801600</v>
          </cell>
          <cell r="CX9">
            <v>0</v>
          </cell>
          <cell r="CY9">
            <v>0</v>
          </cell>
          <cell r="CZ9">
            <v>26000</v>
          </cell>
          <cell r="DA9">
            <v>0</v>
          </cell>
          <cell r="DB9">
            <v>6000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6000</v>
          </cell>
          <cell r="DI9">
            <v>0</v>
          </cell>
          <cell r="DJ9">
            <v>24000</v>
          </cell>
          <cell r="DK9">
            <v>6000</v>
          </cell>
          <cell r="DL9">
            <v>0</v>
          </cell>
          <cell r="DM9">
            <v>0</v>
          </cell>
          <cell r="DN9">
            <v>26000</v>
          </cell>
          <cell r="DO9">
            <v>94000</v>
          </cell>
          <cell r="DR9">
            <v>0</v>
          </cell>
          <cell r="DS9">
            <v>24000</v>
          </cell>
          <cell r="DT9">
            <v>0</v>
          </cell>
          <cell r="DU9">
            <v>0</v>
          </cell>
          <cell r="DV9">
            <v>12000</v>
          </cell>
          <cell r="DW9">
            <v>14000</v>
          </cell>
          <cell r="DX9">
            <v>20000</v>
          </cell>
          <cell r="DY9">
            <v>28000</v>
          </cell>
          <cell r="DZ9">
            <v>40000</v>
          </cell>
          <cell r="EA9">
            <v>12000</v>
          </cell>
          <cell r="EB9">
            <v>0</v>
          </cell>
          <cell r="EC9">
            <v>32000</v>
          </cell>
          <cell r="ED9">
            <v>16000</v>
          </cell>
          <cell r="EE9">
            <v>12000</v>
          </cell>
          <cell r="EF9">
            <v>320</v>
          </cell>
          <cell r="EG9">
            <v>26000</v>
          </cell>
          <cell r="EH9">
            <v>0</v>
          </cell>
          <cell r="EI9">
            <v>236320</v>
          </cell>
          <cell r="EL9">
            <v>0</v>
          </cell>
          <cell r="EM9">
            <v>0</v>
          </cell>
          <cell r="EN9">
            <v>0</v>
          </cell>
          <cell r="EO9">
            <v>4000</v>
          </cell>
          <cell r="EP9">
            <v>8000</v>
          </cell>
          <cell r="EQ9">
            <v>20000</v>
          </cell>
          <cell r="ER9">
            <v>0</v>
          </cell>
          <cell r="ES9">
            <v>20000</v>
          </cell>
          <cell r="ET9">
            <v>20000</v>
          </cell>
          <cell r="EU9">
            <v>16000</v>
          </cell>
          <cell r="EV9">
            <v>0</v>
          </cell>
          <cell r="EW9">
            <v>0</v>
          </cell>
          <cell r="EX9">
            <v>0</v>
          </cell>
          <cell r="EY9">
            <v>12000</v>
          </cell>
          <cell r="EZ9">
            <v>10080</v>
          </cell>
          <cell r="FA9">
            <v>0</v>
          </cell>
          <cell r="FB9">
            <v>0</v>
          </cell>
          <cell r="FC9">
            <v>110080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1440</v>
          </cell>
          <cell r="FU9">
            <v>0</v>
          </cell>
          <cell r="FV9">
            <v>0</v>
          </cell>
          <cell r="FW9">
            <v>1440</v>
          </cell>
          <cell r="FZ9">
            <v>0</v>
          </cell>
          <cell r="GA9">
            <v>4000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16000</v>
          </cell>
          <cell r="GI9">
            <v>4000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1690.606</v>
          </cell>
          <cell r="GO9">
            <v>0</v>
          </cell>
          <cell r="GP9">
            <v>0</v>
          </cell>
          <cell r="GQ9">
            <v>25690.606</v>
          </cell>
          <cell r="GT9">
            <v>0</v>
          </cell>
          <cell r="GU9">
            <v>0</v>
          </cell>
          <cell r="GV9">
            <v>8000</v>
          </cell>
          <cell r="GW9">
            <v>0</v>
          </cell>
          <cell r="GX9">
            <v>10000</v>
          </cell>
          <cell r="GY9">
            <v>0</v>
          </cell>
          <cell r="GZ9">
            <v>0</v>
          </cell>
          <cell r="HA9">
            <v>20000</v>
          </cell>
          <cell r="HB9">
            <v>24000</v>
          </cell>
          <cell r="HC9">
            <v>0</v>
          </cell>
          <cell r="HD9">
            <v>0</v>
          </cell>
          <cell r="HE9">
            <v>20000</v>
          </cell>
          <cell r="HF9">
            <v>0</v>
          </cell>
          <cell r="HG9">
            <v>0</v>
          </cell>
          <cell r="HH9">
            <v>1640</v>
          </cell>
          <cell r="HI9">
            <v>0</v>
          </cell>
          <cell r="HJ9">
            <v>0</v>
          </cell>
          <cell r="HK9">
            <v>83640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22400</v>
          </cell>
          <cell r="IC9">
            <v>0</v>
          </cell>
          <cell r="ID9">
            <v>0</v>
          </cell>
          <cell r="IE9">
            <v>22400</v>
          </cell>
          <cell r="IH9">
            <v>24000</v>
          </cell>
          <cell r="II9">
            <v>16000</v>
          </cell>
          <cell r="IJ9">
            <v>16000</v>
          </cell>
          <cell r="IK9">
            <v>80000</v>
          </cell>
          <cell r="IL9">
            <v>8000</v>
          </cell>
          <cell r="IM9">
            <v>28000</v>
          </cell>
          <cell r="IN9">
            <v>76000</v>
          </cell>
          <cell r="IO9">
            <v>114000</v>
          </cell>
          <cell r="IP9">
            <v>80000</v>
          </cell>
          <cell r="IQ9">
            <v>14000</v>
          </cell>
          <cell r="IR9">
            <v>58000</v>
          </cell>
          <cell r="IS9">
            <v>52000</v>
          </cell>
          <cell r="IT9">
            <v>60000</v>
          </cell>
          <cell r="IU9">
            <v>62000</v>
          </cell>
          <cell r="IV9">
            <v>69040</v>
          </cell>
          <cell r="IW9">
            <v>32000</v>
          </cell>
          <cell r="IX9">
            <v>14000</v>
          </cell>
          <cell r="IY9">
            <v>803040</v>
          </cell>
          <cell r="JB9">
            <v>92000</v>
          </cell>
          <cell r="JC9">
            <v>13000</v>
          </cell>
          <cell r="JD9">
            <v>55000</v>
          </cell>
          <cell r="JE9">
            <v>246000</v>
          </cell>
          <cell r="JF9">
            <v>62000</v>
          </cell>
          <cell r="JG9">
            <v>60000</v>
          </cell>
          <cell r="JH9">
            <v>38000</v>
          </cell>
          <cell r="JI9">
            <v>110000</v>
          </cell>
          <cell r="JJ9">
            <v>60000</v>
          </cell>
          <cell r="JK9">
            <v>32000</v>
          </cell>
          <cell r="JL9">
            <v>150000</v>
          </cell>
          <cell r="JM9">
            <v>72000</v>
          </cell>
          <cell r="JN9">
            <v>335600</v>
          </cell>
          <cell r="JO9">
            <v>210000</v>
          </cell>
          <cell r="JP9">
            <v>938447</v>
          </cell>
          <cell r="JQ9">
            <v>0</v>
          </cell>
          <cell r="JR9">
            <v>42000</v>
          </cell>
          <cell r="JS9">
            <v>2516047</v>
          </cell>
          <cell r="JV9">
            <v>0</v>
          </cell>
          <cell r="JW9">
            <v>24000</v>
          </cell>
          <cell r="JX9">
            <v>0</v>
          </cell>
          <cell r="JY9">
            <v>4000</v>
          </cell>
          <cell r="JZ9">
            <v>20000</v>
          </cell>
          <cell r="KA9">
            <v>34000</v>
          </cell>
          <cell r="KB9">
            <v>20000</v>
          </cell>
          <cell r="KC9">
            <v>48000</v>
          </cell>
          <cell r="KD9">
            <v>60000</v>
          </cell>
          <cell r="KE9">
            <v>28000</v>
          </cell>
          <cell r="KF9">
            <v>0</v>
          </cell>
          <cell r="KG9">
            <v>32000</v>
          </cell>
          <cell r="KH9">
            <v>16000</v>
          </cell>
          <cell r="KI9">
            <v>24000</v>
          </cell>
          <cell r="KJ9">
            <v>11840</v>
          </cell>
          <cell r="KK9">
            <v>26000</v>
          </cell>
          <cell r="KL9">
            <v>0</v>
          </cell>
          <cell r="KM9">
            <v>347840</v>
          </cell>
          <cell r="KP9">
            <v>0</v>
          </cell>
          <cell r="KQ9">
            <v>4000</v>
          </cell>
          <cell r="KR9">
            <v>8000</v>
          </cell>
          <cell r="KS9">
            <v>0</v>
          </cell>
          <cell r="KT9">
            <v>10000</v>
          </cell>
          <cell r="KU9">
            <v>0</v>
          </cell>
          <cell r="KV9">
            <v>0</v>
          </cell>
          <cell r="KW9">
            <v>20000</v>
          </cell>
          <cell r="KX9">
            <v>40000</v>
          </cell>
          <cell r="KY9">
            <v>4000</v>
          </cell>
          <cell r="KZ9">
            <v>0</v>
          </cell>
          <cell r="LA9">
            <v>20000</v>
          </cell>
          <cell r="LB9">
            <v>0</v>
          </cell>
          <cell r="LC9">
            <v>0</v>
          </cell>
          <cell r="LD9">
            <v>25730.606</v>
          </cell>
          <cell r="LE9">
            <v>0</v>
          </cell>
          <cell r="LF9">
            <v>0</v>
          </cell>
          <cell r="LG9">
            <v>131730.606</v>
          </cell>
          <cell r="LJ9">
            <v>116000</v>
          </cell>
          <cell r="LK9">
            <v>29000</v>
          </cell>
          <cell r="LL9">
            <v>71000</v>
          </cell>
          <cell r="LM9">
            <v>326000</v>
          </cell>
          <cell r="LN9">
            <v>70000</v>
          </cell>
          <cell r="LO9">
            <v>88000</v>
          </cell>
          <cell r="LP9">
            <v>114000</v>
          </cell>
          <cell r="LQ9">
            <v>224000</v>
          </cell>
          <cell r="LR9">
            <v>140000</v>
          </cell>
          <cell r="LS9">
            <v>46000</v>
          </cell>
          <cell r="LT9">
            <v>208000</v>
          </cell>
          <cell r="LU9">
            <v>124000</v>
          </cell>
          <cell r="LV9">
            <v>395600</v>
          </cell>
          <cell r="LW9">
            <v>272000</v>
          </cell>
          <cell r="LX9">
            <v>1007487</v>
          </cell>
          <cell r="LY9">
            <v>32000</v>
          </cell>
          <cell r="LZ9">
            <v>56000</v>
          </cell>
          <cell r="MA9">
            <v>3263087</v>
          </cell>
          <cell r="MD9">
            <v>0</v>
          </cell>
          <cell r="ME9">
            <v>28000</v>
          </cell>
          <cell r="MF9">
            <v>8000</v>
          </cell>
          <cell r="MG9">
            <v>4000</v>
          </cell>
          <cell r="MH9">
            <v>30000</v>
          </cell>
          <cell r="MI9">
            <v>34000</v>
          </cell>
          <cell r="MJ9">
            <v>20000</v>
          </cell>
          <cell r="MK9">
            <v>68000</v>
          </cell>
          <cell r="ML9">
            <v>100000</v>
          </cell>
          <cell r="MM9">
            <v>32000</v>
          </cell>
          <cell r="MN9">
            <v>0</v>
          </cell>
          <cell r="MO9">
            <v>52000</v>
          </cell>
          <cell r="MP9">
            <v>16000</v>
          </cell>
          <cell r="MQ9">
            <v>24000</v>
          </cell>
          <cell r="MR9">
            <v>37570.606</v>
          </cell>
          <cell r="MS9">
            <v>26000</v>
          </cell>
          <cell r="MT9">
            <v>0</v>
          </cell>
          <cell r="MU9">
            <v>479570.60600000003</v>
          </cell>
          <cell r="MX9">
            <v>116000</v>
          </cell>
          <cell r="MY9">
            <v>57000</v>
          </cell>
          <cell r="MZ9">
            <v>79000</v>
          </cell>
          <cell r="NA9">
            <v>330000</v>
          </cell>
          <cell r="NB9">
            <v>100000</v>
          </cell>
          <cell r="NC9">
            <v>122000</v>
          </cell>
          <cell r="ND9">
            <v>134000</v>
          </cell>
          <cell r="NE9">
            <v>292000</v>
          </cell>
          <cell r="NF9">
            <v>240000</v>
          </cell>
          <cell r="NG9">
            <v>78000</v>
          </cell>
          <cell r="NH9">
            <v>208000</v>
          </cell>
          <cell r="NI9">
            <v>176000</v>
          </cell>
          <cell r="NJ9">
            <v>411600</v>
          </cell>
          <cell r="NK9">
            <v>296000</v>
          </cell>
          <cell r="NL9">
            <v>1045057.606</v>
          </cell>
          <cell r="NM9">
            <v>58000</v>
          </cell>
          <cell r="NN9">
            <v>56000</v>
          </cell>
          <cell r="NO9">
            <v>3798657.6060000001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120</v>
          </cell>
          <cell r="Q10">
            <v>0</v>
          </cell>
          <cell r="R10">
            <v>0</v>
          </cell>
          <cell r="S10">
            <v>2120</v>
          </cell>
          <cell r="V10">
            <v>1000</v>
          </cell>
          <cell r="W10">
            <v>2000</v>
          </cell>
          <cell r="X10">
            <v>0</v>
          </cell>
          <cell r="Y10">
            <v>2000</v>
          </cell>
          <cell r="Z10">
            <v>0</v>
          </cell>
          <cell r="AA10">
            <v>0</v>
          </cell>
          <cell r="AB10">
            <v>6000</v>
          </cell>
          <cell r="AC10">
            <v>0</v>
          </cell>
          <cell r="AD10">
            <v>4000</v>
          </cell>
          <cell r="AE10">
            <v>0</v>
          </cell>
          <cell r="AF10">
            <v>0</v>
          </cell>
          <cell r="AG10">
            <v>5000</v>
          </cell>
          <cell r="AH10">
            <v>0</v>
          </cell>
          <cell r="AI10">
            <v>0</v>
          </cell>
          <cell r="AJ10">
            <v>100</v>
          </cell>
          <cell r="AK10">
            <v>2000</v>
          </cell>
          <cell r="AL10">
            <v>0</v>
          </cell>
          <cell r="AM10">
            <v>22100</v>
          </cell>
          <cell r="AP10">
            <v>4000</v>
          </cell>
          <cell r="AQ10">
            <v>2000</v>
          </cell>
          <cell r="AR10">
            <v>2000</v>
          </cell>
          <cell r="AS10">
            <v>3000</v>
          </cell>
          <cell r="AT10">
            <v>3000</v>
          </cell>
          <cell r="AU10">
            <v>4000</v>
          </cell>
          <cell r="AV10">
            <v>4000</v>
          </cell>
          <cell r="AW10">
            <v>4000</v>
          </cell>
          <cell r="AX10">
            <v>10000</v>
          </cell>
          <cell r="AY10">
            <v>0</v>
          </cell>
          <cell r="AZ10">
            <v>5000</v>
          </cell>
          <cell r="BA10">
            <v>0</v>
          </cell>
          <cell r="BB10">
            <v>9000</v>
          </cell>
          <cell r="BC10">
            <v>8000</v>
          </cell>
          <cell r="BD10">
            <v>120</v>
          </cell>
          <cell r="BE10">
            <v>2000</v>
          </cell>
          <cell r="BF10">
            <v>1000</v>
          </cell>
          <cell r="BG10">
            <v>61120</v>
          </cell>
          <cell r="BJ10">
            <v>2000</v>
          </cell>
          <cell r="BK10">
            <v>0</v>
          </cell>
          <cell r="BL10">
            <v>0</v>
          </cell>
          <cell r="BM10">
            <v>4000</v>
          </cell>
          <cell r="BN10">
            <v>0</v>
          </cell>
          <cell r="BO10">
            <v>0</v>
          </cell>
          <cell r="BP10">
            <v>0</v>
          </cell>
          <cell r="BQ10">
            <v>6000</v>
          </cell>
          <cell r="BR10">
            <v>0</v>
          </cell>
          <cell r="BS10">
            <v>0</v>
          </cell>
          <cell r="BT10">
            <v>0</v>
          </cell>
          <cell r="BU10">
            <v>2000</v>
          </cell>
          <cell r="BV10">
            <v>0</v>
          </cell>
          <cell r="BW10">
            <v>10000</v>
          </cell>
          <cell r="BX10">
            <v>135</v>
          </cell>
          <cell r="BY10">
            <v>0</v>
          </cell>
          <cell r="BZ10">
            <v>0</v>
          </cell>
          <cell r="CA10">
            <v>24135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10000</v>
          </cell>
          <cell r="CL10">
            <v>4000</v>
          </cell>
          <cell r="CM10">
            <v>0</v>
          </cell>
          <cell r="CN10">
            <v>0</v>
          </cell>
          <cell r="CO10">
            <v>0</v>
          </cell>
          <cell r="CP10">
            <v>4000</v>
          </cell>
          <cell r="CQ10">
            <v>0</v>
          </cell>
          <cell r="CR10">
            <v>0</v>
          </cell>
          <cell r="CS10">
            <v>0</v>
          </cell>
          <cell r="CT10">
            <v>1000</v>
          </cell>
          <cell r="CU10">
            <v>19000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2000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2000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0.30299999999999999</v>
          </cell>
          <cell r="GO10">
            <v>0</v>
          </cell>
          <cell r="GP10">
            <v>0</v>
          </cell>
          <cell r="GQ10">
            <v>0.30299999999999999</v>
          </cell>
          <cell r="GT10">
            <v>0</v>
          </cell>
          <cell r="GU10">
            <v>0</v>
          </cell>
          <cell r="GV10">
            <v>1000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7000</v>
          </cell>
          <cell r="HC10">
            <v>0</v>
          </cell>
          <cell r="HD10">
            <v>0</v>
          </cell>
          <cell r="HE10">
            <v>2000</v>
          </cell>
          <cell r="HF10">
            <v>4000</v>
          </cell>
          <cell r="HG10">
            <v>4000</v>
          </cell>
          <cell r="HH10">
            <v>0</v>
          </cell>
          <cell r="HI10">
            <v>0</v>
          </cell>
          <cell r="HJ10">
            <v>0</v>
          </cell>
          <cell r="HK10">
            <v>18000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2000</v>
          </cell>
          <cell r="HT10">
            <v>0</v>
          </cell>
          <cell r="HU10">
            <v>0</v>
          </cell>
          <cell r="HV10">
            <v>3000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720</v>
          </cell>
          <cell r="IC10">
            <v>0</v>
          </cell>
          <cell r="ID10">
            <v>2000</v>
          </cell>
          <cell r="IE10">
            <v>7720</v>
          </cell>
          <cell r="IH10">
            <v>5000</v>
          </cell>
          <cell r="II10">
            <v>4000</v>
          </cell>
          <cell r="IJ10">
            <v>2000</v>
          </cell>
          <cell r="IK10">
            <v>5000</v>
          </cell>
          <cell r="IL10">
            <v>3000</v>
          </cell>
          <cell r="IM10">
            <v>4000</v>
          </cell>
          <cell r="IN10">
            <v>10000</v>
          </cell>
          <cell r="IO10">
            <v>6000</v>
          </cell>
          <cell r="IP10">
            <v>14000</v>
          </cell>
          <cell r="IQ10">
            <v>0</v>
          </cell>
          <cell r="IR10">
            <v>5000</v>
          </cell>
          <cell r="IS10">
            <v>5000</v>
          </cell>
          <cell r="IT10">
            <v>9000</v>
          </cell>
          <cell r="IU10">
            <v>8000</v>
          </cell>
          <cell r="IV10">
            <v>340</v>
          </cell>
          <cell r="IW10">
            <v>4000</v>
          </cell>
          <cell r="IX10">
            <v>1000</v>
          </cell>
          <cell r="IY10">
            <v>85340</v>
          </cell>
          <cell r="JB10">
            <v>2000</v>
          </cell>
          <cell r="JC10">
            <v>0</v>
          </cell>
          <cell r="JD10">
            <v>0</v>
          </cell>
          <cell r="JE10">
            <v>4000</v>
          </cell>
          <cell r="JF10">
            <v>0</v>
          </cell>
          <cell r="JG10">
            <v>0</v>
          </cell>
          <cell r="JH10">
            <v>0</v>
          </cell>
          <cell r="JI10">
            <v>16000</v>
          </cell>
          <cell r="JJ10">
            <v>4000</v>
          </cell>
          <cell r="JK10">
            <v>0</v>
          </cell>
          <cell r="JL10">
            <v>0</v>
          </cell>
          <cell r="JM10">
            <v>2000</v>
          </cell>
          <cell r="JN10">
            <v>4000</v>
          </cell>
          <cell r="JO10">
            <v>10000</v>
          </cell>
          <cell r="JP10">
            <v>135</v>
          </cell>
          <cell r="JQ10">
            <v>0</v>
          </cell>
          <cell r="JR10">
            <v>1000</v>
          </cell>
          <cell r="JS10">
            <v>43135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2000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2000</v>
          </cell>
          <cell r="KP10">
            <v>0</v>
          </cell>
          <cell r="KQ10">
            <v>0</v>
          </cell>
          <cell r="KR10">
            <v>1000</v>
          </cell>
          <cell r="KS10">
            <v>0</v>
          </cell>
          <cell r="KT10">
            <v>0</v>
          </cell>
          <cell r="KU10">
            <v>2000</v>
          </cell>
          <cell r="KV10">
            <v>0</v>
          </cell>
          <cell r="KW10">
            <v>0</v>
          </cell>
          <cell r="KX10">
            <v>10000</v>
          </cell>
          <cell r="KY10">
            <v>0</v>
          </cell>
          <cell r="KZ10">
            <v>0</v>
          </cell>
          <cell r="LA10">
            <v>2000</v>
          </cell>
          <cell r="LB10">
            <v>4000</v>
          </cell>
          <cell r="LC10">
            <v>4000</v>
          </cell>
          <cell r="LD10">
            <v>720.303</v>
          </cell>
          <cell r="LE10">
            <v>0</v>
          </cell>
          <cell r="LF10">
            <v>2000</v>
          </cell>
          <cell r="LG10">
            <v>25720.303</v>
          </cell>
          <cell r="LJ10">
            <v>7000</v>
          </cell>
          <cell r="LK10">
            <v>4000</v>
          </cell>
          <cell r="LL10">
            <v>2000</v>
          </cell>
          <cell r="LM10">
            <v>9000</v>
          </cell>
          <cell r="LN10">
            <v>3000</v>
          </cell>
          <cell r="LO10">
            <v>4000</v>
          </cell>
          <cell r="LP10">
            <v>10000</v>
          </cell>
          <cell r="LQ10">
            <v>22000</v>
          </cell>
          <cell r="LR10">
            <v>18000</v>
          </cell>
          <cell r="LS10">
            <v>0</v>
          </cell>
          <cell r="LT10">
            <v>5000</v>
          </cell>
          <cell r="LU10">
            <v>7000</v>
          </cell>
          <cell r="LV10">
            <v>13000</v>
          </cell>
          <cell r="LW10">
            <v>18000</v>
          </cell>
          <cell r="LX10">
            <v>475</v>
          </cell>
          <cell r="LY10">
            <v>4000</v>
          </cell>
          <cell r="LZ10">
            <v>2000</v>
          </cell>
          <cell r="MA10">
            <v>126475</v>
          </cell>
          <cell r="MD10">
            <v>0</v>
          </cell>
          <cell r="ME10">
            <v>0</v>
          </cell>
          <cell r="MF10">
            <v>1000</v>
          </cell>
          <cell r="MG10">
            <v>0</v>
          </cell>
          <cell r="MH10">
            <v>0</v>
          </cell>
          <cell r="MI10">
            <v>2000</v>
          </cell>
          <cell r="MJ10">
            <v>0</v>
          </cell>
          <cell r="MK10">
            <v>0</v>
          </cell>
          <cell r="ML10">
            <v>10000</v>
          </cell>
          <cell r="MM10">
            <v>2000</v>
          </cell>
          <cell r="MN10">
            <v>0</v>
          </cell>
          <cell r="MO10">
            <v>2000</v>
          </cell>
          <cell r="MP10">
            <v>4000</v>
          </cell>
          <cell r="MQ10">
            <v>4000</v>
          </cell>
          <cell r="MR10">
            <v>720.303</v>
          </cell>
          <cell r="MS10">
            <v>0</v>
          </cell>
          <cell r="MT10">
            <v>2000</v>
          </cell>
          <cell r="MU10">
            <v>27720.303</v>
          </cell>
          <cell r="MX10">
            <v>7000</v>
          </cell>
          <cell r="MY10">
            <v>4000</v>
          </cell>
          <cell r="MZ10">
            <v>3000</v>
          </cell>
          <cell r="NA10">
            <v>9000</v>
          </cell>
          <cell r="NB10">
            <v>3000</v>
          </cell>
          <cell r="NC10">
            <v>6000</v>
          </cell>
          <cell r="ND10">
            <v>10000</v>
          </cell>
          <cell r="NE10">
            <v>22000</v>
          </cell>
          <cell r="NF10">
            <v>28000</v>
          </cell>
          <cell r="NG10">
            <v>2000</v>
          </cell>
          <cell r="NH10">
            <v>5000</v>
          </cell>
          <cell r="NI10">
            <v>9000</v>
          </cell>
          <cell r="NJ10">
            <v>17000</v>
          </cell>
          <cell r="NK10">
            <v>22000</v>
          </cell>
          <cell r="NL10">
            <v>1195.3029999999999</v>
          </cell>
          <cell r="NM10">
            <v>4000</v>
          </cell>
          <cell r="NN10">
            <v>4000</v>
          </cell>
          <cell r="NO10">
            <v>156195.30300000001</v>
          </cell>
        </row>
        <row r="11">
          <cell r="B11">
            <v>0</v>
          </cell>
          <cell r="C11">
            <v>2000000</v>
          </cell>
          <cell r="D11">
            <v>0</v>
          </cell>
          <cell r="E11">
            <v>0</v>
          </cell>
          <cell r="F11">
            <v>1568000</v>
          </cell>
          <cell r="G11">
            <v>0</v>
          </cell>
          <cell r="H11">
            <v>1420000</v>
          </cell>
          <cell r="I11">
            <v>3082000</v>
          </cell>
          <cell r="J11">
            <v>3737000</v>
          </cell>
          <cell r="K11">
            <v>0</v>
          </cell>
          <cell r="L11">
            <v>0</v>
          </cell>
          <cell r="M11">
            <v>2100000</v>
          </cell>
          <cell r="N11">
            <v>20000</v>
          </cell>
          <cell r="O11">
            <v>1884000</v>
          </cell>
          <cell r="P11">
            <v>139720</v>
          </cell>
          <cell r="Q11">
            <v>0</v>
          </cell>
          <cell r="R11">
            <v>0</v>
          </cell>
          <cell r="S11">
            <v>15950720</v>
          </cell>
          <cell r="V11">
            <v>613000</v>
          </cell>
          <cell r="W11">
            <v>302000</v>
          </cell>
          <cell r="X11">
            <v>78000</v>
          </cell>
          <cell r="Y11">
            <v>291000</v>
          </cell>
          <cell r="Z11">
            <v>0</v>
          </cell>
          <cell r="AA11">
            <v>1960000</v>
          </cell>
          <cell r="AB11">
            <v>1426000</v>
          </cell>
          <cell r="AC11">
            <v>1284000</v>
          </cell>
          <cell r="AD11">
            <v>450000</v>
          </cell>
          <cell r="AE11">
            <v>1044000</v>
          </cell>
          <cell r="AF11">
            <v>2578000</v>
          </cell>
          <cell r="AG11">
            <v>613000</v>
          </cell>
          <cell r="AH11">
            <v>95000</v>
          </cell>
          <cell r="AI11">
            <v>1084000</v>
          </cell>
          <cell r="AJ11">
            <v>216140</v>
          </cell>
          <cell r="AK11">
            <v>1072000</v>
          </cell>
          <cell r="AL11">
            <v>438000</v>
          </cell>
          <cell r="AM11">
            <v>13544140</v>
          </cell>
          <cell r="AP11">
            <v>316000</v>
          </cell>
          <cell r="AQ11">
            <v>278000</v>
          </cell>
          <cell r="AR11">
            <v>-550000</v>
          </cell>
          <cell r="AS11">
            <v>-1731000</v>
          </cell>
          <cell r="AT11">
            <v>603000</v>
          </cell>
          <cell r="AU11">
            <v>1122000</v>
          </cell>
          <cell r="AV11">
            <v>400000</v>
          </cell>
          <cell r="AW11">
            <v>1084000</v>
          </cell>
          <cell r="AX11">
            <v>272000</v>
          </cell>
          <cell r="AY11">
            <v>0</v>
          </cell>
          <cell r="AZ11">
            <v>635000</v>
          </cell>
          <cell r="BA11">
            <v>779000</v>
          </cell>
          <cell r="BB11">
            <v>809000</v>
          </cell>
          <cell r="BC11">
            <v>302000</v>
          </cell>
          <cell r="BD11">
            <v>2769720</v>
          </cell>
          <cell r="BE11">
            <v>854000</v>
          </cell>
          <cell r="BF11">
            <v>237000</v>
          </cell>
          <cell r="BG11">
            <v>8179720</v>
          </cell>
          <cell r="BJ11">
            <v>402000</v>
          </cell>
          <cell r="BK11">
            <v>0</v>
          </cell>
          <cell r="BL11">
            <v>0</v>
          </cell>
          <cell r="BM11">
            <v>867000</v>
          </cell>
          <cell r="BN11">
            <v>0</v>
          </cell>
          <cell r="BO11">
            <v>0</v>
          </cell>
          <cell r="BP11">
            <v>0</v>
          </cell>
          <cell r="BQ11">
            <v>440000</v>
          </cell>
          <cell r="BR11">
            <v>0</v>
          </cell>
          <cell r="BS11">
            <v>0</v>
          </cell>
          <cell r="BT11">
            <v>0</v>
          </cell>
          <cell r="BU11">
            <v>309000</v>
          </cell>
          <cell r="BV11">
            <v>212000</v>
          </cell>
          <cell r="BW11">
            <v>296000</v>
          </cell>
          <cell r="BX11">
            <v>4996675</v>
          </cell>
          <cell r="BY11">
            <v>0</v>
          </cell>
          <cell r="BZ11">
            <v>-389000</v>
          </cell>
          <cell r="CA11">
            <v>7133675</v>
          </cell>
          <cell r="CD11">
            <v>3667000</v>
          </cell>
          <cell r="CE11">
            <v>1208000</v>
          </cell>
          <cell r="CF11">
            <v>1129000</v>
          </cell>
          <cell r="CG11">
            <v>4988000</v>
          </cell>
          <cell r="CH11">
            <v>1176000</v>
          </cell>
          <cell r="CI11">
            <v>1530000</v>
          </cell>
          <cell r="CJ11">
            <v>143000</v>
          </cell>
          <cell r="CK11">
            <v>1546000</v>
          </cell>
          <cell r="CL11">
            <v>644000</v>
          </cell>
          <cell r="CM11">
            <v>-93000</v>
          </cell>
          <cell r="CN11">
            <v>2154000</v>
          </cell>
          <cell r="CO11">
            <v>2290000</v>
          </cell>
          <cell r="CP11">
            <v>7778600</v>
          </cell>
          <cell r="CQ11">
            <v>2778000</v>
          </cell>
          <cell r="CR11">
            <v>21858400</v>
          </cell>
          <cell r="CS11">
            <v>0</v>
          </cell>
          <cell r="CT11">
            <v>-98000</v>
          </cell>
          <cell r="CU11">
            <v>52699000</v>
          </cell>
          <cell r="CX11">
            <v>0</v>
          </cell>
          <cell r="CY11">
            <v>0</v>
          </cell>
          <cell r="CZ11">
            <v>1186000</v>
          </cell>
          <cell r="DA11">
            <v>3400000</v>
          </cell>
          <cell r="DB11">
            <v>836000</v>
          </cell>
          <cell r="DC11">
            <v>0</v>
          </cell>
          <cell r="DD11">
            <v>0</v>
          </cell>
          <cell r="DE11">
            <v>250000</v>
          </cell>
          <cell r="DF11">
            <v>0</v>
          </cell>
          <cell r="DG11">
            <v>0</v>
          </cell>
          <cell r="DH11">
            <v>666000</v>
          </cell>
          <cell r="DI11">
            <v>0</v>
          </cell>
          <cell r="DJ11">
            <v>3559000</v>
          </cell>
          <cell r="DK11">
            <v>2045700</v>
          </cell>
          <cell r="DL11">
            <v>11022200</v>
          </cell>
          <cell r="DM11">
            <v>200000</v>
          </cell>
          <cell r="DN11">
            <v>366000</v>
          </cell>
          <cell r="DO11">
            <v>23530900</v>
          </cell>
          <cell r="DR11">
            <v>700000</v>
          </cell>
          <cell r="DS11">
            <v>1504000</v>
          </cell>
          <cell r="DT11">
            <v>0</v>
          </cell>
          <cell r="DU11">
            <v>0</v>
          </cell>
          <cell r="DV11">
            <v>1192000</v>
          </cell>
          <cell r="DW11">
            <v>1884000</v>
          </cell>
          <cell r="DX11">
            <v>915000</v>
          </cell>
          <cell r="DY11">
            <v>2208000</v>
          </cell>
          <cell r="DZ11">
            <v>2835000</v>
          </cell>
          <cell r="EA11">
            <v>1104000</v>
          </cell>
          <cell r="EB11">
            <v>0</v>
          </cell>
          <cell r="EC11">
            <v>2280000</v>
          </cell>
          <cell r="ED11">
            <v>1026000</v>
          </cell>
          <cell r="EE11">
            <v>132000</v>
          </cell>
          <cell r="EF11">
            <v>-807280</v>
          </cell>
          <cell r="EG11">
            <v>936000</v>
          </cell>
          <cell r="EH11">
            <v>0</v>
          </cell>
          <cell r="EI11">
            <v>15908720</v>
          </cell>
          <cell r="EL11">
            <v>1750000</v>
          </cell>
          <cell r="EM11">
            <v>1030000</v>
          </cell>
          <cell r="EN11">
            <v>0</v>
          </cell>
          <cell r="EO11">
            <v>114000</v>
          </cell>
          <cell r="EP11">
            <v>1318000</v>
          </cell>
          <cell r="EQ11">
            <v>3120000</v>
          </cell>
          <cell r="ER11">
            <v>1120000</v>
          </cell>
          <cell r="ES11">
            <v>1220000</v>
          </cell>
          <cell r="ET11">
            <v>5180000</v>
          </cell>
          <cell r="EU11">
            <v>2026000</v>
          </cell>
          <cell r="EV11">
            <v>0</v>
          </cell>
          <cell r="EW11">
            <v>440000</v>
          </cell>
          <cell r="EX11">
            <v>-715000</v>
          </cell>
          <cell r="EY11">
            <v>1072000</v>
          </cell>
          <cell r="EZ11">
            <v>796680</v>
          </cell>
          <cell r="FA11">
            <v>1060000</v>
          </cell>
          <cell r="FB11">
            <v>0</v>
          </cell>
          <cell r="FC11">
            <v>19531680</v>
          </cell>
          <cell r="FF11">
            <v>800000</v>
          </cell>
          <cell r="FG11">
            <v>1220000</v>
          </cell>
          <cell r="FH11">
            <v>-300000</v>
          </cell>
          <cell r="FI11">
            <v>0</v>
          </cell>
          <cell r="FJ11">
            <v>0</v>
          </cell>
          <cell r="FK11">
            <v>0</v>
          </cell>
          <cell r="FL11">
            <v>2920000</v>
          </cell>
          <cell r="FM11">
            <v>2280000</v>
          </cell>
          <cell r="FN11">
            <v>2200000</v>
          </cell>
          <cell r="FO11">
            <v>0</v>
          </cell>
          <cell r="FP11">
            <v>750000</v>
          </cell>
          <cell r="FQ11">
            <v>2300000</v>
          </cell>
          <cell r="FR11">
            <v>-1700000</v>
          </cell>
          <cell r="FS11">
            <v>580000</v>
          </cell>
          <cell r="FT11">
            <v>-934260</v>
          </cell>
          <cell r="FU11">
            <v>0</v>
          </cell>
          <cell r="FV11">
            <v>0</v>
          </cell>
          <cell r="FW11">
            <v>10115740</v>
          </cell>
          <cell r="FZ11">
            <v>2400000</v>
          </cell>
          <cell r="GA11">
            <v>114000</v>
          </cell>
          <cell r="GB11">
            <v>0</v>
          </cell>
          <cell r="GC11">
            <v>-4500000</v>
          </cell>
          <cell r="GD11">
            <v>80000</v>
          </cell>
          <cell r="GE11">
            <v>1380000</v>
          </cell>
          <cell r="GF11">
            <v>600000</v>
          </cell>
          <cell r="GG11">
            <v>2475000</v>
          </cell>
          <cell r="GH11">
            <v>4941000</v>
          </cell>
          <cell r="GI11">
            <v>1254000</v>
          </cell>
          <cell r="GJ11">
            <v>1600000</v>
          </cell>
          <cell r="GK11">
            <v>3820000</v>
          </cell>
          <cell r="GL11">
            <v>3920000</v>
          </cell>
          <cell r="GM11">
            <v>-2460000</v>
          </cell>
          <cell r="GN11">
            <v>5399745.7539999997</v>
          </cell>
          <cell r="GO11">
            <v>1170000</v>
          </cell>
          <cell r="GP11">
            <v>0</v>
          </cell>
          <cell r="GQ11">
            <v>22193745.754000001</v>
          </cell>
          <cell r="GT11">
            <v>100000</v>
          </cell>
          <cell r="GU11">
            <v>1300000</v>
          </cell>
          <cell r="GV11">
            <v>279000</v>
          </cell>
          <cell r="GW11">
            <v>900000</v>
          </cell>
          <cell r="GX11">
            <v>2230000</v>
          </cell>
          <cell r="GY11">
            <v>2420000</v>
          </cell>
          <cell r="GZ11">
            <v>1200000</v>
          </cell>
          <cell r="HA11">
            <v>2830000</v>
          </cell>
          <cell r="HB11">
            <v>5861000</v>
          </cell>
          <cell r="HC11">
            <v>0</v>
          </cell>
          <cell r="HD11">
            <v>4700000</v>
          </cell>
          <cell r="HE11">
            <v>2672000</v>
          </cell>
          <cell r="HF11">
            <v>3004000</v>
          </cell>
          <cell r="HG11">
            <v>514000</v>
          </cell>
          <cell r="HH11">
            <v>2994140</v>
          </cell>
          <cell r="HI11">
            <v>1100000</v>
          </cell>
          <cell r="HJ11">
            <v>0</v>
          </cell>
          <cell r="HK11">
            <v>32104140</v>
          </cell>
          <cell r="HN11">
            <v>-1700000</v>
          </cell>
          <cell r="HO11">
            <v>0</v>
          </cell>
          <cell r="HP11">
            <v>-600000</v>
          </cell>
          <cell r="HQ11">
            <v>-1200000</v>
          </cell>
          <cell r="HR11">
            <v>0</v>
          </cell>
          <cell r="HS11">
            <v>2000</v>
          </cell>
          <cell r="HT11">
            <v>-1260000</v>
          </cell>
          <cell r="HU11">
            <v>1000000</v>
          </cell>
          <cell r="HV11">
            <v>1603000</v>
          </cell>
          <cell r="HW11">
            <v>-700000</v>
          </cell>
          <cell r="HX11">
            <v>0</v>
          </cell>
          <cell r="HY11">
            <v>-1500000</v>
          </cell>
          <cell r="HZ11">
            <v>1400000</v>
          </cell>
          <cell r="IA11">
            <v>0</v>
          </cell>
          <cell r="IB11">
            <v>23768120</v>
          </cell>
          <cell r="IC11">
            <v>-1000000</v>
          </cell>
          <cell r="ID11">
            <v>-98000</v>
          </cell>
          <cell r="IE11">
            <v>19715120</v>
          </cell>
          <cell r="IH11">
            <v>929000</v>
          </cell>
          <cell r="II11">
            <v>2580000</v>
          </cell>
          <cell r="IJ11">
            <v>-472000</v>
          </cell>
          <cell r="IK11">
            <v>-1440000</v>
          </cell>
          <cell r="IL11">
            <v>2171000</v>
          </cell>
          <cell r="IM11">
            <v>3082000</v>
          </cell>
          <cell r="IN11">
            <v>3246000</v>
          </cell>
          <cell r="IO11">
            <v>5450000</v>
          </cell>
          <cell r="IP11">
            <v>4459000</v>
          </cell>
          <cell r="IQ11">
            <v>1044000</v>
          </cell>
          <cell r="IR11">
            <v>3213000</v>
          </cell>
          <cell r="IS11">
            <v>3492000</v>
          </cell>
          <cell r="IT11">
            <v>924000</v>
          </cell>
          <cell r="IU11">
            <v>3270000</v>
          </cell>
          <cell r="IV11">
            <v>3125580</v>
          </cell>
          <cell r="IW11">
            <v>1926000</v>
          </cell>
          <cell r="IX11">
            <v>675000</v>
          </cell>
          <cell r="IY11">
            <v>37674580</v>
          </cell>
          <cell r="JB11">
            <v>4069000</v>
          </cell>
          <cell r="JC11">
            <v>1208000</v>
          </cell>
          <cell r="JD11">
            <v>2315000</v>
          </cell>
          <cell r="JE11">
            <v>9255000</v>
          </cell>
          <cell r="JF11">
            <v>2012000</v>
          </cell>
          <cell r="JG11">
            <v>1530000</v>
          </cell>
          <cell r="JH11">
            <v>143000</v>
          </cell>
          <cell r="JI11">
            <v>2236000</v>
          </cell>
          <cell r="JJ11">
            <v>644000</v>
          </cell>
          <cell r="JK11">
            <v>-93000</v>
          </cell>
          <cell r="JL11">
            <v>2820000</v>
          </cell>
          <cell r="JM11">
            <v>2599000</v>
          </cell>
          <cell r="JN11">
            <v>11549600</v>
          </cell>
          <cell r="JO11">
            <v>5119700</v>
          </cell>
          <cell r="JP11">
            <v>37877275</v>
          </cell>
          <cell r="JQ11">
            <v>200000</v>
          </cell>
          <cell r="JR11">
            <v>-121000</v>
          </cell>
          <cell r="JS11">
            <v>83363575</v>
          </cell>
          <cell r="JV11">
            <v>3250000</v>
          </cell>
          <cell r="JW11">
            <v>3754000</v>
          </cell>
          <cell r="JX11">
            <v>-300000</v>
          </cell>
          <cell r="JY11">
            <v>114000</v>
          </cell>
          <cell r="JZ11">
            <v>2510000</v>
          </cell>
          <cell r="KA11">
            <v>5004000</v>
          </cell>
          <cell r="KB11">
            <v>4955000</v>
          </cell>
          <cell r="KC11">
            <v>5708000</v>
          </cell>
          <cell r="KD11">
            <v>10215000</v>
          </cell>
          <cell r="KE11">
            <v>3130000</v>
          </cell>
          <cell r="KF11">
            <v>750000</v>
          </cell>
          <cell r="KG11">
            <v>5020000</v>
          </cell>
          <cell r="KH11">
            <v>-1389000</v>
          </cell>
          <cell r="KI11">
            <v>1784000</v>
          </cell>
          <cell r="KJ11">
            <v>-944860</v>
          </cell>
          <cell r="KK11">
            <v>1996000</v>
          </cell>
          <cell r="KL11">
            <v>0</v>
          </cell>
          <cell r="KM11">
            <v>45556140</v>
          </cell>
          <cell r="KP11">
            <v>800000</v>
          </cell>
          <cell r="KQ11">
            <v>1414000</v>
          </cell>
          <cell r="KR11">
            <v>-321000</v>
          </cell>
          <cell r="KS11">
            <v>-4800000</v>
          </cell>
          <cell r="KT11">
            <v>2310000</v>
          </cell>
          <cell r="KU11">
            <v>3802000</v>
          </cell>
          <cell r="KV11">
            <v>540000</v>
          </cell>
          <cell r="KW11">
            <v>6305000</v>
          </cell>
          <cell r="KX11">
            <v>12405000</v>
          </cell>
          <cell r="KY11">
            <v>554000</v>
          </cell>
          <cell r="KZ11">
            <v>6300000</v>
          </cell>
          <cell r="LA11">
            <v>4992000</v>
          </cell>
          <cell r="LB11">
            <v>8324000</v>
          </cell>
          <cell r="LC11">
            <v>-1946000</v>
          </cell>
          <cell r="LD11">
            <v>32162005.754000001</v>
          </cell>
          <cell r="LE11">
            <v>1270000</v>
          </cell>
          <cell r="LF11">
            <v>-98000</v>
          </cell>
          <cell r="LG11">
            <v>74013005.754000008</v>
          </cell>
          <cell r="LJ11">
            <v>4998000</v>
          </cell>
          <cell r="LK11">
            <v>3788000</v>
          </cell>
          <cell r="LL11">
            <v>1843000</v>
          </cell>
          <cell r="LM11">
            <v>7815000</v>
          </cell>
          <cell r="LN11">
            <v>4183000</v>
          </cell>
          <cell r="LO11">
            <v>4612000</v>
          </cell>
          <cell r="LP11">
            <v>3389000</v>
          </cell>
          <cell r="LQ11">
            <v>7686000</v>
          </cell>
          <cell r="LR11">
            <v>5103000</v>
          </cell>
          <cell r="LS11">
            <v>951000</v>
          </cell>
          <cell r="LT11">
            <v>6033000</v>
          </cell>
          <cell r="LU11">
            <v>6091000</v>
          </cell>
          <cell r="LV11">
            <v>12473600</v>
          </cell>
          <cell r="LW11">
            <v>8389700</v>
          </cell>
          <cell r="LX11">
            <v>41002855</v>
          </cell>
          <cell r="LY11">
            <v>2126000</v>
          </cell>
          <cell r="LZ11">
            <v>554000</v>
          </cell>
          <cell r="MA11">
            <v>120554155</v>
          </cell>
          <cell r="MD11">
            <v>4050000</v>
          </cell>
          <cell r="ME11">
            <v>5168000</v>
          </cell>
          <cell r="MF11">
            <v>-621000</v>
          </cell>
          <cell r="MG11">
            <v>-4686000</v>
          </cell>
          <cell r="MH11">
            <v>4820000</v>
          </cell>
          <cell r="MI11">
            <v>8806000</v>
          </cell>
          <cell r="MJ11">
            <v>5495000</v>
          </cell>
          <cell r="MK11">
            <v>12013000</v>
          </cell>
          <cell r="ML11">
            <v>22620000</v>
          </cell>
          <cell r="MM11">
            <v>3684000</v>
          </cell>
          <cell r="MN11">
            <v>7050000</v>
          </cell>
          <cell r="MO11">
            <v>10012000</v>
          </cell>
          <cell r="MP11">
            <v>6935000</v>
          </cell>
          <cell r="MQ11">
            <v>-162000</v>
          </cell>
          <cell r="MR11">
            <v>31217145.754000001</v>
          </cell>
          <cell r="MS11">
            <v>3266000</v>
          </cell>
          <cell r="MT11">
            <v>-98000</v>
          </cell>
          <cell r="MU11">
            <v>119569145.75400001</v>
          </cell>
          <cell r="MX11">
            <v>9048000</v>
          </cell>
          <cell r="MY11">
            <v>8956000</v>
          </cell>
          <cell r="MZ11">
            <v>1222000</v>
          </cell>
          <cell r="NA11">
            <v>3129000</v>
          </cell>
          <cell r="NB11">
            <v>9003000</v>
          </cell>
          <cell r="NC11">
            <v>13418000</v>
          </cell>
          <cell r="ND11">
            <v>8884000</v>
          </cell>
          <cell r="NE11">
            <v>19699000</v>
          </cell>
          <cell r="NF11">
            <v>27723000</v>
          </cell>
          <cell r="NG11">
            <v>4635000</v>
          </cell>
          <cell r="NH11">
            <v>13083000</v>
          </cell>
          <cell r="NI11">
            <v>16103000</v>
          </cell>
          <cell r="NJ11">
            <v>19408600</v>
          </cell>
          <cell r="NK11">
            <v>8227700</v>
          </cell>
          <cell r="NL11">
            <v>72220000.754000008</v>
          </cell>
          <cell r="NM11">
            <v>5392000</v>
          </cell>
          <cell r="NN11">
            <v>456000</v>
          </cell>
          <cell r="NO11">
            <v>240607300.75400001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1500</v>
          </cell>
          <cell r="G12">
            <v>0</v>
          </cell>
          <cell r="H12">
            <v>0</v>
          </cell>
          <cell r="I12">
            <v>10000</v>
          </cell>
          <cell r="J12">
            <v>0</v>
          </cell>
          <cell r="K12">
            <v>0</v>
          </cell>
          <cell r="L12">
            <v>0</v>
          </cell>
          <cell r="M12">
            <v>1000</v>
          </cell>
          <cell r="N12">
            <v>2500</v>
          </cell>
          <cell r="O12">
            <v>0</v>
          </cell>
          <cell r="P12">
            <v>9500</v>
          </cell>
          <cell r="Q12">
            <v>0</v>
          </cell>
          <cell r="R12">
            <v>0</v>
          </cell>
          <cell r="S12">
            <v>24500</v>
          </cell>
          <cell r="V12">
            <v>300</v>
          </cell>
          <cell r="W12">
            <v>1500</v>
          </cell>
          <cell r="X12">
            <v>0</v>
          </cell>
          <cell r="Y12">
            <v>0</v>
          </cell>
          <cell r="Z12">
            <v>0</v>
          </cell>
          <cell r="AA12">
            <v>1000</v>
          </cell>
          <cell r="AB12">
            <v>3000</v>
          </cell>
          <cell r="AC12">
            <v>0</v>
          </cell>
          <cell r="AD12">
            <v>1000</v>
          </cell>
          <cell r="AE12">
            <v>1500</v>
          </cell>
          <cell r="AF12">
            <v>1000</v>
          </cell>
          <cell r="AG12">
            <v>2500</v>
          </cell>
          <cell r="AH12">
            <v>3500</v>
          </cell>
          <cell r="AI12">
            <v>0</v>
          </cell>
          <cell r="AJ12">
            <v>11280</v>
          </cell>
          <cell r="AK12">
            <v>1500</v>
          </cell>
          <cell r="AL12">
            <v>500</v>
          </cell>
          <cell r="AM12">
            <v>28580</v>
          </cell>
          <cell r="AP12">
            <v>2000</v>
          </cell>
          <cell r="AQ12">
            <v>0</v>
          </cell>
          <cell r="AR12">
            <v>-4000</v>
          </cell>
          <cell r="AS12">
            <v>0</v>
          </cell>
          <cell r="AT12">
            <v>3250</v>
          </cell>
          <cell r="AU12">
            <v>1000</v>
          </cell>
          <cell r="AV12">
            <v>1000</v>
          </cell>
          <cell r="AW12">
            <v>0</v>
          </cell>
          <cell r="AX12">
            <v>500</v>
          </cell>
          <cell r="AY12">
            <v>0</v>
          </cell>
          <cell r="AZ12">
            <v>1000</v>
          </cell>
          <cell r="BA12">
            <v>2500</v>
          </cell>
          <cell r="BB12">
            <v>3750</v>
          </cell>
          <cell r="BC12">
            <v>0</v>
          </cell>
          <cell r="BD12">
            <v>18750</v>
          </cell>
          <cell r="BE12">
            <v>2000</v>
          </cell>
          <cell r="BF12">
            <v>0</v>
          </cell>
          <cell r="BG12">
            <v>31750</v>
          </cell>
          <cell r="BJ12">
            <v>500</v>
          </cell>
          <cell r="BK12">
            <v>0</v>
          </cell>
          <cell r="BL12">
            <v>0</v>
          </cell>
          <cell r="BM12">
            <v>-12500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1500</v>
          </cell>
          <cell r="BW12">
            <v>2500</v>
          </cell>
          <cell r="BX12">
            <v>16250</v>
          </cell>
          <cell r="BY12">
            <v>0</v>
          </cell>
          <cell r="BZ12">
            <v>0</v>
          </cell>
          <cell r="CA12">
            <v>8250</v>
          </cell>
          <cell r="CD12">
            <v>1000</v>
          </cell>
          <cell r="CE12">
            <v>2250</v>
          </cell>
          <cell r="CF12">
            <v>0</v>
          </cell>
          <cell r="CG12">
            <v>0</v>
          </cell>
          <cell r="CH12">
            <v>3000</v>
          </cell>
          <cell r="CI12">
            <v>2000</v>
          </cell>
          <cell r="CJ12">
            <v>7500</v>
          </cell>
          <cell r="CK12">
            <v>1000</v>
          </cell>
          <cell r="CL12">
            <v>5500</v>
          </cell>
          <cell r="CM12">
            <v>1750</v>
          </cell>
          <cell r="CN12">
            <v>7250</v>
          </cell>
          <cell r="CO12">
            <v>2750</v>
          </cell>
          <cell r="CP12">
            <v>5500</v>
          </cell>
          <cell r="CQ12">
            <v>0</v>
          </cell>
          <cell r="CR12">
            <v>20250</v>
          </cell>
          <cell r="CS12">
            <v>0</v>
          </cell>
          <cell r="CT12">
            <v>300</v>
          </cell>
          <cell r="CU12">
            <v>60050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1500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1500</v>
          </cell>
          <cell r="DI12">
            <v>0</v>
          </cell>
          <cell r="DJ12">
            <v>0</v>
          </cell>
          <cell r="DK12">
            <v>0</v>
          </cell>
          <cell r="DL12">
            <v>11275</v>
          </cell>
          <cell r="DM12">
            <v>0</v>
          </cell>
          <cell r="DN12">
            <v>0</v>
          </cell>
          <cell r="DO12">
            <v>14275</v>
          </cell>
          <cell r="DR12">
            <v>3000</v>
          </cell>
          <cell r="DS12">
            <v>500</v>
          </cell>
          <cell r="DT12">
            <v>0</v>
          </cell>
          <cell r="DU12">
            <v>0</v>
          </cell>
          <cell r="DV12">
            <v>0</v>
          </cell>
          <cell r="DW12">
            <v>7000</v>
          </cell>
          <cell r="DX12">
            <v>0</v>
          </cell>
          <cell r="DY12">
            <v>1500</v>
          </cell>
          <cell r="DZ12">
            <v>4500</v>
          </cell>
          <cell r="EA12">
            <v>750</v>
          </cell>
          <cell r="EB12">
            <v>0</v>
          </cell>
          <cell r="EC12">
            <v>1000</v>
          </cell>
          <cell r="ED12">
            <v>1500</v>
          </cell>
          <cell r="EE12">
            <v>0</v>
          </cell>
          <cell r="EF12">
            <v>18763.131999999998</v>
          </cell>
          <cell r="EG12">
            <v>2500</v>
          </cell>
          <cell r="EH12">
            <v>0</v>
          </cell>
          <cell r="EI12">
            <v>41013.131999999998</v>
          </cell>
          <cell r="EL12">
            <v>0</v>
          </cell>
          <cell r="EM12">
            <v>750</v>
          </cell>
          <cell r="EN12">
            <v>0</v>
          </cell>
          <cell r="EO12">
            <v>0</v>
          </cell>
          <cell r="EP12">
            <v>750</v>
          </cell>
          <cell r="EQ12">
            <v>0</v>
          </cell>
          <cell r="ER12">
            <v>2500</v>
          </cell>
          <cell r="ES12">
            <v>2750</v>
          </cell>
          <cell r="ET12">
            <v>4000</v>
          </cell>
          <cell r="EU12">
            <v>1000</v>
          </cell>
          <cell r="EV12">
            <v>2000</v>
          </cell>
          <cell r="EW12">
            <v>5000</v>
          </cell>
          <cell r="EX12">
            <v>1500</v>
          </cell>
          <cell r="EY12">
            <v>0</v>
          </cell>
          <cell r="EZ12">
            <v>10720</v>
          </cell>
          <cell r="FA12">
            <v>3000</v>
          </cell>
          <cell r="FB12">
            <v>0</v>
          </cell>
          <cell r="FC12">
            <v>33970</v>
          </cell>
          <cell r="FF12">
            <v>1000</v>
          </cell>
          <cell r="FG12">
            <v>500</v>
          </cell>
          <cell r="FH12">
            <v>-1250</v>
          </cell>
          <cell r="FI12">
            <v>0</v>
          </cell>
          <cell r="FJ12">
            <v>0</v>
          </cell>
          <cell r="FK12">
            <v>0</v>
          </cell>
          <cell r="FL12">
            <v>2000</v>
          </cell>
          <cell r="FM12">
            <v>4500</v>
          </cell>
          <cell r="FN12">
            <v>0</v>
          </cell>
          <cell r="FO12">
            <v>0</v>
          </cell>
          <cell r="FP12">
            <v>1250</v>
          </cell>
          <cell r="FQ12">
            <v>1500</v>
          </cell>
          <cell r="FR12">
            <v>2250</v>
          </cell>
          <cell r="FS12">
            <v>0</v>
          </cell>
          <cell r="FT12">
            <v>6250</v>
          </cell>
          <cell r="FU12">
            <v>0</v>
          </cell>
          <cell r="FV12">
            <v>0</v>
          </cell>
          <cell r="FW12">
            <v>18000</v>
          </cell>
          <cell r="FZ12">
            <v>2500</v>
          </cell>
          <cell r="GA12">
            <v>500</v>
          </cell>
          <cell r="GB12">
            <v>0</v>
          </cell>
          <cell r="GC12">
            <v>0</v>
          </cell>
          <cell r="GD12">
            <v>3250</v>
          </cell>
          <cell r="GE12">
            <v>1500</v>
          </cell>
          <cell r="GF12">
            <v>3500</v>
          </cell>
          <cell r="GG12">
            <v>1000</v>
          </cell>
          <cell r="GH12">
            <v>2000</v>
          </cell>
          <cell r="GI12">
            <v>500</v>
          </cell>
          <cell r="GJ12">
            <v>3000</v>
          </cell>
          <cell r="GK12">
            <v>4000</v>
          </cell>
          <cell r="GL12">
            <v>5000</v>
          </cell>
          <cell r="GM12">
            <v>0</v>
          </cell>
          <cell r="GN12">
            <v>21250</v>
          </cell>
          <cell r="GO12">
            <v>2500</v>
          </cell>
          <cell r="GP12">
            <v>0</v>
          </cell>
          <cell r="GQ12">
            <v>50500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3250</v>
          </cell>
          <cell r="GZ12">
            <v>3000</v>
          </cell>
          <cell r="HA12">
            <v>1000</v>
          </cell>
          <cell r="HB12">
            <v>2000</v>
          </cell>
          <cell r="HC12">
            <v>0</v>
          </cell>
          <cell r="HD12">
            <v>2500</v>
          </cell>
          <cell r="HE12">
            <v>1500</v>
          </cell>
          <cell r="HF12">
            <v>1500</v>
          </cell>
          <cell r="HG12">
            <v>400</v>
          </cell>
          <cell r="HH12">
            <v>25250</v>
          </cell>
          <cell r="HI12">
            <v>2000</v>
          </cell>
          <cell r="HJ12">
            <v>0</v>
          </cell>
          <cell r="HK12">
            <v>42400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4000</v>
          </cell>
          <cell r="HS12">
            <v>1500</v>
          </cell>
          <cell r="HT12">
            <v>0</v>
          </cell>
          <cell r="HU12">
            <v>3750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3500</v>
          </cell>
          <cell r="IA12">
            <v>0</v>
          </cell>
          <cell r="IB12">
            <v>0</v>
          </cell>
          <cell r="IC12">
            <v>0</v>
          </cell>
          <cell r="ID12">
            <v>500</v>
          </cell>
          <cell r="IE12">
            <v>13250</v>
          </cell>
          <cell r="IH12">
            <v>2300</v>
          </cell>
          <cell r="II12">
            <v>1500</v>
          </cell>
          <cell r="IJ12">
            <v>-4000</v>
          </cell>
          <cell r="IK12">
            <v>0</v>
          </cell>
          <cell r="IL12">
            <v>4750</v>
          </cell>
          <cell r="IM12">
            <v>2000</v>
          </cell>
          <cell r="IN12">
            <v>4000</v>
          </cell>
          <cell r="IO12">
            <v>10000</v>
          </cell>
          <cell r="IP12">
            <v>1500</v>
          </cell>
          <cell r="IQ12">
            <v>1500</v>
          </cell>
          <cell r="IR12">
            <v>2000</v>
          </cell>
          <cell r="IS12">
            <v>6000</v>
          </cell>
          <cell r="IT12">
            <v>9750</v>
          </cell>
          <cell r="IU12">
            <v>0</v>
          </cell>
          <cell r="IV12">
            <v>39530</v>
          </cell>
          <cell r="IW12">
            <v>3500</v>
          </cell>
          <cell r="IX12">
            <v>500</v>
          </cell>
          <cell r="IY12">
            <v>84830</v>
          </cell>
          <cell r="JB12">
            <v>1500</v>
          </cell>
          <cell r="JC12">
            <v>2250</v>
          </cell>
          <cell r="JD12">
            <v>0</v>
          </cell>
          <cell r="JE12">
            <v>-12500</v>
          </cell>
          <cell r="JF12">
            <v>4500</v>
          </cell>
          <cell r="JG12">
            <v>2000</v>
          </cell>
          <cell r="JH12">
            <v>7500</v>
          </cell>
          <cell r="JI12">
            <v>1000</v>
          </cell>
          <cell r="JJ12">
            <v>5500</v>
          </cell>
          <cell r="JK12">
            <v>1750</v>
          </cell>
          <cell r="JL12">
            <v>8750</v>
          </cell>
          <cell r="JM12">
            <v>2750</v>
          </cell>
          <cell r="JN12">
            <v>7000</v>
          </cell>
          <cell r="JO12">
            <v>2500</v>
          </cell>
          <cell r="JP12">
            <v>47775</v>
          </cell>
          <cell r="JQ12">
            <v>0</v>
          </cell>
          <cell r="JR12">
            <v>300</v>
          </cell>
          <cell r="JS12">
            <v>82575</v>
          </cell>
          <cell r="JV12">
            <v>4000</v>
          </cell>
          <cell r="JW12">
            <v>1750</v>
          </cell>
          <cell r="JX12">
            <v>-1250</v>
          </cell>
          <cell r="JY12">
            <v>0</v>
          </cell>
          <cell r="JZ12">
            <v>750</v>
          </cell>
          <cell r="KA12">
            <v>7000</v>
          </cell>
          <cell r="KB12">
            <v>4500</v>
          </cell>
          <cell r="KC12">
            <v>8750</v>
          </cell>
          <cell r="KD12">
            <v>8500</v>
          </cell>
          <cell r="KE12">
            <v>1750</v>
          </cell>
          <cell r="KF12">
            <v>3250</v>
          </cell>
          <cell r="KG12">
            <v>7500</v>
          </cell>
          <cell r="KH12">
            <v>5250</v>
          </cell>
          <cell r="KI12">
            <v>0</v>
          </cell>
          <cell r="KJ12">
            <v>35733.131999999998</v>
          </cell>
          <cell r="KK12">
            <v>5500</v>
          </cell>
          <cell r="KL12">
            <v>0</v>
          </cell>
          <cell r="KM12">
            <v>92983.131999999998</v>
          </cell>
          <cell r="KP12">
            <v>2500</v>
          </cell>
          <cell r="KQ12">
            <v>500</v>
          </cell>
          <cell r="KR12">
            <v>0</v>
          </cell>
          <cell r="KS12">
            <v>0</v>
          </cell>
          <cell r="KT12">
            <v>7250</v>
          </cell>
          <cell r="KU12">
            <v>6250</v>
          </cell>
          <cell r="KV12">
            <v>6500</v>
          </cell>
          <cell r="KW12">
            <v>5750</v>
          </cell>
          <cell r="KX12">
            <v>4000</v>
          </cell>
          <cell r="KY12">
            <v>500</v>
          </cell>
          <cell r="KZ12">
            <v>5500</v>
          </cell>
          <cell r="LA12">
            <v>5500</v>
          </cell>
          <cell r="LB12">
            <v>10000</v>
          </cell>
          <cell r="LC12">
            <v>400</v>
          </cell>
          <cell r="LD12">
            <v>46500</v>
          </cell>
          <cell r="LE12">
            <v>4500</v>
          </cell>
          <cell r="LF12">
            <v>500</v>
          </cell>
          <cell r="LG12">
            <v>106150</v>
          </cell>
          <cell r="LJ12">
            <v>3800</v>
          </cell>
          <cell r="LK12">
            <v>3750</v>
          </cell>
          <cell r="LL12">
            <v>-4000</v>
          </cell>
          <cell r="LM12">
            <v>-12500</v>
          </cell>
          <cell r="LN12">
            <v>9250</v>
          </cell>
          <cell r="LO12">
            <v>4000</v>
          </cell>
          <cell r="LP12">
            <v>11500</v>
          </cell>
          <cell r="LQ12">
            <v>11000</v>
          </cell>
          <cell r="LR12">
            <v>7000</v>
          </cell>
          <cell r="LS12">
            <v>3250</v>
          </cell>
          <cell r="LT12">
            <v>10750</v>
          </cell>
          <cell r="LU12">
            <v>8750</v>
          </cell>
          <cell r="LV12">
            <v>16750</v>
          </cell>
          <cell r="LW12">
            <v>2500</v>
          </cell>
          <cell r="LX12">
            <v>87305</v>
          </cell>
          <cell r="LY12">
            <v>3500</v>
          </cell>
          <cell r="LZ12">
            <v>800</v>
          </cell>
          <cell r="MA12">
            <v>166605</v>
          </cell>
          <cell r="MD12">
            <v>6500</v>
          </cell>
          <cell r="ME12">
            <v>2250</v>
          </cell>
          <cell r="MF12">
            <v>-1250</v>
          </cell>
          <cell r="MG12">
            <v>0</v>
          </cell>
          <cell r="MH12">
            <v>8000</v>
          </cell>
          <cell r="MI12">
            <v>13250</v>
          </cell>
          <cell r="MJ12">
            <v>11000</v>
          </cell>
          <cell r="MK12">
            <v>14500</v>
          </cell>
          <cell r="ML12">
            <v>12500</v>
          </cell>
          <cell r="MM12">
            <v>2250</v>
          </cell>
          <cell r="MN12">
            <v>8750</v>
          </cell>
          <cell r="MO12">
            <v>13000</v>
          </cell>
          <cell r="MP12">
            <v>15250</v>
          </cell>
          <cell r="MQ12">
            <v>400</v>
          </cell>
          <cell r="MR12">
            <v>82233.131999999998</v>
          </cell>
          <cell r="MS12">
            <v>10000</v>
          </cell>
          <cell r="MT12">
            <v>500</v>
          </cell>
          <cell r="MU12">
            <v>199133.13199999998</v>
          </cell>
          <cell r="MX12">
            <v>10300</v>
          </cell>
          <cell r="MY12">
            <v>6000</v>
          </cell>
          <cell r="MZ12">
            <v>-5250</v>
          </cell>
          <cell r="NA12">
            <v>-12500</v>
          </cell>
          <cell r="NB12">
            <v>17250</v>
          </cell>
          <cell r="NC12">
            <v>17250</v>
          </cell>
          <cell r="ND12">
            <v>22500</v>
          </cell>
          <cell r="NE12">
            <v>25500</v>
          </cell>
          <cell r="NF12">
            <v>19500</v>
          </cell>
          <cell r="NG12">
            <v>5500</v>
          </cell>
          <cell r="NH12">
            <v>19500</v>
          </cell>
          <cell r="NI12">
            <v>21750</v>
          </cell>
          <cell r="NJ12">
            <v>32000</v>
          </cell>
          <cell r="NK12">
            <v>2900</v>
          </cell>
          <cell r="NL12">
            <v>169538.13199999998</v>
          </cell>
          <cell r="NM12">
            <v>13500</v>
          </cell>
          <cell r="NN12">
            <v>1300</v>
          </cell>
          <cell r="NO12">
            <v>366538.13199999998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1000</v>
          </cell>
          <cell r="G13">
            <v>0</v>
          </cell>
          <cell r="H13">
            <v>0</v>
          </cell>
          <cell r="I13">
            <v>5000</v>
          </cell>
          <cell r="J13">
            <v>625</v>
          </cell>
          <cell r="K13">
            <v>0</v>
          </cell>
          <cell r="L13">
            <v>0</v>
          </cell>
          <cell r="M13">
            <v>750</v>
          </cell>
          <cell r="N13">
            <v>1250</v>
          </cell>
          <cell r="O13">
            <v>0</v>
          </cell>
          <cell r="P13">
            <v>10800</v>
          </cell>
          <cell r="Q13">
            <v>0</v>
          </cell>
          <cell r="R13">
            <v>0</v>
          </cell>
          <cell r="S13">
            <v>19425</v>
          </cell>
          <cell r="V13">
            <v>375</v>
          </cell>
          <cell r="W13">
            <v>250</v>
          </cell>
          <cell r="X13">
            <v>0</v>
          </cell>
          <cell r="Y13">
            <v>0</v>
          </cell>
          <cell r="Z13">
            <v>0</v>
          </cell>
          <cell r="AA13">
            <v>750</v>
          </cell>
          <cell r="AB13">
            <v>2750</v>
          </cell>
          <cell r="AC13">
            <v>0</v>
          </cell>
          <cell r="AD13">
            <v>750</v>
          </cell>
          <cell r="AE13">
            <v>875</v>
          </cell>
          <cell r="AF13">
            <v>1375</v>
          </cell>
          <cell r="AG13">
            <v>1750</v>
          </cell>
          <cell r="AH13">
            <v>1750</v>
          </cell>
          <cell r="AI13">
            <v>0</v>
          </cell>
          <cell r="AJ13">
            <v>8125</v>
          </cell>
          <cell r="AK13">
            <v>750</v>
          </cell>
          <cell r="AL13">
            <v>250</v>
          </cell>
          <cell r="AM13">
            <v>19750</v>
          </cell>
          <cell r="AP13">
            <v>1000</v>
          </cell>
          <cell r="AQ13">
            <v>0</v>
          </cell>
          <cell r="AR13">
            <v>0</v>
          </cell>
          <cell r="AS13">
            <v>0</v>
          </cell>
          <cell r="AT13">
            <v>1500</v>
          </cell>
          <cell r="AU13">
            <v>1000</v>
          </cell>
          <cell r="AV13">
            <v>500</v>
          </cell>
          <cell r="AW13">
            <v>0</v>
          </cell>
          <cell r="AX13">
            <v>875</v>
          </cell>
          <cell r="AY13">
            <v>0</v>
          </cell>
          <cell r="AZ13">
            <v>1250</v>
          </cell>
          <cell r="BA13">
            <v>0</v>
          </cell>
          <cell r="BB13">
            <v>2500</v>
          </cell>
          <cell r="BC13">
            <v>1250</v>
          </cell>
          <cell r="BD13">
            <v>11875</v>
          </cell>
          <cell r="BE13">
            <v>750</v>
          </cell>
          <cell r="BF13">
            <v>0</v>
          </cell>
          <cell r="BG13">
            <v>22500</v>
          </cell>
          <cell r="BJ13">
            <v>250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500</v>
          </cell>
          <cell r="BR13">
            <v>0</v>
          </cell>
          <cell r="BS13">
            <v>0</v>
          </cell>
          <cell r="BT13">
            <v>0</v>
          </cell>
          <cell r="BU13">
            <v>750</v>
          </cell>
          <cell r="BV13">
            <v>1250</v>
          </cell>
          <cell r="BW13">
            <v>2000</v>
          </cell>
          <cell r="BX13">
            <v>15000</v>
          </cell>
          <cell r="BY13">
            <v>0</v>
          </cell>
          <cell r="BZ13">
            <v>0</v>
          </cell>
          <cell r="CA13">
            <v>19750</v>
          </cell>
          <cell r="CD13">
            <v>750</v>
          </cell>
          <cell r="CE13">
            <v>1125</v>
          </cell>
          <cell r="CF13">
            <v>0</v>
          </cell>
          <cell r="CG13">
            <v>0</v>
          </cell>
          <cell r="CH13">
            <v>2125</v>
          </cell>
          <cell r="CI13">
            <v>1000</v>
          </cell>
          <cell r="CJ13">
            <v>4000</v>
          </cell>
          <cell r="CK13">
            <v>500</v>
          </cell>
          <cell r="CL13">
            <v>2875</v>
          </cell>
          <cell r="CM13">
            <v>500</v>
          </cell>
          <cell r="CN13">
            <v>2150</v>
          </cell>
          <cell r="CO13">
            <v>1375</v>
          </cell>
          <cell r="CP13">
            <v>3375</v>
          </cell>
          <cell r="CQ13">
            <v>0</v>
          </cell>
          <cell r="CR13">
            <v>14920</v>
          </cell>
          <cell r="CS13">
            <v>0</v>
          </cell>
          <cell r="CT13">
            <v>175</v>
          </cell>
          <cell r="CU13">
            <v>34870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750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250</v>
          </cell>
          <cell r="DI13">
            <v>0</v>
          </cell>
          <cell r="DJ13">
            <v>500</v>
          </cell>
          <cell r="DK13">
            <v>0</v>
          </cell>
          <cell r="DL13">
            <v>8105</v>
          </cell>
          <cell r="DM13">
            <v>0</v>
          </cell>
          <cell r="DN13">
            <v>0</v>
          </cell>
          <cell r="DO13">
            <v>9605</v>
          </cell>
          <cell r="DR13">
            <v>1250</v>
          </cell>
          <cell r="DS13">
            <v>1375</v>
          </cell>
          <cell r="DT13">
            <v>0</v>
          </cell>
          <cell r="DU13">
            <v>0</v>
          </cell>
          <cell r="DV13">
            <v>0</v>
          </cell>
          <cell r="DW13">
            <v>1250</v>
          </cell>
          <cell r="DX13">
            <v>1000</v>
          </cell>
          <cell r="DY13">
            <v>1750</v>
          </cell>
          <cell r="DZ13">
            <v>1750</v>
          </cell>
          <cell r="EA13">
            <v>2125</v>
          </cell>
          <cell r="EB13">
            <v>0</v>
          </cell>
          <cell r="EC13">
            <v>0</v>
          </cell>
          <cell r="ED13">
            <v>1000</v>
          </cell>
          <cell r="EE13">
            <v>0</v>
          </cell>
          <cell r="EF13">
            <v>15645</v>
          </cell>
          <cell r="EG13">
            <v>750</v>
          </cell>
          <cell r="EH13">
            <v>0</v>
          </cell>
          <cell r="EI13">
            <v>27895</v>
          </cell>
          <cell r="EL13">
            <v>0</v>
          </cell>
          <cell r="EM13">
            <v>250</v>
          </cell>
          <cell r="EN13">
            <v>0</v>
          </cell>
          <cell r="EO13">
            <v>0</v>
          </cell>
          <cell r="EP13">
            <v>0</v>
          </cell>
          <cell r="EQ13">
            <v>2250</v>
          </cell>
          <cell r="ER13">
            <v>625</v>
          </cell>
          <cell r="ES13">
            <v>1250</v>
          </cell>
          <cell r="ET13">
            <v>2125</v>
          </cell>
          <cell r="EU13">
            <v>0</v>
          </cell>
          <cell r="EV13">
            <v>875</v>
          </cell>
          <cell r="EW13">
            <v>1250</v>
          </cell>
          <cell r="EX13">
            <v>875</v>
          </cell>
          <cell r="EY13">
            <v>0</v>
          </cell>
          <cell r="EZ13">
            <v>7560</v>
          </cell>
          <cell r="FA13">
            <v>1500</v>
          </cell>
          <cell r="FB13">
            <v>0</v>
          </cell>
          <cell r="FC13">
            <v>18560</v>
          </cell>
          <cell r="FF13">
            <v>500</v>
          </cell>
          <cell r="FG13">
            <v>500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3250</v>
          </cell>
          <cell r="FM13">
            <v>2500</v>
          </cell>
          <cell r="FN13">
            <v>0</v>
          </cell>
          <cell r="FO13">
            <v>0</v>
          </cell>
          <cell r="FP13">
            <v>250</v>
          </cell>
          <cell r="FQ13">
            <v>0</v>
          </cell>
          <cell r="FR13">
            <v>1500</v>
          </cell>
          <cell r="FS13">
            <v>1250</v>
          </cell>
          <cell r="FT13">
            <v>8160</v>
          </cell>
          <cell r="FU13">
            <v>0</v>
          </cell>
          <cell r="FV13">
            <v>0</v>
          </cell>
          <cell r="FW13">
            <v>17910</v>
          </cell>
          <cell r="FZ13">
            <v>250</v>
          </cell>
          <cell r="GA13">
            <v>500</v>
          </cell>
          <cell r="GB13">
            <v>0</v>
          </cell>
          <cell r="GC13">
            <v>0</v>
          </cell>
          <cell r="GD13">
            <v>1625</v>
          </cell>
          <cell r="GE13">
            <v>0</v>
          </cell>
          <cell r="GF13">
            <v>1250</v>
          </cell>
          <cell r="GG13">
            <v>0</v>
          </cell>
          <cell r="GH13">
            <v>875</v>
          </cell>
          <cell r="GI13">
            <v>0</v>
          </cell>
          <cell r="GJ13">
            <v>750</v>
          </cell>
          <cell r="GK13">
            <v>1750</v>
          </cell>
          <cell r="GL13">
            <v>2875</v>
          </cell>
          <cell r="GM13">
            <v>2000</v>
          </cell>
          <cell r="GN13">
            <v>15665</v>
          </cell>
          <cell r="GO13">
            <v>250</v>
          </cell>
          <cell r="GP13">
            <v>0</v>
          </cell>
          <cell r="GQ13">
            <v>27790</v>
          </cell>
          <cell r="GT13">
            <v>0</v>
          </cell>
          <cell r="GU13">
            <v>0</v>
          </cell>
          <cell r="GV13">
            <v>0</v>
          </cell>
          <cell r="GW13">
            <v>1000</v>
          </cell>
          <cell r="GX13">
            <v>0</v>
          </cell>
          <cell r="GY13">
            <v>1250</v>
          </cell>
          <cell r="GZ13">
            <v>2000</v>
          </cell>
          <cell r="HA13">
            <v>1625</v>
          </cell>
          <cell r="HB13">
            <v>1375</v>
          </cell>
          <cell r="HC13">
            <v>0</v>
          </cell>
          <cell r="HD13">
            <v>625</v>
          </cell>
          <cell r="HE13">
            <v>0</v>
          </cell>
          <cell r="HF13">
            <v>1500</v>
          </cell>
          <cell r="HG13">
            <v>1050</v>
          </cell>
          <cell r="HH13">
            <v>14290</v>
          </cell>
          <cell r="HI13">
            <v>0</v>
          </cell>
          <cell r="HJ13">
            <v>0</v>
          </cell>
          <cell r="HK13">
            <v>24715</v>
          </cell>
          <cell r="HN13">
            <v>0</v>
          </cell>
          <cell r="HO13">
            <v>0</v>
          </cell>
          <cell r="HP13">
            <v>0</v>
          </cell>
          <cell r="HQ13">
            <v>2000</v>
          </cell>
          <cell r="HR13">
            <v>1375</v>
          </cell>
          <cell r="HS13">
            <v>1250</v>
          </cell>
          <cell r="HT13">
            <v>0</v>
          </cell>
          <cell r="HU13">
            <v>2000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2000</v>
          </cell>
          <cell r="IA13">
            <v>0</v>
          </cell>
          <cell r="IB13">
            <v>3185</v>
          </cell>
          <cell r="IC13">
            <v>0</v>
          </cell>
          <cell r="ID13">
            <v>375</v>
          </cell>
          <cell r="IE13">
            <v>12185</v>
          </cell>
          <cell r="IH13">
            <v>1375</v>
          </cell>
          <cell r="II13">
            <v>250</v>
          </cell>
          <cell r="IJ13">
            <v>0</v>
          </cell>
          <cell r="IK13">
            <v>0</v>
          </cell>
          <cell r="IL13">
            <v>2500</v>
          </cell>
          <cell r="IM13">
            <v>1750</v>
          </cell>
          <cell r="IN13">
            <v>3250</v>
          </cell>
          <cell r="IO13">
            <v>5000</v>
          </cell>
          <cell r="IP13">
            <v>2250</v>
          </cell>
          <cell r="IQ13">
            <v>875</v>
          </cell>
          <cell r="IR13">
            <v>2625</v>
          </cell>
          <cell r="IS13">
            <v>2500</v>
          </cell>
          <cell r="IT13">
            <v>5500</v>
          </cell>
          <cell r="IU13">
            <v>1250</v>
          </cell>
          <cell r="IV13">
            <v>30800</v>
          </cell>
          <cell r="IW13">
            <v>1500</v>
          </cell>
          <cell r="IX13">
            <v>250</v>
          </cell>
          <cell r="IY13">
            <v>61675</v>
          </cell>
          <cell r="JB13">
            <v>1000</v>
          </cell>
          <cell r="JC13">
            <v>1125</v>
          </cell>
          <cell r="JD13">
            <v>0</v>
          </cell>
          <cell r="JE13">
            <v>0</v>
          </cell>
          <cell r="JF13">
            <v>2875</v>
          </cell>
          <cell r="JG13">
            <v>1000</v>
          </cell>
          <cell r="JH13">
            <v>4000</v>
          </cell>
          <cell r="JI13">
            <v>1000</v>
          </cell>
          <cell r="JJ13">
            <v>2875</v>
          </cell>
          <cell r="JK13">
            <v>500</v>
          </cell>
          <cell r="JL13">
            <v>2400</v>
          </cell>
          <cell r="JM13">
            <v>2125</v>
          </cell>
          <cell r="JN13">
            <v>5125</v>
          </cell>
          <cell r="JO13">
            <v>2000</v>
          </cell>
          <cell r="JP13">
            <v>38025</v>
          </cell>
          <cell r="JQ13">
            <v>0</v>
          </cell>
          <cell r="JR13">
            <v>175</v>
          </cell>
          <cell r="JS13">
            <v>64225</v>
          </cell>
          <cell r="JV13">
            <v>1750</v>
          </cell>
          <cell r="JW13">
            <v>2125</v>
          </cell>
          <cell r="JX13">
            <v>0</v>
          </cell>
          <cell r="JY13">
            <v>0</v>
          </cell>
          <cell r="JZ13">
            <v>0</v>
          </cell>
          <cell r="KA13">
            <v>3500</v>
          </cell>
          <cell r="KB13">
            <v>4875</v>
          </cell>
          <cell r="KC13">
            <v>5500</v>
          </cell>
          <cell r="KD13">
            <v>3875</v>
          </cell>
          <cell r="KE13">
            <v>2125</v>
          </cell>
          <cell r="KF13">
            <v>1125</v>
          </cell>
          <cell r="KG13">
            <v>1250</v>
          </cell>
          <cell r="KH13">
            <v>3375</v>
          </cell>
          <cell r="KI13">
            <v>1250</v>
          </cell>
          <cell r="KJ13">
            <v>31365</v>
          </cell>
          <cell r="KK13">
            <v>2250</v>
          </cell>
          <cell r="KL13">
            <v>0</v>
          </cell>
          <cell r="KM13">
            <v>64365</v>
          </cell>
          <cell r="KP13">
            <v>250</v>
          </cell>
          <cell r="KQ13">
            <v>500</v>
          </cell>
          <cell r="KR13">
            <v>0</v>
          </cell>
          <cell r="KS13">
            <v>3000</v>
          </cell>
          <cell r="KT13">
            <v>3000</v>
          </cell>
          <cell r="KU13">
            <v>2500</v>
          </cell>
          <cell r="KV13">
            <v>3250</v>
          </cell>
          <cell r="KW13">
            <v>3625</v>
          </cell>
          <cell r="KX13">
            <v>2250</v>
          </cell>
          <cell r="KY13">
            <v>0</v>
          </cell>
          <cell r="KZ13">
            <v>1375</v>
          </cell>
          <cell r="LA13">
            <v>1750</v>
          </cell>
          <cell r="LB13">
            <v>6375</v>
          </cell>
          <cell r="LC13">
            <v>3050</v>
          </cell>
          <cell r="LD13">
            <v>33140</v>
          </cell>
          <cell r="LE13">
            <v>250</v>
          </cell>
          <cell r="LF13">
            <v>375</v>
          </cell>
          <cell r="LG13">
            <v>64690</v>
          </cell>
          <cell r="LJ13">
            <v>2375</v>
          </cell>
          <cell r="LK13">
            <v>1375</v>
          </cell>
          <cell r="LL13">
            <v>0</v>
          </cell>
          <cell r="LM13">
            <v>0</v>
          </cell>
          <cell r="LN13">
            <v>5375</v>
          </cell>
          <cell r="LO13">
            <v>2750</v>
          </cell>
          <cell r="LP13">
            <v>7250</v>
          </cell>
          <cell r="LQ13">
            <v>6000</v>
          </cell>
          <cell r="LR13">
            <v>5125</v>
          </cell>
          <cell r="LS13">
            <v>1375</v>
          </cell>
          <cell r="LT13">
            <v>5025</v>
          </cell>
          <cell r="LU13">
            <v>4625</v>
          </cell>
          <cell r="LV13">
            <v>10625</v>
          </cell>
          <cell r="LW13">
            <v>3250</v>
          </cell>
          <cell r="LX13">
            <v>68825</v>
          </cell>
          <cell r="LY13">
            <v>1500</v>
          </cell>
          <cell r="LZ13">
            <v>425</v>
          </cell>
          <cell r="MA13">
            <v>125475</v>
          </cell>
          <cell r="MD13">
            <v>2000</v>
          </cell>
          <cell r="ME13">
            <v>2625</v>
          </cell>
          <cell r="MF13">
            <v>0</v>
          </cell>
          <cell r="MG13">
            <v>3000</v>
          </cell>
          <cell r="MH13">
            <v>3000</v>
          </cell>
          <cell r="MI13">
            <v>6000</v>
          </cell>
          <cell r="MJ13">
            <v>8125</v>
          </cell>
          <cell r="MK13">
            <v>9125</v>
          </cell>
          <cell r="ML13">
            <v>6125</v>
          </cell>
          <cell r="MM13">
            <v>2125</v>
          </cell>
          <cell r="MN13">
            <v>2500</v>
          </cell>
          <cell r="MO13">
            <v>3000</v>
          </cell>
          <cell r="MP13">
            <v>9750</v>
          </cell>
          <cell r="MQ13">
            <v>4300</v>
          </cell>
          <cell r="MR13">
            <v>64505</v>
          </cell>
          <cell r="MS13">
            <v>2500</v>
          </cell>
          <cell r="MT13">
            <v>375</v>
          </cell>
          <cell r="MU13">
            <v>129055</v>
          </cell>
          <cell r="MX13">
            <v>4375</v>
          </cell>
          <cell r="MY13">
            <v>4000</v>
          </cell>
          <cell r="MZ13">
            <v>0</v>
          </cell>
          <cell r="NA13">
            <v>3000</v>
          </cell>
          <cell r="NB13">
            <v>8375</v>
          </cell>
          <cell r="NC13">
            <v>8750</v>
          </cell>
          <cell r="ND13">
            <v>15375</v>
          </cell>
          <cell r="NE13">
            <v>15125</v>
          </cell>
          <cell r="NF13">
            <v>11250</v>
          </cell>
          <cell r="NG13">
            <v>3500</v>
          </cell>
          <cell r="NH13">
            <v>7525</v>
          </cell>
          <cell r="NI13">
            <v>7625</v>
          </cell>
          <cell r="NJ13">
            <v>20375</v>
          </cell>
          <cell r="NK13">
            <v>7550</v>
          </cell>
          <cell r="NL13">
            <v>133330</v>
          </cell>
          <cell r="NM13">
            <v>4000</v>
          </cell>
          <cell r="NN13">
            <v>800</v>
          </cell>
          <cell r="NO13">
            <v>254955</v>
          </cell>
        </row>
        <row r="14">
          <cell r="B14">
            <v>0</v>
          </cell>
          <cell r="C14">
            <v>300</v>
          </cell>
          <cell r="D14">
            <v>0</v>
          </cell>
          <cell r="E14">
            <v>0</v>
          </cell>
          <cell r="F14">
            <v>600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400</v>
          </cell>
          <cell r="O14">
            <v>1600</v>
          </cell>
          <cell r="P14">
            <v>1008</v>
          </cell>
          <cell r="Q14">
            <v>0</v>
          </cell>
          <cell r="R14">
            <v>0</v>
          </cell>
          <cell r="S14">
            <v>3908</v>
          </cell>
          <cell r="V14">
            <v>250</v>
          </cell>
          <cell r="W14">
            <v>200</v>
          </cell>
          <cell r="X14">
            <v>0</v>
          </cell>
          <cell r="Y14">
            <v>200</v>
          </cell>
          <cell r="Z14">
            <v>0</v>
          </cell>
          <cell r="AA14">
            <v>400</v>
          </cell>
          <cell r="AB14">
            <v>600</v>
          </cell>
          <cell r="AC14">
            <v>800</v>
          </cell>
          <cell r="AD14">
            <v>400</v>
          </cell>
          <cell r="AE14">
            <v>600</v>
          </cell>
          <cell r="AF14">
            <v>400</v>
          </cell>
          <cell r="AG14">
            <v>1000</v>
          </cell>
          <cell r="AH14">
            <v>1300</v>
          </cell>
          <cell r="AI14">
            <v>600</v>
          </cell>
          <cell r="AJ14">
            <v>1000</v>
          </cell>
          <cell r="AK14">
            <v>400</v>
          </cell>
          <cell r="AL14">
            <v>0</v>
          </cell>
          <cell r="AM14">
            <v>8150</v>
          </cell>
          <cell r="AP14">
            <v>0</v>
          </cell>
          <cell r="AQ14">
            <v>0</v>
          </cell>
          <cell r="AR14">
            <v>0</v>
          </cell>
          <cell r="AS14">
            <v>300</v>
          </cell>
          <cell r="AT14">
            <v>200</v>
          </cell>
          <cell r="AU14">
            <v>200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1208</v>
          </cell>
          <cell r="BE14">
            <v>0</v>
          </cell>
          <cell r="BF14">
            <v>0</v>
          </cell>
          <cell r="BG14">
            <v>1908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4</v>
          </cell>
          <cell r="BY14">
            <v>0</v>
          </cell>
          <cell r="BZ14">
            <v>0</v>
          </cell>
          <cell r="CA14">
            <v>4</v>
          </cell>
          <cell r="CD14">
            <v>200</v>
          </cell>
          <cell r="CE14">
            <v>200</v>
          </cell>
          <cell r="CF14">
            <v>0</v>
          </cell>
          <cell r="CG14">
            <v>200</v>
          </cell>
          <cell r="CH14">
            <v>200</v>
          </cell>
          <cell r="CI14">
            <v>0</v>
          </cell>
          <cell r="CJ14">
            <v>200</v>
          </cell>
          <cell r="CK14">
            <v>0</v>
          </cell>
          <cell r="CL14">
            <v>200</v>
          </cell>
          <cell r="CM14">
            <v>0</v>
          </cell>
          <cell r="CN14">
            <v>200</v>
          </cell>
          <cell r="CO14">
            <v>200</v>
          </cell>
          <cell r="CP14">
            <v>300</v>
          </cell>
          <cell r="CQ14">
            <v>600</v>
          </cell>
          <cell r="CR14">
            <v>1840</v>
          </cell>
          <cell r="CS14">
            <v>0</v>
          </cell>
          <cell r="CT14">
            <v>120</v>
          </cell>
          <cell r="CU14">
            <v>4460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400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400</v>
          </cell>
          <cell r="DI14">
            <v>0</v>
          </cell>
          <cell r="DJ14">
            <v>200</v>
          </cell>
          <cell r="DK14">
            <v>200</v>
          </cell>
          <cell r="DL14">
            <v>2024</v>
          </cell>
          <cell r="DM14">
            <v>0</v>
          </cell>
          <cell r="DN14">
            <v>100</v>
          </cell>
          <cell r="DO14">
            <v>3324</v>
          </cell>
          <cell r="DR14">
            <v>400</v>
          </cell>
          <cell r="DS14">
            <v>600</v>
          </cell>
          <cell r="DT14">
            <v>0</v>
          </cell>
          <cell r="DU14">
            <v>0</v>
          </cell>
          <cell r="DV14">
            <v>600</v>
          </cell>
          <cell r="DW14">
            <v>1000</v>
          </cell>
          <cell r="DX14">
            <v>600</v>
          </cell>
          <cell r="DY14">
            <v>1000</v>
          </cell>
          <cell r="DZ14">
            <v>600</v>
          </cell>
          <cell r="EA14">
            <v>600</v>
          </cell>
          <cell r="EB14">
            <v>0</v>
          </cell>
          <cell r="EC14">
            <v>800</v>
          </cell>
          <cell r="ED14">
            <v>300</v>
          </cell>
          <cell r="EE14">
            <v>200</v>
          </cell>
          <cell r="EF14">
            <v>2016</v>
          </cell>
          <cell r="EG14">
            <v>400</v>
          </cell>
          <cell r="EH14">
            <v>0</v>
          </cell>
          <cell r="EI14">
            <v>9116</v>
          </cell>
          <cell r="EL14">
            <v>0</v>
          </cell>
          <cell r="EM14">
            <v>200</v>
          </cell>
          <cell r="EN14">
            <v>0</v>
          </cell>
          <cell r="EO14">
            <v>600</v>
          </cell>
          <cell r="EP14">
            <v>300</v>
          </cell>
          <cell r="EQ14">
            <v>600</v>
          </cell>
          <cell r="ER14">
            <v>400</v>
          </cell>
          <cell r="ES14">
            <v>0</v>
          </cell>
          <cell r="ET14">
            <v>600</v>
          </cell>
          <cell r="EU14">
            <v>400</v>
          </cell>
          <cell r="EV14">
            <v>300</v>
          </cell>
          <cell r="EW14">
            <v>200</v>
          </cell>
          <cell r="EX14">
            <v>400</v>
          </cell>
          <cell r="EY14">
            <v>200</v>
          </cell>
          <cell r="EZ14">
            <v>3460</v>
          </cell>
          <cell r="FA14">
            <v>200</v>
          </cell>
          <cell r="FB14">
            <v>0</v>
          </cell>
          <cell r="FC14">
            <v>7860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600</v>
          </cell>
          <cell r="FN14">
            <v>0</v>
          </cell>
          <cell r="FO14">
            <v>0</v>
          </cell>
          <cell r="FP14">
            <v>100</v>
          </cell>
          <cell r="FQ14">
            <v>400</v>
          </cell>
          <cell r="FR14">
            <v>600</v>
          </cell>
          <cell r="FS14">
            <v>300</v>
          </cell>
          <cell r="FT14">
            <v>1032</v>
          </cell>
          <cell r="FU14">
            <v>0</v>
          </cell>
          <cell r="FV14">
            <v>0</v>
          </cell>
          <cell r="FW14">
            <v>3032</v>
          </cell>
          <cell r="FZ14">
            <v>200</v>
          </cell>
          <cell r="GA14">
            <v>0</v>
          </cell>
          <cell r="GB14">
            <v>0</v>
          </cell>
          <cell r="GC14">
            <v>0</v>
          </cell>
          <cell r="GD14">
            <v>400</v>
          </cell>
          <cell r="GE14">
            <v>800</v>
          </cell>
          <cell r="GF14">
            <v>1400</v>
          </cell>
          <cell r="GG14">
            <v>600</v>
          </cell>
          <cell r="GH14">
            <v>1000</v>
          </cell>
          <cell r="GI14">
            <v>200</v>
          </cell>
          <cell r="GJ14">
            <v>200</v>
          </cell>
          <cell r="GK14">
            <v>700</v>
          </cell>
          <cell r="GL14">
            <v>1200</v>
          </cell>
          <cell r="GM14">
            <v>1000</v>
          </cell>
          <cell r="GN14">
            <v>3232</v>
          </cell>
          <cell r="GO14">
            <v>400</v>
          </cell>
          <cell r="GP14">
            <v>0</v>
          </cell>
          <cell r="GQ14">
            <v>11332</v>
          </cell>
          <cell r="GT14">
            <v>300</v>
          </cell>
          <cell r="GU14">
            <v>200</v>
          </cell>
          <cell r="GV14">
            <v>0</v>
          </cell>
          <cell r="GW14">
            <v>1200</v>
          </cell>
          <cell r="GX14">
            <v>200</v>
          </cell>
          <cell r="GY14">
            <v>0</v>
          </cell>
          <cell r="GZ14">
            <v>600</v>
          </cell>
          <cell r="HA14">
            <v>0</v>
          </cell>
          <cell r="HB14">
            <v>1000</v>
          </cell>
          <cell r="HC14">
            <v>0</v>
          </cell>
          <cell r="HD14">
            <v>100</v>
          </cell>
          <cell r="HE14">
            <v>0</v>
          </cell>
          <cell r="HF14">
            <v>400</v>
          </cell>
          <cell r="HG14">
            <v>800</v>
          </cell>
          <cell r="HH14">
            <v>2532</v>
          </cell>
          <cell r="HI14">
            <v>0</v>
          </cell>
          <cell r="HJ14">
            <v>0</v>
          </cell>
          <cell r="HK14">
            <v>7332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300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1000</v>
          </cell>
          <cell r="IA14">
            <v>0</v>
          </cell>
          <cell r="IB14">
            <v>2048</v>
          </cell>
          <cell r="IC14">
            <v>0</v>
          </cell>
          <cell r="ID14">
            <v>0</v>
          </cell>
          <cell r="IE14">
            <v>3348</v>
          </cell>
          <cell r="IH14">
            <v>250</v>
          </cell>
          <cell r="II14">
            <v>500</v>
          </cell>
          <cell r="IJ14">
            <v>0</v>
          </cell>
          <cell r="IK14">
            <v>500</v>
          </cell>
          <cell r="IL14">
            <v>800</v>
          </cell>
          <cell r="IM14">
            <v>600</v>
          </cell>
          <cell r="IN14">
            <v>600</v>
          </cell>
          <cell r="IO14">
            <v>800</v>
          </cell>
          <cell r="IP14">
            <v>400</v>
          </cell>
          <cell r="IQ14">
            <v>600</v>
          </cell>
          <cell r="IR14">
            <v>400</v>
          </cell>
          <cell r="IS14">
            <v>1000</v>
          </cell>
          <cell r="IT14">
            <v>1700</v>
          </cell>
          <cell r="IU14">
            <v>2200</v>
          </cell>
          <cell r="IV14">
            <v>3216</v>
          </cell>
          <cell r="IW14">
            <v>400</v>
          </cell>
          <cell r="IX14">
            <v>0</v>
          </cell>
          <cell r="IY14">
            <v>13966</v>
          </cell>
          <cell r="JB14">
            <v>200</v>
          </cell>
          <cell r="JC14">
            <v>200</v>
          </cell>
          <cell r="JD14">
            <v>0</v>
          </cell>
          <cell r="JE14">
            <v>200</v>
          </cell>
          <cell r="JF14">
            <v>600</v>
          </cell>
          <cell r="JG14">
            <v>0</v>
          </cell>
          <cell r="JH14">
            <v>200</v>
          </cell>
          <cell r="JI14">
            <v>0</v>
          </cell>
          <cell r="JJ14">
            <v>200</v>
          </cell>
          <cell r="JK14">
            <v>0</v>
          </cell>
          <cell r="JL14">
            <v>600</v>
          </cell>
          <cell r="JM14">
            <v>200</v>
          </cell>
          <cell r="JN14">
            <v>500</v>
          </cell>
          <cell r="JO14">
            <v>800</v>
          </cell>
          <cell r="JP14">
            <v>3868</v>
          </cell>
          <cell r="JQ14">
            <v>0</v>
          </cell>
          <cell r="JR14">
            <v>220</v>
          </cell>
          <cell r="JS14">
            <v>7788</v>
          </cell>
          <cell r="JV14">
            <v>400</v>
          </cell>
          <cell r="JW14">
            <v>800</v>
          </cell>
          <cell r="JX14">
            <v>0</v>
          </cell>
          <cell r="JY14">
            <v>600</v>
          </cell>
          <cell r="JZ14">
            <v>900</v>
          </cell>
          <cell r="KA14">
            <v>1600</v>
          </cell>
          <cell r="KB14">
            <v>1000</v>
          </cell>
          <cell r="KC14">
            <v>1600</v>
          </cell>
          <cell r="KD14">
            <v>1200</v>
          </cell>
          <cell r="KE14">
            <v>1000</v>
          </cell>
          <cell r="KF14">
            <v>400</v>
          </cell>
          <cell r="KG14">
            <v>1400</v>
          </cell>
          <cell r="KH14">
            <v>1300</v>
          </cell>
          <cell r="KI14">
            <v>700</v>
          </cell>
          <cell r="KJ14">
            <v>6508</v>
          </cell>
          <cell r="KK14">
            <v>600</v>
          </cell>
          <cell r="KL14">
            <v>0</v>
          </cell>
          <cell r="KM14">
            <v>20008</v>
          </cell>
          <cell r="KP14">
            <v>500</v>
          </cell>
          <cell r="KQ14">
            <v>200</v>
          </cell>
          <cell r="KR14">
            <v>0</v>
          </cell>
          <cell r="KS14">
            <v>1200</v>
          </cell>
          <cell r="KT14">
            <v>600</v>
          </cell>
          <cell r="KU14">
            <v>1100</v>
          </cell>
          <cell r="KV14">
            <v>2000</v>
          </cell>
          <cell r="KW14">
            <v>600</v>
          </cell>
          <cell r="KX14">
            <v>2000</v>
          </cell>
          <cell r="KY14">
            <v>200</v>
          </cell>
          <cell r="KZ14">
            <v>300</v>
          </cell>
          <cell r="LA14">
            <v>700</v>
          </cell>
          <cell r="LB14">
            <v>2600</v>
          </cell>
          <cell r="LC14">
            <v>1800</v>
          </cell>
          <cell r="LD14">
            <v>7812</v>
          </cell>
          <cell r="LE14">
            <v>400</v>
          </cell>
          <cell r="LF14">
            <v>0</v>
          </cell>
          <cell r="LG14">
            <v>22012</v>
          </cell>
          <cell r="LJ14">
            <v>450</v>
          </cell>
          <cell r="LK14">
            <v>700</v>
          </cell>
          <cell r="LL14">
            <v>0</v>
          </cell>
          <cell r="LM14">
            <v>700</v>
          </cell>
          <cell r="LN14">
            <v>1400</v>
          </cell>
          <cell r="LO14">
            <v>600</v>
          </cell>
          <cell r="LP14">
            <v>800</v>
          </cell>
          <cell r="LQ14">
            <v>800</v>
          </cell>
          <cell r="LR14">
            <v>600</v>
          </cell>
          <cell r="LS14">
            <v>600</v>
          </cell>
          <cell r="LT14">
            <v>1000</v>
          </cell>
          <cell r="LU14">
            <v>1200</v>
          </cell>
          <cell r="LV14">
            <v>2200</v>
          </cell>
          <cell r="LW14">
            <v>3000</v>
          </cell>
          <cell r="LX14">
            <v>7084</v>
          </cell>
          <cell r="LY14">
            <v>400</v>
          </cell>
          <cell r="LZ14">
            <v>220</v>
          </cell>
          <cell r="MA14">
            <v>21534</v>
          </cell>
          <cell r="MD14">
            <v>900</v>
          </cell>
          <cell r="ME14">
            <v>1000</v>
          </cell>
          <cell r="MF14">
            <v>0</v>
          </cell>
          <cell r="MG14">
            <v>1800</v>
          </cell>
          <cell r="MH14">
            <v>1500</v>
          </cell>
          <cell r="MI14">
            <v>2700</v>
          </cell>
          <cell r="MJ14">
            <v>3000</v>
          </cell>
          <cell r="MK14">
            <v>2200</v>
          </cell>
          <cell r="ML14">
            <v>3200</v>
          </cell>
          <cell r="MM14">
            <v>1200</v>
          </cell>
          <cell r="MN14">
            <v>700</v>
          </cell>
          <cell r="MO14">
            <v>2100</v>
          </cell>
          <cell r="MP14">
            <v>3900</v>
          </cell>
          <cell r="MQ14">
            <v>2500</v>
          </cell>
          <cell r="MR14">
            <v>14320</v>
          </cell>
          <cell r="MS14">
            <v>1000</v>
          </cell>
          <cell r="MT14">
            <v>0</v>
          </cell>
          <cell r="MU14">
            <v>42020</v>
          </cell>
          <cell r="MX14">
            <v>1350</v>
          </cell>
          <cell r="MY14">
            <v>1700</v>
          </cell>
          <cell r="MZ14">
            <v>0</v>
          </cell>
          <cell r="NA14">
            <v>2500</v>
          </cell>
          <cell r="NB14">
            <v>2900</v>
          </cell>
          <cell r="NC14">
            <v>3300</v>
          </cell>
          <cell r="ND14">
            <v>3800</v>
          </cell>
          <cell r="NE14">
            <v>3000</v>
          </cell>
          <cell r="NF14">
            <v>3800</v>
          </cell>
          <cell r="NG14">
            <v>1800</v>
          </cell>
          <cell r="NH14">
            <v>1700</v>
          </cell>
          <cell r="NI14">
            <v>3300</v>
          </cell>
          <cell r="NJ14">
            <v>6100</v>
          </cell>
          <cell r="NK14">
            <v>5500</v>
          </cell>
          <cell r="NL14">
            <v>21404</v>
          </cell>
          <cell r="NM14">
            <v>1400</v>
          </cell>
          <cell r="NN14">
            <v>220</v>
          </cell>
          <cell r="NO14">
            <v>63774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200</v>
          </cell>
          <cell r="G15">
            <v>0</v>
          </cell>
          <cell r="H15">
            <v>0</v>
          </cell>
          <cell r="I15">
            <v>200</v>
          </cell>
          <cell r="J15">
            <v>250</v>
          </cell>
          <cell r="K15">
            <v>0</v>
          </cell>
          <cell r="L15">
            <v>0</v>
          </cell>
          <cell r="M15">
            <v>300</v>
          </cell>
          <cell r="N15">
            <v>500</v>
          </cell>
          <cell r="O15">
            <v>0</v>
          </cell>
          <cell r="P15">
            <v>502</v>
          </cell>
          <cell r="Q15">
            <v>0</v>
          </cell>
          <cell r="R15">
            <v>0</v>
          </cell>
          <cell r="S15">
            <v>1952</v>
          </cell>
          <cell r="V15">
            <v>15</v>
          </cell>
          <cell r="W15">
            <v>200</v>
          </cell>
          <cell r="X15">
            <v>100</v>
          </cell>
          <cell r="Y15">
            <v>100</v>
          </cell>
          <cell r="Z15">
            <v>0</v>
          </cell>
          <cell r="AA15">
            <v>200</v>
          </cell>
          <cell r="AB15">
            <v>600</v>
          </cell>
          <cell r="AC15">
            <v>0</v>
          </cell>
          <cell r="AD15">
            <v>0</v>
          </cell>
          <cell r="AE15">
            <v>200</v>
          </cell>
          <cell r="AF15">
            <v>150</v>
          </cell>
          <cell r="AG15">
            <v>300</v>
          </cell>
          <cell r="AH15">
            <v>700</v>
          </cell>
          <cell r="AI15">
            <v>200</v>
          </cell>
          <cell r="AJ15">
            <v>750</v>
          </cell>
          <cell r="AK15">
            <v>200</v>
          </cell>
          <cell r="AL15">
            <v>0</v>
          </cell>
          <cell r="AM15">
            <v>3715</v>
          </cell>
          <cell r="AP15">
            <v>200</v>
          </cell>
          <cell r="AQ15">
            <v>0</v>
          </cell>
          <cell r="AR15">
            <v>0</v>
          </cell>
          <cell r="AS15">
            <v>240</v>
          </cell>
          <cell r="AT15">
            <v>300</v>
          </cell>
          <cell r="AU15">
            <v>200</v>
          </cell>
          <cell r="AV15">
            <v>200</v>
          </cell>
          <cell r="AW15">
            <v>150</v>
          </cell>
          <cell r="AX15">
            <v>300</v>
          </cell>
          <cell r="AY15">
            <v>0</v>
          </cell>
          <cell r="AZ15">
            <v>300</v>
          </cell>
          <cell r="BA15">
            <v>0</v>
          </cell>
          <cell r="BB15">
            <v>0</v>
          </cell>
          <cell r="BC15">
            <v>100</v>
          </cell>
          <cell r="BD15">
            <v>1971</v>
          </cell>
          <cell r="BE15">
            <v>200</v>
          </cell>
          <cell r="BF15">
            <v>0</v>
          </cell>
          <cell r="BG15">
            <v>4161</v>
          </cell>
          <cell r="BJ15">
            <v>200</v>
          </cell>
          <cell r="BK15">
            <v>0</v>
          </cell>
          <cell r="BL15">
            <v>0</v>
          </cell>
          <cell r="BM15">
            <v>300</v>
          </cell>
          <cell r="BN15">
            <v>0</v>
          </cell>
          <cell r="BO15">
            <v>0</v>
          </cell>
          <cell r="BP15">
            <v>0</v>
          </cell>
          <cell r="BQ15">
            <v>150</v>
          </cell>
          <cell r="BR15">
            <v>0</v>
          </cell>
          <cell r="BS15">
            <v>0</v>
          </cell>
          <cell r="BT15">
            <v>0</v>
          </cell>
          <cell r="BU15">
            <v>100</v>
          </cell>
          <cell r="BV15">
            <v>100</v>
          </cell>
          <cell r="BW15">
            <v>200</v>
          </cell>
          <cell r="BX15">
            <v>1700</v>
          </cell>
          <cell r="BY15">
            <v>0</v>
          </cell>
          <cell r="BZ15">
            <v>0</v>
          </cell>
          <cell r="CA15">
            <v>2750</v>
          </cell>
          <cell r="CD15">
            <v>100</v>
          </cell>
          <cell r="CE15">
            <v>100</v>
          </cell>
          <cell r="CF15">
            <v>130</v>
          </cell>
          <cell r="CG15">
            <v>200</v>
          </cell>
          <cell r="CH15">
            <v>150</v>
          </cell>
          <cell r="CI15">
            <v>100</v>
          </cell>
          <cell r="CJ15">
            <v>0</v>
          </cell>
          <cell r="CK15">
            <v>50</v>
          </cell>
          <cell r="CL15">
            <v>200</v>
          </cell>
          <cell r="CM15">
            <v>100</v>
          </cell>
          <cell r="CN15">
            <v>100</v>
          </cell>
          <cell r="CO15">
            <v>100</v>
          </cell>
          <cell r="CP15">
            <v>100</v>
          </cell>
          <cell r="CQ15">
            <v>300</v>
          </cell>
          <cell r="CR15">
            <v>1442</v>
          </cell>
          <cell r="CS15">
            <v>0</v>
          </cell>
          <cell r="CT15">
            <v>60</v>
          </cell>
          <cell r="CU15">
            <v>3232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100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100</v>
          </cell>
          <cell r="DI15">
            <v>0</v>
          </cell>
          <cell r="DJ15">
            <v>0</v>
          </cell>
          <cell r="DK15">
            <v>100</v>
          </cell>
          <cell r="DL15">
            <v>892</v>
          </cell>
          <cell r="DM15">
            <v>0</v>
          </cell>
          <cell r="DN15">
            <v>0</v>
          </cell>
          <cell r="DO15">
            <v>1192</v>
          </cell>
          <cell r="DR15">
            <v>0</v>
          </cell>
          <cell r="DS15">
            <v>100</v>
          </cell>
          <cell r="DT15">
            <v>0</v>
          </cell>
          <cell r="DU15">
            <v>0</v>
          </cell>
          <cell r="DV15">
            <v>200</v>
          </cell>
          <cell r="DW15">
            <v>300</v>
          </cell>
          <cell r="DX15">
            <v>100</v>
          </cell>
          <cell r="DY15">
            <v>100</v>
          </cell>
          <cell r="DZ15">
            <v>100</v>
          </cell>
          <cell r="EA15">
            <v>100</v>
          </cell>
          <cell r="EB15">
            <v>0</v>
          </cell>
          <cell r="EC15">
            <v>200</v>
          </cell>
          <cell r="ED15">
            <v>100</v>
          </cell>
          <cell r="EE15">
            <v>100</v>
          </cell>
          <cell r="EF15">
            <v>1508</v>
          </cell>
          <cell r="EG15">
            <v>200</v>
          </cell>
          <cell r="EH15">
            <v>0</v>
          </cell>
          <cell r="EI15">
            <v>3108</v>
          </cell>
          <cell r="EL15">
            <v>0</v>
          </cell>
          <cell r="EM15">
            <v>100</v>
          </cell>
          <cell r="EN15">
            <v>0</v>
          </cell>
          <cell r="EO15">
            <v>400</v>
          </cell>
          <cell r="EP15">
            <v>200</v>
          </cell>
          <cell r="EQ15">
            <v>200</v>
          </cell>
          <cell r="ER15">
            <v>0</v>
          </cell>
          <cell r="ES15">
            <v>0</v>
          </cell>
          <cell r="ET15">
            <v>300</v>
          </cell>
          <cell r="EU15">
            <v>300</v>
          </cell>
          <cell r="EV15">
            <v>150</v>
          </cell>
          <cell r="EW15">
            <v>100</v>
          </cell>
          <cell r="EX15">
            <v>200</v>
          </cell>
          <cell r="EY15">
            <v>100</v>
          </cell>
          <cell r="EZ15">
            <v>1630</v>
          </cell>
          <cell r="FA15">
            <v>100</v>
          </cell>
          <cell r="FB15">
            <v>0</v>
          </cell>
          <cell r="FC15">
            <v>3780</v>
          </cell>
          <cell r="FF15">
            <v>0</v>
          </cell>
          <cell r="FG15">
            <v>100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200</v>
          </cell>
          <cell r="FM15">
            <v>100</v>
          </cell>
          <cell r="FN15">
            <v>0</v>
          </cell>
          <cell r="FO15">
            <v>0</v>
          </cell>
          <cell r="FP15">
            <v>50</v>
          </cell>
          <cell r="FQ15">
            <v>100</v>
          </cell>
          <cell r="FR15">
            <v>200</v>
          </cell>
          <cell r="FS15">
            <v>150</v>
          </cell>
          <cell r="FT15">
            <v>966</v>
          </cell>
          <cell r="FU15">
            <v>0</v>
          </cell>
          <cell r="FV15">
            <v>0</v>
          </cell>
          <cell r="FW15">
            <v>1866</v>
          </cell>
          <cell r="FZ15">
            <v>0</v>
          </cell>
          <cell r="GA15">
            <v>100</v>
          </cell>
          <cell r="GB15">
            <v>0</v>
          </cell>
          <cell r="GC15">
            <v>0</v>
          </cell>
          <cell r="GD15">
            <v>150</v>
          </cell>
          <cell r="GE15">
            <v>100</v>
          </cell>
          <cell r="GF15">
            <v>200</v>
          </cell>
          <cell r="GG15">
            <v>100</v>
          </cell>
          <cell r="GH15">
            <v>300</v>
          </cell>
          <cell r="GI15">
            <v>100</v>
          </cell>
          <cell r="GJ15">
            <v>100</v>
          </cell>
          <cell r="GK15">
            <v>250</v>
          </cell>
          <cell r="GL15">
            <v>300</v>
          </cell>
          <cell r="GM15">
            <v>200</v>
          </cell>
          <cell r="GN15">
            <v>1028</v>
          </cell>
          <cell r="GO15">
            <v>0</v>
          </cell>
          <cell r="GP15">
            <v>0</v>
          </cell>
          <cell r="GQ15">
            <v>2928</v>
          </cell>
          <cell r="GT15">
            <v>150</v>
          </cell>
          <cell r="GU15">
            <v>150</v>
          </cell>
          <cell r="GV15">
            <v>50</v>
          </cell>
          <cell r="GW15">
            <v>300</v>
          </cell>
          <cell r="GX15">
            <v>0</v>
          </cell>
          <cell r="GY15">
            <v>200</v>
          </cell>
          <cell r="GZ15">
            <v>300</v>
          </cell>
          <cell r="HA15">
            <v>200</v>
          </cell>
          <cell r="HB15">
            <v>200</v>
          </cell>
          <cell r="HC15">
            <v>0</v>
          </cell>
          <cell r="HD15">
            <v>50</v>
          </cell>
          <cell r="HE15">
            <v>0</v>
          </cell>
          <cell r="HF15">
            <v>200</v>
          </cell>
          <cell r="HG15">
            <v>400</v>
          </cell>
          <cell r="HH15">
            <v>686</v>
          </cell>
          <cell r="HI15">
            <v>150</v>
          </cell>
          <cell r="HJ15">
            <v>0</v>
          </cell>
          <cell r="HK15">
            <v>3036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200</v>
          </cell>
          <cell r="HS15">
            <v>100</v>
          </cell>
          <cell r="HT15">
            <v>0</v>
          </cell>
          <cell r="HU15">
            <v>0</v>
          </cell>
          <cell r="HV15">
            <v>150</v>
          </cell>
          <cell r="HW15">
            <v>0</v>
          </cell>
          <cell r="HX15">
            <v>0</v>
          </cell>
          <cell r="HY15">
            <v>0</v>
          </cell>
          <cell r="HZ15">
            <v>350</v>
          </cell>
          <cell r="IA15">
            <v>0</v>
          </cell>
          <cell r="IB15">
            <v>824</v>
          </cell>
          <cell r="IC15">
            <v>0</v>
          </cell>
          <cell r="ID15">
            <v>0</v>
          </cell>
          <cell r="IE15">
            <v>1624</v>
          </cell>
          <cell r="IH15">
            <v>215</v>
          </cell>
          <cell r="II15">
            <v>200</v>
          </cell>
          <cell r="IJ15">
            <v>100</v>
          </cell>
          <cell r="IK15">
            <v>340</v>
          </cell>
          <cell r="IL15">
            <v>500</v>
          </cell>
          <cell r="IM15">
            <v>400</v>
          </cell>
          <cell r="IN15">
            <v>800</v>
          </cell>
          <cell r="IO15">
            <v>350</v>
          </cell>
          <cell r="IP15">
            <v>550</v>
          </cell>
          <cell r="IQ15">
            <v>200</v>
          </cell>
          <cell r="IR15">
            <v>450</v>
          </cell>
          <cell r="IS15">
            <v>600</v>
          </cell>
          <cell r="IT15">
            <v>1200</v>
          </cell>
          <cell r="IU15">
            <v>300</v>
          </cell>
          <cell r="IV15">
            <v>3223</v>
          </cell>
          <cell r="IW15">
            <v>400</v>
          </cell>
          <cell r="IX15">
            <v>0</v>
          </cell>
          <cell r="IY15">
            <v>9828</v>
          </cell>
          <cell r="JB15">
            <v>300</v>
          </cell>
          <cell r="JC15">
            <v>100</v>
          </cell>
          <cell r="JD15">
            <v>130</v>
          </cell>
          <cell r="JE15">
            <v>500</v>
          </cell>
          <cell r="JF15">
            <v>250</v>
          </cell>
          <cell r="JG15">
            <v>100</v>
          </cell>
          <cell r="JH15">
            <v>0</v>
          </cell>
          <cell r="JI15">
            <v>200</v>
          </cell>
          <cell r="JJ15">
            <v>200</v>
          </cell>
          <cell r="JK15">
            <v>100</v>
          </cell>
          <cell r="JL15">
            <v>200</v>
          </cell>
          <cell r="JM15">
            <v>200</v>
          </cell>
          <cell r="JN15">
            <v>200</v>
          </cell>
          <cell r="JO15">
            <v>600</v>
          </cell>
          <cell r="JP15">
            <v>4034</v>
          </cell>
          <cell r="JQ15">
            <v>0</v>
          </cell>
          <cell r="JR15">
            <v>60</v>
          </cell>
          <cell r="JS15">
            <v>7174</v>
          </cell>
          <cell r="JV15">
            <v>0</v>
          </cell>
          <cell r="JW15">
            <v>300</v>
          </cell>
          <cell r="JX15">
            <v>0</v>
          </cell>
          <cell r="JY15">
            <v>400</v>
          </cell>
          <cell r="JZ15">
            <v>400</v>
          </cell>
          <cell r="KA15">
            <v>500</v>
          </cell>
          <cell r="KB15">
            <v>300</v>
          </cell>
          <cell r="KC15">
            <v>200</v>
          </cell>
          <cell r="KD15">
            <v>400</v>
          </cell>
          <cell r="KE15">
            <v>400</v>
          </cell>
          <cell r="KF15">
            <v>200</v>
          </cell>
          <cell r="KG15">
            <v>400</v>
          </cell>
          <cell r="KH15">
            <v>500</v>
          </cell>
          <cell r="KI15">
            <v>350</v>
          </cell>
          <cell r="KJ15">
            <v>4104</v>
          </cell>
          <cell r="KK15">
            <v>300</v>
          </cell>
          <cell r="KL15">
            <v>0</v>
          </cell>
          <cell r="KM15">
            <v>8754</v>
          </cell>
          <cell r="KP15">
            <v>150</v>
          </cell>
          <cell r="KQ15">
            <v>250</v>
          </cell>
          <cell r="KR15">
            <v>50</v>
          </cell>
          <cell r="KS15">
            <v>300</v>
          </cell>
          <cell r="KT15">
            <v>350</v>
          </cell>
          <cell r="KU15">
            <v>400</v>
          </cell>
          <cell r="KV15">
            <v>500</v>
          </cell>
          <cell r="KW15">
            <v>300</v>
          </cell>
          <cell r="KX15">
            <v>650</v>
          </cell>
          <cell r="KY15">
            <v>100</v>
          </cell>
          <cell r="KZ15">
            <v>150</v>
          </cell>
          <cell r="LA15">
            <v>250</v>
          </cell>
          <cell r="LB15">
            <v>850</v>
          </cell>
          <cell r="LC15">
            <v>600</v>
          </cell>
          <cell r="LD15">
            <v>2538</v>
          </cell>
          <cell r="LE15">
            <v>150</v>
          </cell>
          <cell r="LF15">
            <v>0</v>
          </cell>
          <cell r="LG15">
            <v>7588</v>
          </cell>
          <cell r="LJ15">
            <v>515</v>
          </cell>
          <cell r="LK15">
            <v>300</v>
          </cell>
          <cell r="LL15">
            <v>230</v>
          </cell>
          <cell r="LM15">
            <v>840</v>
          </cell>
          <cell r="LN15">
            <v>750</v>
          </cell>
          <cell r="LO15">
            <v>500</v>
          </cell>
          <cell r="LP15">
            <v>800</v>
          </cell>
          <cell r="LQ15">
            <v>550</v>
          </cell>
          <cell r="LR15">
            <v>750</v>
          </cell>
          <cell r="LS15">
            <v>300</v>
          </cell>
          <cell r="LT15">
            <v>650</v>
          </cell>
          <cell r="LU15">
            <v>800</v>
          </cell>
          <cell r="LV15">
            <v>1400</v>
          </cell>
          <cell r="LW15">
            <v>900</v>
          </cell>
          <cell r="LX15">
            <v>7257</v>
          </cell>
          <cell r="LY15">
            <v>400</v>
          </cell>
          <cell r="LZ15">
            <v>60</v>
          </cell>
          <cell r="MA15">
            <v>16942</v>
          </cell>
          <cell r="MD15">
            <v>150</v>
          </cell>
          <cell r="ME15">
            <v>550</v>
          </cell>
          <cell r="MF15">
            <v>50</v>
          </cell>
          <cell r="MG15">
            <v>700</v>
          </cell>
          <cell r="MH15">
            <v>750</v>
          </cell>
          <cell r="MI15">
            <v>900</v>
          </cell>
          <cell r="MJ15">
            <v>800</v>
          </cell>
          <cell r="MK15">
            <v>500</v>
          </cell>
          <cell r="ML15">
            <v>1050</v>
          </cell>
          <cell r="MM15">
            <v>500</v>
          </cell>
          <cell r="MN15">
            <v>350</v>
          </cell>
          <cell r="MO15">
            <v>650</v>
          </cell>
          <cell r="MP15">
            <v>1350</v>
          </cell>
          <cell r="MQ15">
            <v>950</v>
          </cell>
          <cell r="MR15">
            <v>6642</v>
          </cell>
          <cell r="MS15">
            <v>450</v>
          </cell>
          <cell r="MT15">
            <v>0</v>
          </cell>
          <cell r="MU15">
            <v>16342</v>
          </cell>
          <cell r="MX15">
            <v>665</v>
          </cell>
          <cell r="MY15">
            <v>850</v>
          </cell>
          <cell r="MZ15">
            <v>280</v>
          </cell>
          <cell r="NA15">
            <v>1540</v>
          </cell>
          <cell r="NB15">
            <v>1500</v>
          </cell>
          <cell r="NC15">
            <v>1400</v>
          </cell>
          <cell r="ND15">
            <v>1600</v>
          </cell>
          <cell r="NE15">
            <v>1050</v>
          </cell>
          <cell r="NF15">
            <v>1800</v>
          </cell>
          <cell r="NG15">
            <v>800</v>
          </cell>
          <cell r="NH15">
            <v>1000</v>
          </cell>
          <cell r="NI15">
            <v>1450</v>
          </cell>
          <cell r="NJ15">
            <v>2750</v>
          </cell>
          <cell r="NK15">
            <v>1850</v>
          </cell>
          <cell r="NL15">
            <v>13899</v>
          </cell>
          <cell r="NM15">
            <v>850</v>
          </cell>
          <cell r="NN15">
            <v>60</v>
          </cell>
          <cell r="NO15">
            <v>33344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10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10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100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100</v>
          </cell>
          <cell r="EL16">
            <v>0</v>
          </cell>
          <cell r="EM16">
            <v>0</v>
          </cell>
          <cell r="EN16">
            <v>0</v>
          </cell>
          <cell r="EO16">
            <v>50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50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200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50</v>
          </cell>
          <cell r="FU16">
            <v>0</v>
          </cell>
          <cell r="FV16">
            <v>0</v>
          </cell>
          <cell r="FW16">
            <v>250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200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200</v>
          </cell>
          <cell r="GT16">
            <v>0</v>
          </cell>
          <cell r="GU16">
            <v>0</v>
          </cell>
          <cell r="GV16">
            <v>0</v>
          </cell>
          <cell r="GW16">
            <v>100</v>
          </cell>
          <cell r="GX16">
            <v>0</v>
          </cell>
          <cell r="GY16">
            <v>0</v>
          </cell>
          <cell r="GZ16">
            <v>300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400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10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10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50</v>
          </cell>
          <cell r="JZ16">
            <v>0</v>
          </cell>
          <cell r="KA16">
            <v>0</v>
          </cell>
          <cell r="KB16">
            <v>300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50</v>
          </cell>
          <cell r="KK16">
            <v>0</v>
          </cell>
          <cell r="KL16">
            <v>0</v>
          </cell>
          <cell r="KM16">
            <v>400</v>
          </cell>
          <cell r="KP16">
            <v>0</v>
          </cell>
          <cell r="KQ16">
            <v>0</v>
          </cell>
          <cell r="KR16">
            <v>0</v>
          </cell>
          <cell r="KS16">
            <v>100</v>
          </cell>
          <cell r="KT16">
            <v>0</v>
          </cell>
          <cell r="KU16">
            <v>0</v>
          </cell>
          <cell r="KV16">
            <v>500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600</v>
          </cell>
          <cell r="LJ16">
            <v>0</v>
          </cell>
          <cell r="LK16">
            <v>0</v>
          </cell>
          <cell r="LL16">
            <v>0</v>
          </cell>
          <cell r="LM16">
            <v>10</v>
          </cell>
          <cell r="LN16">
            <v>0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0</v>
          </cell>
          <cell r="LX16">
            <v>0</v>
          </cell>
          <cell r="LY16">
            <v>0</v>
          </cell>
          <cell r="LZ16">
            <v>0</v>
          </cell>
          <cell r="MA16">
            <v>10</v>
          </cell>
          <cell r="MD16">
            <v>0</v>
          </cell>
          <cell r="ME16">
            <v>0</v>
          </cell>
          <cell r="MF16">
            <v>0</v>
          </cell>
          <cell r="MG16">
            <v>150</v>
          </cell>
          <cell r="MH16">
            <v>0</v>
          </cell>
          <cell r="MI16">
            <v>0</v>
          </cell>
          <cell r="MJ16">
            <v>800</v>
          </cell>
          <cell r="MK16">
            <v>0</v>
          </cell>
          <cell r="ML16">
            <v>0</v>
          </cell>
          <cell r="MM16">
            <v>0</v>
          </cell>
          <cell r="MN16">
            <v>0</v>
          </cell>
          <cell r="MO16">
            <v>0</v>
          </cell>
          <cell r="MP16">
            <v>0</v>
          </cell>
          <cell r="MQ16">
            <v>0</v>
          </cell>
          <cell r="MR16">
            <v>50</v>
          </cell>
          <cell r="MS16">
            <v>0</v>
          </cell>
          <cell r="MT16">
            <v>0</v>
          </cell>
          <cell r="MU16">
            <v>1000</v>
          </cell>
          <cell r="MX16">
            <v>0</v>
          </cell>
          <cell r="MY16">
            <v>0</v>
          </cell>
          <cell r="MZ16">
            <v>0</v>
          </cell>
          <cell r="NA16">
            <v>160</v>
          </cell>
          <cell r="NB16">
            <v>0</v>
          </cell>
          <cell r="NC16">
            <v>0</v>
          </cell>
          <cell r="ND16">
            <v>800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50</v>
          </cell>
          <cell r="NM16">
            <v>0</v>
          </cell>
          <cell r="NN16">
            <v>0</v>
          </cell>
          <cell r="NO16">
            <v>1010</v>
          </cell>
        </row>
        <row r="17">
          <cell r="B17">
            <v>0</v>
          </cell>
          <cell r="C17">
            <v>300</v>
          </cell>
          <cell r="D17">
            <v>0</v>
          </cell>
          <cell r="E17">
            <v>0</v>
          </cell>
          <cell r="F17">
            <v>3300</v>
          </cell>
          <cell r="G17">
            <v>0</v>
          </cell>
          <cell r="H17">
            <v>0</v>
          </cell>
          <cell r="I17">
            <v>15200</v>
          </cell>
          <cell r="J17">
            <v>875</v>
          </cell>
          <cell r="K17">
            <v>0</v>
          </cell>
          <cell r="L17">
            <v>0</v>
          </cell>
          <cell r="M17">
            <v>2050</v>
          </cell>
          <cell r="N17">
            <v>4650</v>
          </cell>
          <cell r="O17">
            <v>1600</v>
          </cell>
          <cell r="P17">
            <v>21810</v>
          </cell>
          <cell r="Q17">
            <v>0</v>
          </cell>
          <cell r="R17">
            <v>0</v>
          </cell>
          <cell r="S17">
            <v>49785</v>
          </cell>
          <cell r="V17">
            <v>940</v>
          </cell>
          <cell r="W17">
            <v>2150</v>
          </cell>
          <cell r="X17">
            <v>100</v>
          </cell>
          <cell r="Y17">
            <v>300</v>
          </cell>
          <cell r="Z17">
            <v>0</v>
          </cell>
          <cell r="AA17">
            <v>2350</v>
          </cell>
          <cell r="AB17">
            <v>6950</v>
          </cell>
          <cell r="AC17">
            <v>800</v>
          </cell>
          <cell r="AD17">
            <v>2150</v>
          </cell>
          <cell r="AE17">
            <v>3175</v>
          </cell>
          <cell r="AF17">
            <v>2925</v>
          </cell>
          <cell r="AG17">
            <v>5550</v>
          </cell>
          <cell r="AH17">
            <v>7250</v>
          </cell>
          <cell r="AI17">
            <v>800</v>
          </cell>
          <cell r="AJ17">
            <v>21155</v>
          </cell>
          <cell r="AK17">
            <v>2850</v>
          </cell>
          <cell r="AL17">
            <v>750</v>
          </cell>
          <cell r="AM17">
            <v>60195</v>
          </cell>
          <cell r="AP17">
            <v>3200</v>
          </cell>
          <cell r="AQ17">
            <v>0</v>
          </cell>
          <cell r="AR17">
            <v>-4000</v>
          </cell>
          <cell r="AS17">
            <v>550</v>
          </cell>
          <cell r="AT17">
            <v>5250</v>
          </cell>
          <cell r="AU17">
            <v>2400</v>
          </cell>
          <cell r="AV17">
            <v>1700</v>
          </cell>
          <cell r="AW17">
            <v>150</v>
          </cell>
          <cell r="AX17">
            <v>1675</v>
          </cell>
          <cell r="AY17">
            <v>0</v>
          </cell>
          <cell r="AZ17">
            <v>2550</v>
          </cell>
          <cell r="BA17">
            <v>2500</v>
          </cell>
          <cell r="BB17">
            <v>6250</v>
          </cell>
          <cell r="BC17">
            <v>1350</v>
          </cell>
          <cell r="BD17">
            <v>33804</v>
          </cell>
          <cell r="BE17">
            <v>2950</v>
          </cell>
          <cell r="BF17">
            <v>0</v>
          </cell>
          <cell r="BG17">
            <v>60329</v>
          </cell>
          <cell r="BJ17">
            <v>950</v>
          </cell>
          <cell r="BK17">
            <v>0</v>
          </cell>
          <cell r="BL17">
            <v>0</v>
          </cell>
          <cell r="BM17">
            <v>-12200</v>
          </cell>
          <cell r="BN17">
            <v>0</v>
          </cell>
          <cell r="BO17">
            <v>0</v>
          </cell>
          <cell r="BP17">
            <v>0</v>
          </cell>
          <cell r="BQ17">
            <v>650</v>
          </cell>
          <cell r="BR17">
            <v>0</v>
          </cell>
          <cell r="BS17">
            <v>0</v>
          </cell>
          <cell r="BT17">
            <v>0</v>
          </cell>
          <cell r="BU17">
            <v>850</v>
          </cell>
          <cell r="BV17">
            <v>2850</v>
          </cell>
          <cell r="BW17">
            <v>4700</v>
          </cell>
          <cell r="BX17">
            <v>32954</v>
          </cell>
          <cell r="BY17">
            <v>0</v>
          </cell>
          <cell r="BZ17">
            <v>0</v>
          </cell>
          <cell r="CA17">
            <v>30754</v>
          </cell>
          <cell r="CD17">
            <v>2050</v>
          </cell>
          <cell r="CE17">
            <v>3675</v>
          </cell>
          <cell r="CF17">
            <v>130</v>
          </cell>
          <cell r="CG17">
            <v>400</v>
          </cell>
          <cell r="CH17">
            <v>5475</v>
          </cell>
          <cell r="CI17">
            <v>3100</v>
          </cell>
          <cell r="CJ17">
            <v>11700</v>
          </cell>
          <cell r="CK17">
            <v>1550</v>
          </cell>
          <cell r="CL17">
            <v>8775</v>
          </cell>
          <cell r="CM17">
            <v>2350</v>
          </cell>
          <cell r="CN17">
            <v>9700</v>
          </cell>
          <cell r="CO17">
            <v>4425</v>
          </cell>
          <cell r="CP17">
            <v>9275</v>
          </cell>
          <cell r="CQ17">
            <v>900</v>
          </cell>
          <cell r="CR17">
            <v>38452</v>
          </cell>
          <cell r="CS17">
            <v>0</v>
          </cell>
          <cell r="CT17">
            <v>655</v>
          </cell>
          <cell r="CU17">
            <v>102612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2750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2250</v>
          </cell>
          <cell r="DI17">
            <v>0</v>
          </cell>
          <cell r="DJ17">
            <v>700</v>
          </cell>
          <cell r="DK17">
            <v>300</v>
          </cell>
          <cell r="DL17">
            <v>22296</v>
          </cell>
          <cell r="DM17">
            <v>0</v>
          </cell>
          <cell r="DN17">
            <v>100</v>
          </cell>
          <cell r="DO17">
            <v>28396</v>
          </cell>
          <cell r="DR17">
            <v>4650</v>
          </cell>
          <cell r="DS17">
            <v>2575</v>
          </cell>
          <cell r="DT17">
            <v>0</v>
          </cell>
          <cell r="DU17">
            <v>0</v>
          </cell>
          <cell r="DV17">
            <v>800</v>
          </cell>
          <cell r="DW17">
            <v>9550</v>
          </cell>
          <cell r="DX17">
            <v>1800</v>
          </cell>
          <cell r="DY17">
            <v>4350</v>
          </cell>
          <cell r="DZ17">
            <v>6950</v>
          </cell>
          <cell r="EA17">
            <v>3575</v>
          </cell>
          <cell r="EB17">
            <v>0</v>
          </cell>
          <cell r="EC17">
            <v>2000</v>
          </cell>
          <cell r="ED17">
            <v>2900</v>
          </cell>
          <cell r="EE17">
            <v>300</v>
          </cell>
          <cell r="EF17">
            <v>37932.131999999998</v>
          </cell>
          <cell r="EG17">
            <v>3850</v>
          </cell>
          <cell r="EH17">
            <v>0</v>
          </cell>
          <cell r="EI17">
            <v>81232.131999999998</v>
          </cell>
          <cell r="EL17">
            <v>0</v>
          </cell>
          <cell r="EM17">
            <v>1300</v>
          </cell>
          <cell r="EN17">
            <v>0</v>
          </cell>
          <cell r="EO17">
            <v>1050</v>
          </cell>
          <cell r="EP17">
            <v>1250</v>
          </cell>
          <cell r="EQ17">
            <v>3050</v>
          </cell>
          <cell r="ER17">
            <v>3525</v>
          </cell>
          <cell r="ES17">
            <v>4000</v>
          </cell>
          <cell r="ET17">
            <v>7025</v>
          </cell>
          <cell r="EU17">
            <v>1700</v>
          </cell>
          <cell r="EV17">
            <v>3325</v>
          </cell>
          <cell r="EW17">
            <v>6550</v>
          </cell>
          <cell r="EX17">
            <v>2975</v>
          </cell>
          <cell r="EY17">
            <v>300</v>
          </cell>
          <cell r="EZ17">
            <v>23370</v>
          </cell>
          <cell r="FA17">
            <v>4800</v>
          </cell>
          <cell r="FB17">
            <v>0</v>
          </cell>
          <cell r="FC17">
            <v>64220</v>
          </cell>
          <cell r="FF17">
            <v>1500</v>
          </cell>
          <cell r="FG17">
            <v>1100</v>
          </cell>
          <cell r="FH17">
            <v>-1250</v>
          </cell>
          <cell r="FI17">
            <v>0</v>
          </cell>
          <cell r="FJ17">
            <v>0</v>
          </cell>
          <cell r="FK17">
            <v>0</v>
          </cell>
          <cell r="FL17">
            <v>5650</v>
          </cell>
          <cell r="FM17">
            <v>7700</v>
          </cell>
          <cell r="FN17">
            <v>0</v>
          </cell>
          <cell r="FO17">
            <v>0</v>
          </cell>
          <cell r="FP17">
            <v>1650</v>
          </cell>
          <cell r="FQ17">
            <v>2000</v>
          </cell>
          <cell r="FR17">
            <v>4550</v>
          </cell>
          <cell r="FS17">
            <v>1700</v>
          </cell>
          <cell r="FT17">
            <v>16458</v>
          </cell>
          <cell r="FU17">
            <v>0</v>
          </cell>
          <cell r="FV17">
            <v>0</v>
          </cell>
          <cell r="FW17">
            <v>41058</v>
          </cell>
          <cell r="FZ17">
            <v>2950</v>
          </cell>
          <cell r="GA17">
            <v>1100</v>
          </cell>
          <cell r="GB17">
            <v>0</v>
          </cell>
          <cell r="GC17">
            <v>0</v>
          </cell>
          <cell r="GD17">
            <v>5425</v>
          </cell>
          <cell r="GE17">
            <v>2400</v>
          </cell>
          <cell r="GF17">
            <v>6550</v>
          </cell>
          <cell r="GG17">
            <v>1700</v>
          </cell>
          <cell r="GH17">
            <v>4175</v>
          </cell>
          <cell r="GI17">
            <v>800</v>
          </cell>
          <cell r="GJ17">
            <v>4050</v>
          </cell>
          <cell r="GK17">
            <v>6700</v>
          </cell>
          <cell r="GL17">
            <v>9375</v>
          </cell>
          <cell r="GM17">
            <v>3200</v>
          </cell>
          <cell r="GN17">
            <v>41175</v>
          </cell>
          <cell r="GO17">
            <v>3150</v>
          </cell>
          <cell r="GP17">
            <v>0</v>
          </cell>
          <cell r="GQ17">
            <v>92750</v>
          </cell>
          <cell r="GT17">
            <v>450</v>
          </cell>
          <cell r="GU17">
            <v>350</v>
          </cell>
          <cell r="GV17">
            <v>50</v>
          </cell>
          <cell r="GW17">
            <v>2600</v>
          </cell>
          <cell r="GX17">
            <v>200</v>
          </cell>
          <cell r="GY17">
            <v>4700</v>
          </cell>
          <cell r="GZ17">
            <v>6200</v>
          </cell>
          <cell r="HA17">
            <v>2825</v>
          </cell>
          <cell r="HB17">
            <v>4575</v>
          </cell>
          <cell r="HC17">
            <v>0</v>
          </cell>
          <cell r="HD17">
            <v>3275</v>
          </cell>
          <cell r="HE17">
            <v>1500</v>
          </cell>
          <cell r="HF17">
            <v>3600</v>
          </cell>
          <cell r="HG17">
            <v>2650</v>
          </cell>
          <cell r="HH17">
            <v>42758</v>
          </cell>
          <cell r="HI17">
            <v>2150</v>
          </cell>
          <cell r="HJ17">
            <v>0</v>
          </cell>
          <cell r="HK17">
            <v>77883</v>
          </cell>
          <cell r="HN17">
            <v>0</v>
          </cell>
          <cell r="HO17">
            <v>0</v>
          </cell>
          <cell r="HP17">
            <v>0</v>
          </cell>
          <cell r="HQ17">
            <v>2000</v>
          </cell>
          <cell r="HR17">
            <v>5575</v>
          </cell>
          <cell r="HS17">
            <v>3150</v>
          </cell>
          <cell r="HT17">
            <v>0</v>
          </cell>
          <cell r="HU17">
            <v>5750</v>
          </cell>
          <cell r="HV17">
            <v>150</v>
          </cell>
          <cell r="HW17">
            <v>0</v>
          </cell>
          <cell r="HX17">
            <v>0</v>
          </cell>
          <cell r="HY17">
            <v>0</v>
          </cell>
          <cell r="HZ17">
            <v>6850</v>
          </cell>
          <cell r="IA17">
            <v>0</v>
          </cell>
          <cell r="IB17">
            <v>6057</v>
          </cell>
          <cell r="IC17">
            <v>0</v>
          </cell>
          <cell r="ID17">
            <v>875</v>
          </cell>
          <cell r="IE17">
            <v>30407</v>
          </cell>
          <cell r="IH17">
            <v>4140</v>
          </cell>
          <cell r="II17">
            <v>2450</v>
          </cell>
          <cell r="IJ17">
            <v>-3900</v>
          </cell>
          <cell r="IK17">
            <v>850</v>
          </cell>
          <cell r="IL17">
            <v>8550</v>
          </cell>
          <cell r="IM17">
            <v>4750</v>
          </cell>
          <cell r="IN17">
            <v>8650</v>
          </cell>
          <cell r="IO17">
            <v>16150</v>
          </cell>
          <cell r="IP17">
            <v>4700</v>
          </cell>
          <cell r="IQ17">
            <v>3175</v>
          </cell>
          <cell r="IR17">
            <v>5475</v>
          </cell>
          <cell r="IS17">
            <v>10100</v>
          </cell>
          <cell r="IT17">
            <v>18150</v>
          </cell>
          <cell r="IU17">
            <v>3750</v>
          </cell>
          <cell r="IV17">
            <v>76769</v>
          </cell>
          <cell r="IW17">
            <v>5800</v>
          </cell>
          <cell r="IX17">
            <v>750</v>
          </cell>
          <cell r="IY17">
            <v>170309</v>
          </cell>
          <cell r="JB17">
            <v>3000</v>
          </cell>
          <cell r="JC17">
            <v>3675</v>
          </cell>
          <cell r="JD17">
            <v>130</v>
          </cell>
          <cell r="JE17">
            <v>-11800</v>
          </cell>
          <cell r="JF17">
            <v>8225</v>
          </cell>
          <cell r="JG17">
            <v>3100</v>
          </cell>
          <cell r="JH17">
            <v>11700</v>
          </cell>
          <cell r="JI17">
            <v>2200</v>
          </cell>
          <cell r="JJ17">
            <v>8775</v>
          </cell>
          <cell r="JK17">
            <v>2350</v>
          </cell>
          <cell r="JL17">
            <v>11950</v>
          </cell>
          <cell r="JM17">
            <v>5275</v>
          </cell>
          <cell r="JN17">
            <v>12825</v>
          </cell>
          <cell r="JO17">
            <v>5900</v>
          </cell>
          <cell r="JP17">
            <v>93702</v>
          </cell>
          <cell r="JQ17">
            <v>0</v>
          </cell>
          <cell r="JR17">
            <v>755</v>
          </cell>
          <cell r="JS17">
            <v>161762</v>
          </cell>
          <cell r="JV17">
            <v>6150</v>
          </cell>
          <cell r="JW17">
            <v>4975</v>
          </cell>
          <cell r="JX17">
            <v>-1250</v>
          </cell>
          <cell r="JY17">
            <v>1050</v>
          </cell>
          <cell r="JZ17">
            <v>2050</v>
          </cell>
          <cell r="KA17">
            <v>12600</v>
          </cell>
          <cell r="KB17">
            <v>10975</v>
          </cell>
          <cell r="KC17">
            <v>16050</v>
          </cell>
          <cell r="KD17">
            <v>13975</v>
          </cell>
          <cell r="KE17">
            <v>5275</v>
          </cell>
          <cell r="KF17">
            <v>4975</v>
          </cell>
          <cell r="KG17">
            <v>10550</v>
          </cell>
          <cell r="KH17">
            <v>10425</v>
          </cell>
          <cell r="KI17">
            <v>2300</v>
          </cell>
          <cell r="KJ17">
            <v>77760.131999999998</v>
          </cell>
          <cell r="KK17">
            <v>8650</v>
          </cell>
          <cell r="KL17">
            <v>0</v>
          </cell>
          <cell r="KM17">
            <v>186510.13199999998</v>
          </cell>
          <cell r="KP17">
            <v>3400</v>
          </cell>
          <cell r="KQ17">
            <v>1450</v>
          </cell>
          <cell r="KR17">
            <v>50</v>
          </cell>
          <cell r="KS17">
            <v>4600</v>
          </cell>
          <cell r="KT17">
            <v>11200</v>
          </cell>
          <cell r="KU17">
            <v>10250</v>
          </cell>
          <cell r="KV17">
            <v>12750</v>
          </cell>
          <cell r="KW17">
            <v>10275</v>
          </cell>
          <cell r="KX17">
            <v>8900</v>
          </cell>
          <cell r="KY17">
            <v>800</v>
          </cell>
          <cell r="KZ17">
            <v>7325</v>
          </cell>
          <cell r="LA17">
            <v>8200</v>
          </cell>
          <cell r="LB17">
            <v>19825</v>
          </cell>
          <cell r="LC17">
            <v>5850</v>
          </cell>
          <cell r="LD17">
            <v>89990</v>
          </cell>
          <cell r="LE17">
            <v>5300</v>
          </cell>
          <cell r="LF17">
            <v>875</v>
          </cell>
          <cell r="LG17">
            <v>201040</v>
          </cell>
          <cell r="LJ17">
            <v>7140</v>
          </cell>
          <cell r="LK17">
            <v>6125</v>
          </cell>
          <cell r="LL17">
            <v>-3770</v>
          </cell>
          <cell r="LM17">
            <v>-10950</v>
          </cell>
          <cell r="LN17">
            <v>16775</v>
          </cell>
          <cell r="LO17">
            <v>7850</v>
          </cell>
          <cell r="LP17">
            <v>20350</v>
          </cell>
          <cell r="LQ17">
            <v>18350</v>
          </cell>
          <cell r="LR17">
            <v>13475</v>
          </cell>
          <cell r="LS17">
            <v>5525</v>
          </cell>
          <cell r="LT17">
            <v>17425</v>
          </cell>
          <cell r="LU17">
            <v>15375</v>
          </cell>
          <cell r="LV17">
            <v>30975</v>
          </cell>
          <cell r="LW17">
            <v>9650</v>
          </cell>
          <cell r="LX17">
            <v>170471</v>
          </cell>
          <cell r="LY17">
            <v>5800</v>
          </cell>
          <cell r="LZ17">
            <v>1505</v>
          </cell>
          <cell r="MA17">
            <v>330566</v>
          </cell>
          <cell r="MD17">
            <v>9550</v>
          </cell>
          <cell r="ME17">
            <v>6425</v>
          </cell>
          <cell r="MF17">
            <v>-1200</v>
          </cell>
          <cell r="MG17">
            <v>5650</v>
          </cell>
          <cell r="MH17">
            <v>13250</v>
          </cell>
          <cell r="MI17">
            <v>22850</v>
          </cell>
          <cell r="MJ17">
            <v>23725</v>
          </cell>
          <cell r="MK17">
            <v>26325</v>
          </cell>
          <cell r="ML17">
            <v>22875</v>
          </cell>
          <cell r="MM17">
            <v>6075</v>
          </cell>
          <cell r="MN17">
            <v>12300</v>
          </cell>
          <cell r="MO17">
            <v>18750</v>
          </cell>
          <cell r="MP17">
            <v>30250</v>
          </cell>
          <cell r="MQ17">
            <v>8150</v>
          </cell>
          <cell r="MR17">
            <v>167750.13199999998</v>
          </cell>
          <cell r="MS17">
            <v>13950</v>
          </cell>
          <cell r="MT17">
            <v>875</v>
          </cell>
          <cell r="MU17">
            <v>387550.13199999998</v>
          </cell>
          <cell r="MX17">
            <v>16690</v>
          </cell>
          <cell r="MY17">
            <v>12550</v>
          </cell>
          <cell r="MZ17">
            <v>-4970</v>
          </cell>
          <cell r="NA17">
            <v>-5300</v>
          </cell>
          <cell r="NB17">
            <v>30025</v>
          </cell>
          <cell r="NC17">
            <v>30700</v>
          </cell>
          <cell r="ND17">
            <v>44075</v>
          </cell>
          <cell r="NE17">
            <v>44675</v>
          </cell>
          <cell r="NF17">
            <v>36350</v>
          </cell>
          <cell r="NG17">
            <v>11600</v>
          </cell>
          <cell r="NH17">
            <v>29725</v>
          </cell>
          <cell r="NI17">
            <v>34125</v>
          </cell>
          <cell r="NJ17">
            <v>61225</v>
          </cell>
          <cell r="NK17">
            <v>17800</v>
          </cell>
          <cell r="NL17">
            <v>338221.13199999998</v>
          </cell>
          <cell r="NM17">
            <v>19750</v>
          </cell>
          <cell r="NN17">
            <v>2380</v>
          </cell>
          <cell r="NO17">
            <v>719621.13199999998</v>
          </cell>
        </row>
        <row r="18">
          <cell r="B18">
            <v>0</v>
          </cell>
          <cell r="C18">
            <v>2000300</v>
          </cell>
          <cell r="D18">
            <v>0</v>
          </cell>
          <cell r="E18">
            <v>0</v>
          </cell>
          <cell r="F18">
            <v>1571300</v>
          </cell>
          <cell r="G18">
            <v>0</v>
          </cell>
          <cell r="H18">
            <v>1420000</v>
          </cell>
          <cell r="I18">
            <v>3097200</v>
          </cell>
          <cell r="J18">
            <v>3737875</v>
          </cell>
          <cell r="K18">
            <v>0</v>
          </cell>
          <cell r="L18">
            <v>0</v>
          </cell>
          <cell r="M18">
            <v>2102050</v>
          </cell>
          <cell r="N18">
            <v>24650</v>
          </cell>
          <cell r="O18">
            <v>1885600</v>
          </cell>
          <cell r="P18">
            <v>161530</v>
          </cell>
          <cell r="Q18">
            <v>0</v>
          </cell>
          <cell r="R18">
            <v>0</v>
          </cell>
          <cell r="S18">
            <v>16000505</v>
          </cell>
          <cell r="V18">
            <v>613940</v>
          </cell>
          <cell r="W18">
            <v>304150</v>
          </cell>
          <cell r="X18">
            <v>78100</v>
          </cell>
          <cell r="Y18">
            <v>291300</v>
          </cell>
          <cell r="Z18">
            <v>0</v>
          </cell>
          <cell r="AA18">
            <v>1962350</v>
          </cell>
          <cell r="AB18">
            <v>1432950</v>
          </cell>
          <cell r="AC18">
            <v>1284800</v>
          </cell>
          <cell r="AD18">
            <v>452150</v>
          </cell>
          <cell r="AE18">
            <v>1047175</v>
          </cell>
          <cell r="AF18">
            <v>2580925</v>
          </cell>
          <cell r="AG18">
            <v>618550</v>
          </cell>
          <cell r="AH18">
            <v>102250</v>
          </cell>
          <cell r="AI18">
            <v>1084800</v>
          </cell>
          <cell r="AJ18">
            <v>237295</v>
          </cell>
          <cell r="AK18">
            <v>1074850</v>
          </cell>
          <cell r="AL18">
            <v>438750</v>
          </cell>
          <cell r="AM18">
            <v>13604335</v>
          </cell>
          <cell r="AP18">
            <v>319200</v>
          </cell>
          <cell r="AQ18">
            <v>278000</v>
          </cell>
          <cell r="AR18">
            <v>-554000</v>
          </cell>
          <cell r="AS18">
            <v>-1730450</v>
          </cell>
          <cell r="AT18">
            <v>608250</v>
          </cell>
          <cell r="AU18">
            <v>1124400</v>
          </cell>
          <cell r="AV18">
            <v>401700</v>
          </cell>
          <cell r="AW18">
            <v>1084150</v>
          </cell>
          <cell r="AX18">
            <v>273675</v>
          </cell>
          <cell r="AY18">
            <v>0</v>
          </cell>
          <cell r="AZ18">
            <v>637550</v>
          </cell>
          <cell r="BA18">
            <v>781500</v>
          </cell>
          <cell r="BB18">
            <v>815250</v>
          </cell>
          <cell r="BC18">
            <v>303350</v>
          </cell>
          <cell r="BD18">
            <v>2803524</v>
          </cell>
          <cell r="BE18">
            <v>856950</v>
          </cell>
          <cell r="BF18">
            <v>237000</v>
          </cell>
          <cell r="BG18">
            <v>8240049</v>
          </cell>
          <cell r="BJ18">
            <v>402950</v>
          </cell>
          <cell r="BK18">
            <v>0</v>
          </cell>
          <cell r="BL18">
            <v>0</v>
          </cell>
          <cell r="BM18">
            <v>854800</v>
          </cell>
          <cell r="BN18">
            <v>0</v>
          </cell>
          <cell r="BO18">
            <v>0</v>
          </cell>
          <cell r="BP18">
            <v>0</v>
          </cell>
          <cell r="BQ18">
            <v>440650</v>
          </cell>
          <cell r="BR18">
            <v>0</v>
          </cell>
          <cell r="BS18">
            <v>0</v>
          </cell>
          <cell r="BT18">
            <v>0</v>
          </cell>
          <cell r="BU18">
            <v>309850</v>
          </cell>
          <cell r="BV18">
            <v>214850</v>
          </cell>
          <cell r="BW18">
            <v>300700</v>
          </cell>
          <cell r="BX18">
            <v>5029629</v>
          </cell>
          <cell r="BY18">
            <v>0</v>
          </cell>
          <cell r="BZ18">
            <v>-389000</v>
          </cell>
          <cell r="CA18">
            <v>7164429</v>
          </cell>
          <cell r="CD18">
            <v>3669050</v>
          </cell>
          <cell r="CE18">
            <v>1211675</v>
          </cell>
          <cell r="CF18">
            <v>1129130</v>
          </cell>
          <cell r="CG18">
            <v>4988400</v>
          </cell>
          <cell r="CH18">
            <v>1181475</v>
          </cell>
          <cell r="CI18">
            <v>1533100</v>
          </cell>
          <cell r="CJ18">
            <v>154700</v>
          </cell>
          <cell r="CK18">
            <v>1547550</v>
          </cell>
          <cell r="CL18">
            <v>652775</v>
          </cell>
          <cell r="CM18">
            <v>-90650</v>
          </cell>
          <cell r="CN18">
            <v>2163700</v>
          </cell>
          <cell r="CO18">
            <v>2294425</v>
          </cell>
          <cell r="CP18">
            <v>7787875</v>
          </cell>
          <cell r="CQ18">
            <v>2778900</v>
          </cell>
          <cell r="CR18">
            <v>21896852</v>
          </cell>
          <cell r="CS18">
            <v>0</v>
          </cell>
          <cell r="CT18">
            <v>-97345</v>
          </cell>
          <cell r="CU18">
            <v>52801612</v>
          </cell>
          <cell r="CX18">
            <v>0</v>
          </cell>
          <cell r="CY18">
            <v>0</v>
          </cell>
          <cell r="CZ18">
            <v>1186000</v>
          </cell>
          <cell r="DA18">
            <v>3400000</v>
          </cell>
          <cell r="DB18">
            <v>838750</v>
          </cell>
          <cell r="DC18">
            <v>0</v>
          </cell>
          <cell r="DD18">
            <v>0</v>
          </cell>
          <cell r="DE18">
            <v>250000</v>
          </cell>
          <cell r="DF18">
            <v>0</v>
          </cell>
          <cell r="DG18">
            <v>0</v>
          </cell>
          <cell r="DH18">
            <v>668250</v>
          </cell>
          <cell r="DI18">
            <v>0</v>
          </cell>
          <cell r="DJ18">
            <v>3559700</v>
          </cell>
          <cell r="DK18">
            <v>2046000</v>
          </cell>
          <cell r="DL18">
            <v>11044496</v>
          </cell>
          <cell r="DM18">
            <v>200000</v>
          </cell>
          <cell r="DN18">
            <v>366100</v>
          </cell>
          <cell r="DO18">
            <v>23559296</v>
          </cell>
          <cell r="DR18">
            <v>704650</v>
          </cell>
          <cell r="DS18">
            <v>1506575</v>
          </cell>
          <cell r="DT18">
            <v>0</v>
          </cell>
          <cell r="DU18">
            <v>0</v>
          </cell>
          <cell r="DV18">
            <v>1192800</v>
          </cell>
          <cell r="DW18">
            <v>1893550</v>
          </cell>
          <cell r="DX18">
            <v>916800</v>
          </cell>
          <cell r="DY18">
            <v>2212350</v>
          </cell>
          <cell r="DZ18">
            <v>2841950</v>
          </cell>
          <cell r="EA18">
            <v>1107575</v>
          </cell>
          <cell r="EB18">
            <v>0</v>
          </cell>
          <cell r="EC18">
            <v>2282000</v>
          </cell>
          <cell r="ED18">
            <v>1028900</v>
          </cell>
          <cell r="EE18">
            <v>132300</v>
          </cell>
          <cell r="EF18">
            <v>-769347.86800000002</v>
          </cell>
          <cell r="EG18">
            <v>939850</v>
          </cell>
          <cell r="EH18">
            <v>0</v>
          </cell>
          <cell r="EI18">
            <v>15989952.131999999</v>
          </cell>
          <cell r="EL18">
            <v>1750000</v>
          </cell>
          <cell r="EM18">
            <v>1031300</v>
          </cell>
          <cell r="EN18">
            <v>0</v>
          </cell>
          <cell r="EO18">
            <v>115050</v>
          </cell>
          <cell r="EP18">
            <v>1319250</v>
          </cell>
          <cell r="EQ18">
            <v>3123050</v>
          </cell>
          <cell r="ER18">
            <v>1123525</v>
          </cell>
          <cell r="ES18">
            <v>1224000</v>
          </cell>
          <cell r="ET18">
            <v>5187025</v>
          </cell>
          <cell r="EU18">
            <v>2027700</v>
          </cell>
          <cell r="EV18">
            <v>3325</v>
          </cell>
          <cell r="EW18">
            <v>446550</v>
          </cell>
          <cell r="EX18">
            <v>-712025</v>
          </cell>
          <cell r="EY18">
            <v>1072300</v>
          </cell>
          <cell r="EZ18">
            <v>820050</v>
          </cell>
          <cell r="FA18">
            <v>1064800</v>
          </cell>
          <cell r="FB18">
            <v>0</v>
          </cell>
          <cell r="FC18">
            <v>19595900</v>
          </cell>
          <cell r="FF18">
            <v>801500</v>
          </cell>
          <cell r="FG18">
            <v>1221100</v>
          </cell>
          <cell r="FH18">
            <v>-301250</v>
          </cell>
          <cell r="FI18">
            <v>0</v>
          </cell>
          <cell r="FJ18">
            <v>0</v>
          </cell>
          <cell r="FK18">
            <v>0</v>
          </cell>
          <cell r="FL18">
            <v>2925650</v>
          </cell>
          <cell r="FM18">
            <v>2287700</v>
          </cell>
          <cell r="FN18">
            <v>2200000</v>
          </cell>
          <cell r="FO18">
            <v>0</v>
          </cell>
          <cell r="FP18">
            <v>751650</v>
          </cell>
          <cell r="FQ18">
            <v>2302000</v>
          </cell>
          <cell r="FR18">
            <v>-1695450</v>
          </cell>
          <cell r="FS18">
            <v>581700</v>
          </cell>
          <cell r="FT18">
            <v>-917802</v>
          </cell>
          <cell r="FU18">
            <v>0</v>
          </cell>
          <cell r="FV18">
            <v>0</v>
          </cell>
          <cell r="FW18">
            <v>10156798</v>
          </cell>
          <cell r="FZ18">
            <v>2402950</v>
          </cell>
          <cell r="GA18">
            <v>115100</v>
          </cell>
          <cell r="GB18">
            <v>0</v>
          </cell>
          <cell r="GC18">
            <v>-4500000</v>
          </cell>
          <cell r="GD18">
            <v>85425</v>
          </cell>
          <cell r="GE18">
            <v>1382400</v>
          </cell>
          <cell r="GF18">
            <v>606550</v>
          </cell>
          <cell r="GG18">
            <v>2476700</v>
          </cell>
          <cell r="GH18">
            <v>4945175</v>
          </cell>
          <cell r="GI18">
            <v>1254800</v>
          </cell>
          <cell r="GJ18">
            <v>1604050</v>
          </cell>
          <cell r="GK18">
            <v>3826700</v>
          </cell>
          <cell r="GL18">
            <v>3929375</v>
          </cell>
          <cell r="GM18">
            <v>-2456800</v>
          </cell>
          <cell r="GN18">
            <v>5440920.7539999997</v>
          </cell>
          <cell r="GO18">
            <v>1173150</v>
          </cell>
          <cell r="GP18">
            <v>0</v>
          </cell>
          <cell r="GQ18">
            <v>22286495.754000001</v>
          </cell>
          <cell r="GT18">
            <v>100450</v>
          </cell>
          <cell r="GU18">
            <v>1300350</v>
          </cell>
          <cell r="GV18">
            <v>279050</v>
          </cell>
          <cell r="GW18">
            <v>902600</v>
          </cell>
          <cell r="GX18">
            <v>2230200</v>
          </cell>
          <cell r="GY18">
            <v>2424700</v>
          </cell>
          <cell r="GZ18">
            <v>1206200</v>
          </cell>
          <cell r="HA18">
            <v>2832825</v>
          </cell>
          <cell r="HB18">
            <v>5865575</v>
          </cell>
          <cell r="HC18">
            <v>0</v>
          </cell>
          <cell r="HD18">
            <v>4703275</v>
          </cell>
          <cell r="HE18">
            <v>2673500</v>
          </cell>
          <cell r="HF18">
            <v>3007600</v>
          </cell>
          <cell r="HG18">
            <v>516650</v>
          </cell>
          <cell r="HH18">
            <v>3036898</v>
          </cell>
          <cell r="HI18">
            <v>1102150</v>
          </cell>
          <cell r="HJ18">
            <v>0</v>
          </cell>
          <cell r="HK18">
            <v>32182023</v>
          </cell>
          <cell r="HN18">
            <v>-1700000</v>
          </cell>
          <cell r="HO18">
            <v>0</v>
          </cell>
          <cell r="HP18">
            <v>-600000</v>
          </cell>
          <cell r="HQ18">
            <v>-1198000</v>
          </cell>
          <cell r="HR18">
            <v>5575</v>
          </cell>
          <cell r="HS18">
            <v>5150</v>
          </cell>
          <cell r="HT18">
            <v>-1260000</v>
          </cell>
          <cell r="HU18">
            <v>1005750</v>
          </cell>
          <cell r="HV18">
            <v>1603150</v>
          </cell>
          <cell r="HW18">
            <v>-700000</v>
          </cell>
          <cell r="HX18">
            <v>0</v>
          </cell>
          <cell r="HY18">
            <v>-1500000</v>
          </cell>
          <cell r="HZ18">
            <v>1406850</v>
          </cell>
          <cell r="IA18">
            <v>0</v>
          </cell>
          <cell r="IB18">
            <v>23774177</v>
          </cell>
          <cell r="IC18">
            <v>-1000000</v>
          </cell>
          <cell r="ID18">
            <v>-97125</v>
          </cell>
          <cell r="IE18">
            <v>19745527</v>
          </cell>
          <cell r="IH18">
            <v>933140</v>
          </cell>
          <cell r="II18">
            <v>2582450</v>
          </cell>
          <cell r="IJ18">
            <v>-475900</v>
          </cell>
          <cell r="IK18">
            <v>-1439150</v>
          </cell>
          <cell r="IL18">
            <v>2179550</v>
          </cell>
          <cell r="IM18">
            <v>3086750</v>
          </cell>
          <cell r="IN18">
            <v>3254650</v>
          </cell>
          <cell r="IO18">
            <v>5466150</v>
          </cell>
          <cell r="IP18">
            <v>4463700</v>
          </cell>
          <cell r="IQ18">
            <v>1047175</v>
          </cell>
          <cell r="IR18">
            <v>3218475</v>
          </cell>
          <cell r="IS18">
            <v>3502100</v>
          </cell>
          <cell r="IT18">
            <v>942150</v>
          </cell>
          <cell r="IU18">
            <v>3273750</v>
          </cell>
          <cell r="IV18">
            <v>3202349</v>
          </cell>
          <cell r="IW18">
            <v>1931800</v>
          </cell>
          <cell r="IX18">
            <v>675750</v>
          </cell>
          <cell r="IY18">
            <v>37844889</v>
          </cell>
          <cell r="JB18">
            <v>4072000</v>
          </cell>
          <cell r="JC18">
            <v>1211675</v>
          </cell>
          <cell r="JD18">
            <v>2315130</v>
          </cell>
          <cell r="JE18">
            <v>9243200</v>
          </cell>
          <cell r="JF18">
            <v>2020225</v>
          </cell>
          <cell r="JG18">
            <v>1533100</v>
          </cell>
          <cell r="JH18">
            <v>154700</v>
          </cell>
          <cell r="JI18">
            <v>2238200</v>
          </cell>
          <cell r="JJ18">
            <v>652775</v>
          </cell>
          <cell r="JK18">
            <v>-90650</v>
          </cell>
          <cell r="JL18">
            <v>2831950</v>
          </cell>
          <cell r="JM18">
            <v>2604275</v>
          </cell>
          <cell r="JN18">
            <v>11562425</v>
          </cell>
          <cell r="JO18">
            <v>5125600</v>
          </cell>
          <cell r="JP18">
            <v>37970977</v>
          </cell>
          <cell r="JQ18">
            <v>200000</v>
          </cell>
          <cell r="JR18">
            <v>-120245</v>
          </cell>
          <cell r="JS18">
            <v>83525337</v>
          </cell>
          <cell r="JV18">
            <v>3256150</v>
          </cell>
          <cell r="JW18">
            <v>3758975</v>
          </cell>
          <cell r="JX18">
            <v>-301250</v>
          </cell>
          <cell r="JY18">
            <v>115050</v>
          </cell>
          <cell r="JZ18">
            <v>2512050</v>
          </cell>
          <cell r="KA18">
            <v>5016600</v>
          </cell>
          <cell r="KB18">
            <v>4965975</v>
          </cell>
          <cell r="KC18">
            <v>5724050</v>
          </cell>
          <cell r="KD18">
            <v>10228975</v>
          </cell>
          <cell r="KE18">
            <v>3135275</v>
          </cell>
          <cell r="KF18">
            <v>754975</v>
          </cell>
          <cell r="KG18">
            <v>5030550</v>
          </cell>
          <cell r="KH18">
            <v>-1378575</v>
          </cell>
          <cell r="KI18">
            <v>1786300</v>
          </cell>
          <cell r="KJ18">
            <v>-867099.86800000002</v>
          </cell>
          <cell r="KK18">
            <v>2004650</v>
          </cell>
          <cell r="KL18">
            <v>0</v>
          </cell>
          <cell r="KM18">
            <v>45742650.131999999</v>
          </cell>
          <cell r="KP18">
            <v>803400</v>
          </cell>
          <cell r="KQ18">
            <v>1415450</v>
          </cell>
          <cell r="KR18">
            <v>-320950</v>
          </cell>
          <cell r="KS18">
            <v>-4795400</v>
          </cell>
          <cell r="KT18">
            <v>2321200</v>
          </cell>
          <cell r="KU18">
            <v>3812250</v>
          </cell>
          <cell r="KV18">
            <v>552750</v>
          </cell>
          <cell r="KW18">
            <v>6315275</v>
          </cell>
          <cell r="KX18">
            <v>12413900</v>
          </cell>
          <cell r="KY18">
            <v>554800</v>
          </cell>
          <cell r="KZ18">
            <v>6307325</v>
          </cell>
          <cell r="LA18">
            <v>5000200</v>
          </cell>
          <cell r="LB18">
            <v>8343825</v>
          </cell>
          <cell r="LC18">
            <v>-1940150</v>
          </cell>
          <cell r="LD18">
            <v>32251995.754000001</v>
          </cell>
          <cell r="LE18">
            <v>1275300</v>
          </cell>
          <cell r="LF18">
            <v>-97125</v>
          </cell>
          <cell r="LG18">
            <v>74214045.754000008</v>
          </cell>
          <cell r="LJ18">
            <v>5005140</v>
          </cell>
          <cell r="LK18">
            <v>3794125</v>
          </cell>
          <cell r="LL18">
            <v>1839230</v>
          </cell>
          <cell r="LM18">
            <v>7804050</v>
          </cell>
          <cell r="LN18">
            <v>4199775</v>
          </cell>
          <cell r="LO18">
            <v>4619850</v>
          </cell>
          <cell r="LP18">
            <v>3409350</v>
          </cell>
          <cell r="LQ18">
            <v>7704350</v>
          </cell>
          <cell r="LR18">
            <v>5116475</v>
          </cell>
          <cell r="LS18">
            <v>956525</v>
          </cell>
          <cell r="LT18">
            <v>6050425</v>
          </cell>
          <cell r="LU18">
            <v>6106375</v>
          </cell>
          <cell r="LV18">
            <v>12504575</v>
          </cell>
          <cell r="LW18">
            <v>8399350</v>
          </cell>
          <cell r="LX18">
            <v>41173326</v>
          </cell>
          <cell r="LY18">
            <v>2131800</v>
          </cell>
          <cell r="LZ18">
            <v>555505</v>
          </cell>
          <cell r="MA18">
            <v>120884721</v>
          </cell>
          <cell r="MD18">
            <v>4059550</v>
          </cell>
          <cell r="ME18">
            <v>5174425</v>
          </cell>
          <cell r="MF18">
            <v>-622200</v>
          </cell>
          <cell r="MG18">
            <v>-4680350</v>
          </cell>
          <cell r="MH18">
            <v>4833250</v>
          </cell>
          <cell r="MI18">
            <v>8828850</v>
          </cell>
          <cell r="MJ18">
            <v>5518725</v>
          </cell>
          <cell r="MK18">
            <v>12039325</v>
          </cell>
          <cell r="ML18">
            <v>22642875</v>
          </cell>
          <cell r="MM18">
            <v>3690075</v>
          </cell>
          <cell r="MN18">
            <v>7062300</v>
          </cell>
          <cell r="MO18">
            <v>10030750</v>
          </cell>
          <cell r="MP18">
            <v>6965250</v>
          </cell>
          <cell r="MQ18">
            <v>-153850</v>
          </cell>
          <cell r="MR18">
            <v>31384895.886</v>
          </cell>
          <cell r="MS18">
            <v>3279950</v>
          </cell>
          <cell r="MT18">
            <v>-97125</v>
          </cell>
          <cell r="MU18">
            <v>119956695.88600001</v>
          </cell>
          <cell r="MX18">
            <v>9064690</v>
          </cell>
          <cell r="MY18">
            <v>8968550</v>
          </cell>
          <cell r="MZ18">
            <v>1217030</v>
          </cell>
          <cell r="NA18">
            <v>3123700</v>
          </cell>
          <cell r="NB18">
            <v>9033025</v>
          </cell>
          <cell r="NC18">
            <v>13448700</v>
          </cell>
          <cell r="ND18">
            <v>8928075</v>
          </cell>
          <cell r="NE18">
            <v>19743675</v>
          </cell>
          <cell r="NF18">
            <v>27759350</v>
          </cell>
          <cell r="NG18">
            <v>4646600</v>
          </cell>
          <cell r="NH18">
            <v>13112725</v>
          </cell>
          <cell r="NI18">
            <v>16137125</v>
          </cell>
          <cell r="NJ18">
            <v>19469825</v>
          </cell>
          <cell r="NK18">
            <v>8245500</v>
          </cell>
          <cell r="NL18">
            <v>72558221.886000007</v>
          </cell>
          <cell r="NM18">
            <v>5411750</v>
          </cell>
          <cell r="NN18">
            <v>458380</v>
          </cell>
          <cell r="NO18">
            <v>241326921.88600001</v>
          </cell>
        </row>
        <row r="21">
          <cell r="B21" t="str">
            <v>KDK Bdl</v>
          </cell>
          <cell r="C21" t="str">
            <v>BTM</v>
          </cell>
          <cell r="D21" t="str">
            <v>Cn</v>
          </cell>
          <cell r="E21" t="str">
            <v>KDK Bd</v>
          </cell>
          <cell r="F21" t="str">
            <v>KDK Bjm</v>
          </cell>
          <cell r="G21" t="str">
            <v>KDK Bpp</v>
          </cell>
          <cell r="H21" t="str">
            <v>KDK Dpr</v>
          </cell>
          <cell r="I21" t="str">
            <v>KDK Mdn</v>
          </cell>
          <cell r="J21" t="str">
            <v>KDK Mks</v>
          </cell>
          <cell r="K21" t="str">
            <v>KDK Mo</v>
          </cell>
          <cell r="L21" t="str">
            <v>KDK Pbr</v>
          </cell>
          <cell r="M21" t="str">
            <v>KDK Pg</v>
          </cell>
          <cell r="N21" t="str">
            <v>KDK Sb</v>
          </cell>
          <cell r="O21" t="str">
            <v>KDK Sm</v>
          </cell>
          <cell r="P21" t="str">
            <v>PgUK</v>
          </cell>
          <cell r="Q21" t="str">
            <v>PTK</v>
          </cell>
          <cell r="R21" t="str">
            <v>Sr</v>
          </cell>
          <cell r="S21" t="str">
            <v>TOTAL NAS</v>
          </cell>
          <cell r="V21" t="str">
            <v>KDK Bdl</v>
          </cell>
          <cell r="W21" t="str">
            <v>BTM</v>
          </cell>
          <cell r="X21" t="str">
            <v>Cn</v>
          </cell>
          <cell r="Y21" t="str">
            <v>KDK Bd</v>
          </cell>
          <cell r="Z21" t="str">
            <v>KDK Bjm</v>
          </cell>
          <cell r="AA21" t="str">
            <v>KDK Bpp</v>
          </cell>
          <cell r="AB21" t="str">
            <v>KDK Dpr</v>
          </cell>
          <cell r="AC21" t="str">
            <v>KDK Mdn</v>
          </cell>
          <cell r="AD21" t="str">
            <v>KDK Mks</v>
          </cell>
          <cell r="AE21" t="str">
            <v>KDK Mo</v>
          </cell>
          <cell r="AF21" t="str">
            <v>KDK Pbr</v>
          </cell>
          <cell r="AG21" t="str">
            <v>KDK Pg</v>
          </cell>
          <cell r="AH21" t="str">
            <v>KDK Sb</v>
          </cell>
          <cell r="AI21" t="str">
            <v>KDK Sm</v>
          </cell>
          <cell r="AJ21" t="str">
            <v>PgUK</v>
          </cell>
          <cell r="AK21" t="str">
            <v>PTK</v>
          </cell>
          <cell r="AL21" t="str">
            <v>Sr</v>
          </cell>
          <cell r="AM21" t="str">
            <v>TOTAL NAS</v>
          </cell>
          <cell r="AP21" t="str">
            <v>KDK Bdl</v>
          </cell>
          <cell r="AQ21" t="str">
            <v>BTM</v>
          </cell>
          <cell r="AR21" t="str">
            <v>Cn</v>
          </cell>
          <cell r="AS21" t="str">
            <v>KDK Bd</v>
          </cell>
          <cell r="AT21" t="str">
            <v>KDK Bjm</v>
          </cell>
          <cell r="AU21" t="str">
            <v>KDK Bpp</v>
          </cell>
          <cell r="AV21" t="str">
            <v>KDK Dpr</v>
          </cell>
          <cell r="AW21" t="str">
            <v>KDK Mdn</v>
          </cell>
          <cell r="AX21" t="str">
            <v>KDK Mks</v>
          </cell>
          <cell r="AY21" t="str">
            <v>KDK Mo</v>
          </cell>
          <cell r="AZ21" t="str">
            <v>KDK Pbr</v>
          </cell>
          <cell r="BA21" t="str">
            <v>KDK Pg</v>
          </cell>
          <cell r="BB21" t="str">
            <v>KDK Sb</v>
          </cell>
          <cell r="BC21" t="str">
            <v>KDK Sm</v>
          </cell>
          <cell r="BD21" t="str">
            <v>PgUK</v>
          </cell>
          <cell r="BE21" t="str">
            <v>PTK</v>
          </cell>
          <cell r="BF21" t="str">
            <v>Sr</v>
          </cell>
          <cell r="BG21" t="str">
            <v>TOTAL NAS</v>
          </cell>
          <cell r="BJ21" t="str">
            <v>KDK Bdl</v>
          </cell>
          <cell r="BK21" t="str">
            <v>BTM</v>
          </cell>
          <cell r="BL21" t="str">
            <v>Cn</v>
          </cell>
          <cell r="BM21" t="str">
            <v>KDK Bd</v>
          </cell>
          <cell r="BN21" t="str">
            <v>KDK Bjm</v>
          </cell>
          <cell r="BO21" t="str">
            <v>KDK Bpp</v>
          </cell>
          <cell r="BP21" t="str">
            <v>KDK Dpr</v>
          </cell>
          <cell r="BQ21" t="str">
            <v>KDK Mdn</v>
          </cell>
          <cell r="BR21" t="str">
            <v>KDK Mks</v>
          </cell>
          <cell r="BS21" t="str">
            <v>KDK Mo</v>
          </cell>
          <cell r="BT21" t="str">
            <v>KDK Pbr</v>
          </cell>
          <cell r="BU21" t="str">
            <v>KDK Pg</v>
          </cell>
          <cell r="BV21" t="str">
            <v>KDK Sb</v>
          </cell>
          <cell r="BW21" t="str">
            <v>KDK Sm</v>
          </cell>
          <cell r="BX21" t="str">
            <v>PgUK</v>
          </cell>
          <cell r="BY21" t="str">
            <v>PTK</v>
          </cell>
          <cell r="BZ21" t="str">
            <v>Sr</v>
          </cell>
          <cell r="CA21" t="str">
            <v>TOTAL NAS</v>
          </cell>
          <cell r="CD21" t="str">
            <v>KDK Bdl</v>
          </cell>
          <cell r="CE21" t="str">
            <v>BTM</v>
          </cell>
          <cell r="CF21" t="str">
            <v>Cn</v>
          </cell>
          <cell r="CG21" t="str">
            <v>KDK Bd</v>
          </cell>
          <cell r="CH21" t="str">
            <v>KDK Bjm</v>
          </cell>
          <cell r="CI21" t="str">
            <v>KDK Bpp</v>
          </cell>
          <cell r="CJ21" t="str">
            <v>KDK Dpr</v>
          </cell>
          <cell r="CK21" t="str">
            <v>KDK Mdn</v>
          </cell>
          <cell r="CL21" t="str">
            <v>KDK Mks</v>
          </cell>
          <cell r="CM21" t="str">
            <v>KDK Mo</v>
          </cell>
          <cell r="CN21" t="str">
            <v>KDK Pbr</v>
          </cell>
          <cell r="CO21" t="str">
            <v>KDK Pg</v>
          </cell>
          <cell r="CP21" t="str">
            <v>KDK Sb</v>
          </cell>
          <cell r="CQ21" t="str">
            <v>KDK Sm</v>
          </cell>
          <cell r="CR21" t="str">
            <v>PgUK</v>
          </cell>
          <cell r="CS21" t="str">
            <v>PTK</v>
          </cell>
          <cell r="CT21" t="str">
            <v>Sr</v>
          </cell>
          <cell r="CU21" t="str">
            <v>TOTAL NAS</v>
          </cell>
          <cell r="CX21" t="str">
            <v>KDK Bdl</v>
          </cell>
          <cell r="CY21" t="str">
            <v>BTM</v>
          </cell>
          <cell r="CZ21" t="str">
            <v>Cn</v>
          </cell>
          <cell r="DA21" t="str">
            <v>KDK Bd</v>
          </cell>
          <cell r="DB21" t="str">
            <v>KDK Bjm</v>
          </cell>
          <cell r="DC21" t="str">
            <v>KDK Bpp</v>
          </cell>
          <cell r="DD21" t="str">
            <v>KDK Dpr</v>
          </cell>
          <cell r="DE21" t="str">
            <v>KDK Mdn</v>
          </cell>
          <cell r="DF21" t="str">
            <v>KDK Mks</v>
          </cell>
          <cell r="DG21" t="str">
            <v>KDK Mo</v>
          </cell>
          <cell r="DH21" t="str">
            <v>KDK Pbr</v>
          </cell>
          <cell r="DI21" t="str">
            <v>KDK Pg</v>
          </cell>
          <cell r="DJ21" t="str">
            <v>KDK Sb</v>
          </cell>
          <cell r="DK21" t="str">
            <v>KDK Sm</v>
          </cell>
          <cell r="DL21" t="str">
            <v>PgUK</v>
          </cell>
          <cell r="DM21" t="str">
            <v>PTK</v>
          </cell>
          <cell r="DN21" t="str">
            <v>Sr</v>
          </cell>
          <cell r="DO21" t="str">
            <v>TOTAL NAS</v>
          </cell>
          <cell r="DR21" t="str">
            <v>KDK Bdl</v>
          </cell>
          <cell r="DS21" t="str">
            <v>BTM</v>
          </cell>
          <cell r="DT21" t="str">
            <v>Cn</v>
          </cell>
          <cell r="DU21" t="str">
            <v>KDK Bd</v>
          </cell>
          <cell r="DV21" t="str">
            <v>KDK Bjm</v>
          </cell>
          <cell r="DW21" t="str">
            <v>KDK Bpp</v>
          </cell>
          <cell r="DX21" t="str">
            <v>KDK Dpr</v>
          </cell>
          <cell r="DY21" t="str">
            <v>KDK Mdn</v>
          </cell>
          <cell r="DZ21" t="str">
            <v>KDK Mks</v>
          </cell>
          <cell r="EA21" t="str">
            <v>KDK Mo</v>
          </cell>
          <cell r="EB21" t="str">
            <v>KDK Pbr</v>
          </cell>
          <cell r="EC21" t="str">
            <v>KDK Pg</v>
          </cell>
          <cell r="ED21" t="str">
            <v>KDK Sb</v>
          </cell>
          <cell r="EE21" t="str">
            <v>KDK Sm</v>
          </cell>
          <cell r="EF21" t="str">
            <v>PgUK</v>
          </cell>
          <cell r="EG21" t="str">
            <v>PTK</v>
          </cell>
          <cell r="EH21" t="str">
            <v>Sr</v>
          </cell>
          <cell r="EI21" t="str">
            <v>TOTAL NAS</v>
          </cell>
        </row>
        <row r="22">
          <cell r="B22">
            <v>500000</v>
          </cell>
          <cell r="C22">
            <v>1400000</v>
          </cell>
          <cell r="D22">
            <v>0</v>
          </cell>
          <cell r="E22">
            <v>-1800000</v>
          </cell>
          <cell r="F22">
            <v>1500000</v>
          </cell>
          <cell r="G22">
            <v>1400000</v>
          </cell>
          <cell r="H22">
            <v>1800000</v>
          </cell>
          <cell r="I22">
            <v>2000000</v>
          </cell>
          <cell r="J22">
            <v>1800000</v>
          </cell>
          <cell r="K22">
            <v>400000</v>
          </cell>
          <cell r="L22">
            <v>1600000</v>
          </cell>
          <cell r="M22">
            <v>1800000</v>
          </cell>
          <cell r="N22">
            <v>400000</v>
          </cell>
          <cell r="O22">
            <v>-200000</v>
          </cell>
          <cell r="P22">
            <v>3827986</v>
          </cell>
          <cell r="Q22">
            <v>1000000</v>
          </cell>
          <cell r="R22">
            <v>70000</v>
          </cell>
          <cell r="S22">
            <v>17497986</v>
          </cell>
          <cell r="V22">
            <v>3690000</v>
          </cell>
          <cell r="W22">
            <v>2100000</v>
          </cell>
          <cell r="X22">
            <v>700000</v>
          </cell>
          <cell r="Y22">
            <v>2230000</v>
          </cell>
          <cell r="Z22">
            <v>1500000</v>
          </cell>
          <cell r="AA22">
            <v>1800000</v>
          </cell>
          <cell r="AB22">
            <v>1800000</v>
          </cell>
          <cell r="AC22">
            <v>3200000</v>
          </cell>
          <cell r="AD22">
            <v>1800000</v>
          </cell>
          <cell r="AE22">
            <v>300000</v>
          </cell>
          <cell r="AF22">
            <v>2920000</v>
          </cell>
          <cell r="AG22">
            <v>3680000</v>
          </cell>
          <cell r="AH22">
            <v>5300000</v>
          </cell>
          <cell r="AI22">
            <v>2400000</v>
          </cell>
          <cell r="AJ22">
            <v>16045986</v>
          </cell>
          <cell r="AK22">
            <v>1000000</v>
          </cell>
          <cell r="AL22">
            <v>-230000</v>
          </cell>
          <cell r="AM22">
            <v>50235986</v>
          </cell>
          <cell r="AP22">
            <v>4090000</v>
          </cell>
          <cell r="AQ22">
            <v>3100000</v>
          </cell>
          <cell r="AR22">
            <v>1800000</v>
          </cell>
          <cell r="AS22">
            <v>4730000</v>
          </cell>
          <cell r="AT22">
            <v>2900000</v>
          </cell>
          <cell r="AU22">
            <v>3200000</v>
          </cell>
          <cell r="AV22">
            <v>2400000</v>
          </cell>
          <cell r="AW22">
            <v>4800000</v>
          </cell>
          <cell r="AX22">
            <v>3600000</v>
          </cell>
          <cell r="AY22">
            <v>1100000</v>
          </cell>
          <cell r="AZ22">
            <v>3520000</v>
          </cell>
          <cell r="BA22">
            <v>5220000</v>
          </cell>
          <cell r="BB22">
            <v>9400000</v>
          </cell>
          <cell r="BC22">
            <v>4426000</v>
          </cell>
          <cell r="BD22">
            <v>24403986</v>
          </cell>
          <cell r="BE22">
            <v>1800000</v>
          </cell>
          <cell r="BF22">
            <v>70000</v>
          </cell>
          <cell r="BG22">
            <v>80559986</v>
          </cell>
          <cell r="BJ22">
            <v>4090000</v>
          </cell>
          <cell r="BK22">
            <v>3100000</v>
          </cell>
          <cell r="BL22">
            <v>1800000</v>
          </cell>
          <cell r="BM22">
            <v>4730000</v>
          </cell>
          <cell r="BN22">
            <v>3700000</v>
          </cell>
          <cell r="BO22">
            <v>3800000</v>
          </cell>
          <cell r="BP22">
            <v>2400000</v>
          </cell>
          <cell r="BQ22">
            <v>4800000</v>
          </cell>
          <cell r="BR22">
            <v>5800000</v>
          </cell>
          <cell r="BS22">
            <v>1700000</v>
          </cell>
          <cell r="BT22">
            <v>3520000</v>
          </cell>
          <cell r="BU22">
            <v>5420000</v>
          </cell>
          <cell r="BV22">
            <v>7800000</v>
          </cell>
          <cell r="BW22">
            <v>4426000</v>
          </cell>
          <cell r="BX22">
            <v>24871986</v>
          </cell>
          <cell r="BY22">
            <v>1800000</v>
          </cell>
          <cell r="BZ22">
            <v>70000</v>
          </cell>
          <cell r="CA22">
            <v>83827986</v>
          </cell>
          <cell r="CD22">
            <v>4490000</v>
          </cell>
          <cell r="CE22">
            <v>4300000</v>
          </cell>
          <cell r="CF22">
            <v>1500000</v>
          </cell>
          <cell r="CG22">
            <v>4730000</v>
          </cell>
          <cell r="CH22">
            <v>3700000</v>
          </cell>
          <cell r="CI22">
            <v>3800000</v>
          </cell>
          <cell r="CJ22">
            <v>3400000</v>
          </cell>
          <cell r="CK22">
            <v>5200000</v>
          </cell>
          <cell r="CL22">
            <v>8000000</v>
          </cell>
          <cell r="CM22">
            <v>1700000</v>
          </cell>
          <cell r="CN22">
            <v>3720000</v>
          </cell>
          <cell r="CO22">
            <v>5420000</v>
          </cell>
          <cell r="CP22">
            <v>5600000</v>
          </cell>
          <cell r="CQ22">
            <v>4426000</v>
          </cell>
          <cell r="CR22">
            <v>23879986</v>
          </cell>
          <cell r="CS22">
            <v>1800000</v>
          </cell>
          <cell r="CT22">
            <v>70000</v>
          </cell>
          <cell r="CU22">
            <v>85735986</v>
          </cell>
          <cell r="CX22">
            <v>6690000</v>
          </cell>
          <cell r="CY22">
            <v>4300000</v>
          </cell>
          <cell r="CZ22">
            <v>1500000</v>
          </cell>
          <cell r="DA22">
            <v>1730000</v>
          </cell>
          <cell r="DB22">
            <v>3700000</v>
          </cell>
          <cell r="DC22">
            <v>4400000</v>
          </cell>
          <cell r="DD22">
            <v>4000000</v>
          </cell>
          <cell r="DE22">
            <v>6600000</v>
          </cell>
          <cell r="DF22">
            <v>11400000</v>
          </cell>
          <cell r="DG22">
            <v>2100000</v>
          </cell>
          <cell r="DH22">
            <v>4720000</v>
          </cell>
          <cell r="DI22">
            <v>8020000</v>
          </cell>
          <cell r="DJ22">
            <v>8900000</v>
          </cell>
          <cell r="DK22">
            <v>2426000</v>
          </cell>
          <cell r="DL22">
            <v>28025966.300000001</v>
          </cell>
          <cell r="DM22">
            <v>2550000</v>
          </cell>
          <cell r="DN22">
            <v>70000</v>
          </cell>
          <cell r="DO22">
            <v>101131966.3</v>
          </cell>
          <cell r="DR22">
            <v>6690000</v>
          </cell>
          <cell r="DS22">
            <v>5200000</v>
          </cell>
          <cell r="DT22">
            <v>1600000</v>
          </cell>
          <cell r="DU22">
            <v>2330000</v>
          </cell>
          <cell r="DV22">
            <v>5100000</v>
          </cell>
          <cell r="DW22">
            <v>6800000</v>
          </cell>
          <cell r="DX22">
            <v>5200000</v>
          </cell>
          <cell r="DY22">
            <v>8600000</v>
          </cell>
          <cell r="DZ22">
            <v>15400000</v>
          </cell>
          <cell r="EA22">
            <v>2100000</v>
          </cell>
          <cell r="EB22">
            <v>9220000</v>
          </cell>
          <cell r="EC22">
            <v>9720000</v>
          </cell>
          <cell r="ED22">
            <v>11300000</v>
          </cell>
          <cell r="EE22">
            <v>2726000</v>
          </cell>
          <cell r="EF22">
            <v>30605966.300000001</v>
          </cell>
          <cell r="EG22">
            <v>3650000</v>
          </cell>
          <cell r="EH22">
            <v>70000</v>
          </cell>
          <cell r="EI22">
            <v>126311966.3</v>
          </cell>
        </row>
        <row r="23">
          <cell r="B23">
            <v>0</v>
          </cell>
          <cell r="C23">
            <v>1100000</v>
          </cell>
          <cell r="D23">
            <v>-600000</v>
          </cell>
          <cell r="E23">
            <v>-300000</v>
          </cell>
          <cell r="F23">
            <v>600000</v>
          </cell>
          <cell r="G23">
            <v>1300000</v>
          </cell>
          <cell r="H23">
            <v>700000</v>
          </cell>
          <cell r="I23">
            <v>2450000</v>
          </cell>
          <cell r="J23">
            <v>1900000</v>
          </cell>
          <cell r="K23">
            <v>500000</v>
          </cell>
          <cell r="L23">
            <v>1200000</v>
          </cell>
          <cell r="M23">
            <v>1300000</v>
          </cell>
          <cell r="N23">
            <v>0</v>
          </cell>
          <cell r="O23">
            <v>1050000</v>
          </cell>
          <cell r="P23">
            <v>1971997</v>
          </cell>
          <cell r="Q23">
            <v>600000</v>
          </cell>
          <cell r="R23">
            <v>141000</v>
          </cell>
          <cell r="S23">
            <v>13912997</v>
          </cell>
          <cell r="V23">
            <v>505000</v>
          </cell>
          <cell r="W23">
            <v>1475000</v>
          </cell>
          <cell r="X23">
            <v>-400000</v>
          </cell>
          <cell r="Y23">
            <v>300000</v>
          </cell>
          <cell r="Z23">
            <v>1250000</v>
          </cell>
          <cell r="AA23">
            <v>2100000</v>
          </cell>
          <cell r="AB23">
            <v>700000</v>
          </cell>
          <cell r="AC23">
            <v>2450000</v>
          </cell>
          <cell r="AD23">
            <v>1900000</v>
          </cell>
          <cell r="AE23">
            <v>250000</v>
          </cell>
          <cell r="AF23">
            <v>1430000</v>
          </cell>
          <cell r="AG23">
            <v>1480000</v>
          </cell>
          <cell r="AH23">
            <v>1310000</v>
          </cell>
          <cell r="AI23">
            <v>1050000</v>
          </cell>
          <cell r="AJ23">
            <v>4801997</v>
          </cell>
          <cell r="AK23">
            <v>600000</v>
          </cell>
          <cell r="AL23">
            <v>141000</v>
          </cell>
          <cell r="AM23">
            <v>21342997</v>
          </cell>
          <cell r="AP23">
            <v>805000</v>
          </cell>
          <cell r="AQ23">
            <v>1775000</v>
          </cell>
          <cell r="AR23">
            <v>-400000</v>
          </cell>
          <cell r="AS23">
            <v>1200000</v>
          </cell>
          <cell r="AT23">
            <v>1750000</v>
          </cell>
          <cell r="AU23">
            <v>2500000</v>
          </cell>
          <cell r="AV23">
            <v>900000</v>
          </cell>
          <cell r="AW23">
            <v>3100000</v>
          </cell>
          <cell r="AX23">
            <v>2600000</v>
          </cell>
          <cell r="AY23">
            <v>450000</v>
          </cell>
          <cell r="AZ23">
            <v>1430000</v>
          </cell>
          <cell r="BA23">
            <v>1980000</v>
          </cell>
          <cell r="BB23">
            <v>1610000</v>
          </cell>
          <cell r="BC23">
            <v>1150000</v>
          </cell>
          <cell r="BD23">
            <v>6305997</v>
          </cell>
          <cell r="BE23">
            <v>700000</v>
          </cell>
          <cell r="BF23">
            <v>141000</v>
          </cell>
          <cell r="BG23">
            <v>27996997</v>
          </cell>
          <cell r="BJ23">
            <v>2305000</v>
          </cell>
          <cell r="BK23">
            <v>2775000</v>
          </cell>
          <cell r="BL23">
            <v>-400000</v>
          </cell>
          <cell r="BM23">
            <v>1200000</v>
          </cell>
          <cell r="BN23">
            <v>2150000</v>
          </cell>
          <cell r="BO23">
            <v>4750000</v>
          </cell>
          <cell r="BP23">
            <v>1900000</v>
          </cell>
          <cell r="BQ23">
            <v>4100000</v>
          </cell>
          <cell r="BR23">
            <v>5300000</v>
          </cell>
          <cell r="BS23">
            <v>1750000</v>
          </cell>
          <cell r="BT23">
            <v>1430000</v>
          </cell>
          <cell r="BU23">
            <v>2180000</v>
          </cell>
          <cell r="BV23">
            <v>2410000</v>
          </cell>
          <cell r="BW23">
            <v>2150000</v>
          </cell>
          <cell r="BX23">
            <v>6461997</v>
          </cell>
          <cell r="BY23">
            <v>1700000</v>
          </cell>
          <cell r="BZ23">
            <v>141000</v>
          </cell>
          <cell r="CA23">
            <v>42302997</v>
          </cell>
          <cell r="CD23">
            <v>2705000</v>
          </cell>
          <cell r="CE23">
            <v>2775000</v>
          </cell>
          <cell r="CF23">
            <v>-400000</v>
          </cell>
          <cell r="CG23">
            <v>1200000</v>
          </cell>
          <cell r="CH23">
            <v>2150000</v>
          </cell>
          <cell r="CI23">
            <v>4750000</v>
          </cell>
          <cell r="CJ23">
            <v>3700000</v>
          </cell>
          <cell r="CK23">
            <v>5600000</v>
          </cell>
          <cell r="CL23">
            <v>5300000</v>
          </cell>
          <cell r="CM23">
            <v>1750000</v>
          </cell>
          <cell r="CN23">
            <v>1980000</v>
          </cell>
          <cell r="CO23">
            <v>4380000</v>
          </cell>
          <cell r="CP23">
            <v>2910000</v>
          </cell>
          <cell r="CQ23">
            <v>2650000</v>
          </cell>
          <cell r="CR23">
            <v>6497997</v>
          </cell>
          <cell r="CS23">
            <v>1700000</v>
          </cell>
          <cell r="CT23">
            <v>141000</v>
          </cell>
          <cell r="CU23">
            <v>49788997</v>
          </cell>
          <cell r="CX23">
            <v>2905000</v>
          </cell>
          <cell r="CY23">
            <v>2775000</v>
          </cell>
          <cell r="CZ23">
            <v>-400000</v>
          </cell>
          <cell r="DA23">
            <v>-300000</v>
          </cell>
          <cell r="DB23">
            <v>2150000</v>
          </cell>
          <cell r="DC23">
            <v>5450000</v>
          </cell>
          <cell r="DD23">
            <v>3700000</v>
          </cell>
          <cell r="DE23">
            <v>6400000</v>
          </cell>
          <cell r="DF23">
            <v>6500000</v>
          </cell>
          <cell r="DG23">
            <v>2450000</v>
          </cell>
          <cell r="DH23">
            <v>2580000</v>
          </cell>
          <cell r="DI23">
            <v>5380000</v>
          </cell>
          <cell r="DJ23">
            <v>3410000</v>
          </cell>
          <cell r="DK23">
            <v>2150000</v>
          </cell>
          <cell r="DL23">
            <v>7657497</v>
          </cell>
          <cell r="DM23">
            <v>2100000</v>
          </cell>
          <cell r="DN23">
            <v>141000</v>
          </cell>
          <cell r="DO23">
            <v>55048497</v>
          </cell>
          <cell r="DR23">
            <v>2905000</v>
          </cell>
          <cell r="DS23">
            <v>3175000</v>
          </cell>
          <cell r="DT23">
            <v>-350000</v>
          </cell>
          <cell r="DU23">
            <v>0</v>
          </cell>
          <cell r="DV23">
            <v>2900000</v>
          </cell>
          <cell r="DW23">
            <v>5450000</v>
          </cell>
          <cell r="DX23">
            <v>3700000</v>
          </cell>
          <cell r="DY23">
            <v>6900000</v>
          </cell>
          <cell r="DZ23">
            <v>8200000</v>
          </cell>
          <cell r="EA23">
            <v>2450000</v>
          </cell>
          <cell r="EB23">
            <v>2780000</v>
          </cell>
          <cell r="EC23">
            <v>6180000</v>
          </cell>
          <cell r="ED23">
            <v>4010000</v>
          </cell>
          <cell r="EE23">
            <v>2300000</v>
          </cell>
          <cell r="EF23">
            <v>8047497</v>
          </cell>
          <cell r="EG23">
            <v>2100000</v>
          </cell>
          <cell r="EH23">
            <v>141000</v>
          </cell>
          <cell r="EI23">
            <v>60888497</v>
          </cell>
        </row>
        <row r="24">
          <cell r="B24">
            <v>240000</v>
          </cell>
          <cell r="C24">
            <v>0</v>
          </cell>
          <cell r="D24">
            <v>40000</v>
          </cell>
          <cell r="E24">
            <v>480000</v>
          </cell>
          <cell r="F24">
            <v>0</v>
          </cell>
          <cell r="G24">
            <v>120000</v>
          </cell>
          <cell r="H24">
            <v>280000</v>
          </cell>
          <cell r="I24">
            <v>440000</v>
          </cell>
          <cell r="J24">
            <v>240000</v>
          </cell>
          <cell r="K24">
            <v>80000</v>
          </cell>
          <cell r="L24">
            <v>120000</v>
          </cell>
          <cell r="M24">
            <v>220000</v>
          </cell>
          <cell r="N24">
            <v>120000</v>
          </cell>
          <cell r="O24">
            <v>1280000</v>
          </cell>
          <cell r="P24">
            <v>1001985</v>
          </cell>
          <cell r="Q24">
            <v>120000</v>
          </cell>
          <cell r="R24">
            <v>0</v>
          </cell>
          <cell r="S24">
            <v>4781985</v>
          </cell>
          <cell r="V24">
            <v>360000</v>
          </cell>
          <cell r="W24">
            <v>80000</v>
          </cell>
          <cell r="X24">
            <v>180000</v>
          </cell>
          <cell r="Y24">
            <v>660000</v>
          </cell>
          <cell r="Z24">
            <v>380000</v>
          </cell>
          <cell r="AA24">
            <v>360000</v>
          </cell>
          <cell r="AB24">
            <v>360000</v>
          </cell>
          <cell r="AC24">
            <v>640000</v>
          </cell>
          <cell r="AD24">
            <v>700000</v>
          </cell>
          <cell r="AE24">
            <v>280000</v>
          </cell>
          <cell r="AF24">
            <v>320000</v>
          </cell>
          <cell r="AG24">
            <v>340000</v>
          </cell>
          <cell r="AH24">
            <v>720000</v>
          </cell>
          <cell r="AI24">
            <v>1360000</v>
          </cell>
          <cell r="AJ24">
            <v>4401985</v>
          </cell>
          <cell r="AK24">
            <v>120000</v>
          </cell>
          <cell r="AL24">
            <v>100000</v>
          </cell>
          <cell r="AM24">
            <v>11361985</v>
          </cell>
          <cell r="AP24">
            <v>360000</v>
          </cell>
          <cell r="AQ24">
            <v>180000</v>
          </cell>
          <cell r="AR24">
            <v>180000</v>
          </cell>
          <cell r="AS24">
            <v>660000</v>
          </cell>
          <cell r="AT24">
            <v>380000</v>
          </cell>
          <cell r="AU24">
            <v>360000</v>
          </cell>
          <cell r="AV24">
            <v>360000</v>
          </cell>
          <cell r="AW24">
            <v>680000</v>
          </cell>
          <cell r="AX24">
            <v>860000</v>
          </cell>
          <cell r="AY24">
            <v>280000</v>
          </cell>
          <cell r="AZ24">
            <v>320000</v>
          </cell>
          <cell r="BA24">
            <v>420000</v>
          </cell>
          <cell r="BB24">
            <v>760000</v>
          </cell>
          <cell r="BC24">
            <v>1360000</v>
          </cell>
          <cell r="BD24">
            <v>4401985</v>
          </cell>
          <cell r="BE24">
            <v>260000</v>
          </cell>
          <cell r="BF24">
            <v>100000</v>
          </cell>
          <cell r="BG24">
            <v>11921985</v>
          </cell>
          <cell r="BJ24">
            <v>360000</v>
          </cell>
          <cell r="BK24">
            <v>180000</v>
          </cell>
          <cell r="BL24">
            <v>180000</v>
          </cell>
          <cell r="BM24">
            <v>740000</v>
          </cell>
          <cell r="BN24">
            <v>380000</v>
          </cell>
          <cell r="BO24">
            <v>360000</v>
          </cell>
          <cell r="BP24">
            <v>360000</v>
          </cell>
          <cell r="BQ24">
            <v>680000</v>
          </cell>
          <cell r="BR24">
            <v>860000</v>
          </cell>
          <cell r="BS24">
            <v>320000</v>
          </cell>
          <cell r="BT24">
            <v>320000</v>
          </cell>
          <cell r="BU24">
            <v>420000</v>
          </cell>
          <cell r="BV24">
            <v>760000</v>
          </cell>
          <cell r="BW24">
            <v>1360000</v>
          </cell>
          <cell r="BX24">
            <v>4485985</v>
          </cell>
          <cell r="BY24">
            <v>260000</v>
          </cell>
          <cell r="BZ24">
            <v>100000</v>
          </cell>
          <cell r="CA24">
            <v>12125985</v>
          </cell>
          <cell r="CD24">
            <v>360000</v>
          </cell>
          <cell r="CE24">
            <v>200000</v>
          </cell>
          <cell r="CF24">
            <v>180000</v>
          </cell>
          <cell r="CG24">
            <v>740000</v>
          </cell>
          <cell r="CH24">
            <v>380000</v>
          </cell>
          <cell r="CI24">
            <v>360000</v>
          </cell>
          <cell r="CJ24">
            <v>360000</v>
          </cell>
          <cell r="CK24">
            <v>680000</v>
          </cell>
          <cell r="CL24">
            <v>860000</v>
          </cell>
          <cell r="CM24">
            <v>320000</v>
          </cell>
          <cell r="CN24">
            <v>320000</v>
          </cell>
          <cell r="CO24">
            <v>420000</v>
          </cell>
          <cell r="CP24">
            <v>760000</v>
          </cell>
          <cell r="CQ24">
            <v>1360000</v>
          </cell>
          <cell r="CR24">
            <v>4495585</v>
          </cell>
          <cell r="CS24">
            <v>260000</v>
          </cell>
          <cell r="CT24">
            <v>100000</v>
          </cell>
          <cell r="CU24">
            <v>12155585</v>
          </cell>
          <cell r="CX24">
            <v>360000</v>
          </cell>
          <cell r="CY24">
            <v>200000</v>
          </cell>
          <cell r="CZ24">
            <v>180000</v>
          </cell>
          <cell r="DA24">
            <v>740000</v>
          </cell>
          <cell r="DB24">
            <v>380000</v>
          </cell>
          <cell r="DC24">
            <v>360000</v>
          </cell>
          <cell r="DD24">
            <v>360000</v>
          </cell>
          <cell r="DE24">
            <v>680000</v>
          </cell>
          <cell r="DF24">
            <v>940000</v>
          </cell>
          <cell r="DG24">
            <v>320000</v>
          </cell>
          <cell r="DH24">
            <v>320000</v>
          </cell>
          <cell r="DI24">
            <v>420000</v>
          </cell>
          <cell r="DJ24">
            <v>760000</v>
          </cell>
          <cell r="DK24">
            <v>1360000</v>
          </cell>
          <cell r="DL24">
            <v>4537185</v>
          </cell>
          <cell r="DM24">
            <v>260000</v>
          </cell>
          <cell r="DN24">
            <v>100000</v>
          </cell>
          <cell r="DO24">
            <v>12277185</v>
          </cell>
          <cell r="DR24">
            <v>360000</v>
          </cell>
          <cell r="DS24">
            <v>200000</v>
          </cell>
          <cell r="DT24">
            <v>180000</v>
          </cell>
          <cell r="DU24">
            <v>740000</v>
          </cell>
          <cell r="DV24">
            <v>380000</v>
          </cell>
          <cell r="DW24">
            <v>360000</v>
          </cell>
          <cell r="DX24">
            <v>360000</v>
          </cell>
          <cell r="DY24">
            <v>880000</v>
          </cell>
          <cell r="DZ24">
            <v>940000</v>
          </cell>
          <cell r="EA24">
            <v>320000</v>
          </cell>
          <cell r="EB24">
            <v>320000</v>
          </cell>
          <cell r="EC24">
            <v>520000</v>
          </cell>
          <cell r="ED24">
            <v>760000</v>
          </cell>
          <cell r="EE24">
            <v>1360000</v>
          </cell>
          <cell r="EF24">
            <v>4547585</v>
          </cell>
          <cell r="EG24">
            <v>260000</v>
          </cell>
          <cell r="EH24">
            <v>100000</v>
          </cell>
          <cell r="EI24">
            <v>12587585</v>
          </cell>
        </row>
        <row r="25">
          <cell r="B25">
            <v>320000</v>
          </cell>
          <cell r="C25">
            <v>20000</v>
          </cell>
          <cell r="D25">
            <v>40000</v>
          </cell>
          <cell r="E25">
            <v>490000</v>
          </cell>
          <cell r="F25">
            <v>40000</v>
          </cell>
          <cell r="G25">
            <v>140000</v>
          </cell>
          <cell r="H25">
            <v>240000</v>
          </cell>
          <cell r="I25">
            <v>490000</v>
          </cell>
          <cell r="J25">
            <v>260000</v>
          </cell>
          <cell r="K25">
            <v>30000</v>
          </cell>
          <cell r="L25">
            <v>140000</v>
          </cell>
          <cell r="M25">
            <v>250000</v>
          </cell>
          <cell r="N25">
            <v>300000</v>
          </cell>
          <cell r="O25">
            <v>560000</v>
          </cell>
          <cell r="P25">
            <v>553552</v>
          </cell>
          <cell r="Q25">
            <v>100000</v>
          </cell>
          <cell r="R25">
            <v>40000</v>
          </cell>
          <cell r="S25">
            <v>4013552</v>
          </cell>
          <cell r="V25">
            <v>120000</v>
          </cell>
          <cell r="W25">
            <v>20000</v>
          </cell>
          <cell r="X25">
            <v>60000</v>
          </cell>
          <cell r="Y25">
            <v>490000</v>
          </cell>
          <cell r="Z25">
            <v>40000</v>
          </cell>
          <cell r="AA25">
            <v>140000</v>
          </cell>
          <cell r="AB25">
            <v>240000</v>
          </cell>
          <cell r="AC25">
            <v>490000</v>
          </cell>
          <cell r="AD25">
            <v>260000</v>
          </cell>
          <cell r="AE25">
            <v>30000</v>
          </cell>
          <cell r="AF25">
            <v>180000</v>
          </cell>
          <cell r="AG25">
            <v>250000</v>
          </cell>
          <cell r="AH25">
            <v>440000</v>
          </cell>
          <cell r="AI25">
            <v>560000</v>
          </cell>
          <cell r="AJ25">
            <v>1303552</v>
          </cell>
          <cell r="AK25">
            <v>100000</v>
          </cell>
          <cell r="AL25">
            <v>80000</v>
          </cell>
          <cell r="AM25">
            <v>4803552</v>
          </cell>
          <cell r="AP25">
            <v>120000</v>
          </cell>
          <cell r="AQ25">
            <v>60000</v>
          </cell>
          <cell r="AR25">
            <v>70000</v>
          </cell>
          <cell r="AS25">
            <v>490000</v>
          </cell>
          <cell r="AT25">
            <v>100000</v>
          </cell>
          <cell r="AU25">
            <v>140000</v>
          </cell>
          <cell r="AV25">
            <v>260000</v>
          </cell>
          <cell r="AW25">
            <v>550000</v>
          </cell>
          <cell r="AX25">
            <v>320000</v>
          </cell>
          <cell r="AY25">
            <v>50000</v>
          </cell>
          <cell r="AZ25">
            <v>200000</v>
          </cell>
          <cell r="BA25">
            <v>270000</v>
          </cell>
          <cell r="BB25">
            <v>480000</v>
          </cell>
          <cell r="BC25">
            <v>560000</v>
          </cell>
          <cell r="BD25">
            <v>1504752</v>
          </cell>
          <cell r="BE25">
            <v>120000</v>
          </cell>
          <cell r="BF25">
            <v>80000</v>
          </cell>
          <cell r="BG25">
            <v>5374752</v>
          </cell>
          <cell r="BJ25">
            <v>320000</v>
          </cell>
          <cell r="BK25">
            <v>90000</v>
          </cell>
          <cell r="BL25">
            <v>70000</v>
          </cell>
          <cell r="BM25">
            <v>510000</v>
          </cell>
          <cell r="BN25">
            <v>180000</v>
          </cell>
          <cell r="BO25">
            <v>340000</v>
          </cell>
          <cell r="BP25">
            <v>360000</v>
          </cell>
          <cell r="BQ25">
            <v>690000</v>
          </cell>
          <cell r="BR25">
            <v>500000</v>
          </cell>
          <cell r="BS25">
            <v>90000</v>
          </cell>
          <cell r="BT25">
            <v>200000</v>
          </cell>
          <cell r="BU25">
            <v>310000</v>
          </cell>
          <cell r="BV25">
            <v>540000</v>
          </cell>
          <cell r="BW25">
            <v>600000</v>
          </cell>
          <cell r="BX25">
            <v>1557752</v>
          </cell>
          <cell r="BY25">
            <v>170000</v>
          </cell>
          <cell r="BZ25">
            <v>80000</v>
          </cell>
          <cell r="CA25">
            <v>6607752</v>
          </cell>
          <cell r="CD25">
            <v>320000</v>
          </cell>
          <cell r="CE25">
            <v>90000</v>
          </cell>
          <cell r="CF25">
            <v>70000</v>
          </cell>
          <cell r="CG25">
            <v>510000</v>
          </cell>
          <cell r="CH25">
            <v>180000</v>
          </cell>
          <cell r="CI25">
            <v>340000</v>
          </cell>
          <cell r="CJ25">
            <v>480000</v>
          </cell>
          <cell r="CK25">
            <v>950000</v>
          </cell>
          <cell r="CL25">
            <v>500000</v>
          </cell>
          <cell r="CM25">
            <v>90000</v>
          </cell>
          <cell r="CN25">
            <v>200000</v>
          </cell>
          <cell r="CO25">
            <v>410000</v>
          </cell>
          <cell r="CP25">
            <v>540000</v>
          </cell>
          <cell r="CQ25">
            <v>660000</v>
          </cell>
          <cell r="CR25">
            <v>1564952</v>
          </cell>
          <cell r="CS25">
            <v>170000</v>
          </cell>
          <cell r="CT25">
            <v>80000</v>
          </cell>
          <cell r="CU25">
            <v>7154952</v>
          </cell>
          <cell r="CX25">
            <v>320000</v>
          </cell>
          <cell r="CY25">
            <v>190000</v>
          </cell>
          <cell r="CZ25">
            <v>70000</v>
          </cell>
          <cell r="DA25">
            <v>510000</v>
          </cell>
          <cell r="DB25">
            <v>240000</v>
          </cell>
          <cell r="DC25">
            <v>420000</v>
          </cell>
          <cell r="DD25">
            <v>480000</v>
          </cell>
          <cell r="DE25">
            <v>1150000</v>
          </cell>
          <cell r="DF25">
            <v>680000</v>
          </cell>
          <cell r="DG25">
            <v>210000</v>
          </cell>
          <cell r="DH25">
            <v>200000</v>
          </cell>
          <cell r="DI25">
            <v>630000</v>
          </cell>
          <cell r="DJ25">
            <v>640000</v>
          </cell>
          <cell r="DK25">
            <v>700000</v>
          </cell>
          <cell r="DL25">
            <v>1611650.03</v>
          </cell>
          <cell r="DM25">
            <v>190000</v>
          </cell>
          <cell r="DN25">
            <v>80000</v>
          </cell>
          <cell r="DO25">
            <v>8321650.0300000003</v>
          </cell>
          <cell r="DR25">
            <v>380000</v>
          </cell>
          <cell r="DS25">
            <v>190000</v>
          </cell>
          <cell r="DT25">
            <v>180000</v>
          </cell>
          <cell r="DU25">
            <v>510000</v>
          </cell>
          <cell r="DV25">
            <v>300000</v>
          </cell>
          <cell r="DW25">
            <v>420000</v>
          </cell>
          <cell r="DX25">
            <v>480000</v>
          </cell>
          <cell r="DY25">
            <v>1210000</v>
          </cell>
          <cell r="DZ25">
            <v>780000</v>
          </cell>
          <cell r="EA25">
            <v>210000</v>
          </cell>
          <cell r="EB25">
            <v>200000</v>
          </cell>
          <cell r="EC25">
            <v>630000</v>
          </cell>
          <cell r="ED25">
            <v>640000</v>
          </cell>
          <cell r="EE25">
            <v>760000</v>
          </cell>
          <cell r="EF25">
            <v>1619650.03</v>
          </cell>
          <cell r="EG25">
            <v>190000</v>
          </cell>
          <cell r="EH25">
            <v>80000</v>
          </cell>
          <cell r="EI25">
            <v>8779650.0299999993</v>
          </cell>
        </row>
        <row r="26">
          <cell r="B26">
            <v>180000</v>
          </cell>
          <cell r="C26">
            <v>40000</v>
          </cell>
          <cell r="D26">
            <v>30000</v>
          </cell>
          <cell r="E26">
            <v>350000</v>
          </cell>
          <cell r="F26">
            <v>20000</v>
          </cell>
          <cell r="G26">
            <v>90000</v>
          </cell>
          <cell r="H26">
            <v>140000</v>
          </cell>
          <cell r="I26">
            <v>340000</v>
          </cell>
          <cell r="J26">
            <v>165000</v>
          </cell>
          <cell r="K26">
            <v>20000</v>
          </cell>
          <cell r="L26">
            <v>90000</v>
          </cell>
          <cell r="M26">
            <v>140000</v>
          </cell>
          <cell r="N26">
            <v>215000</v>
          </cell>
          <cell r="O26">
            <v>640000</v>
          </cell>
          <cell r="P26">
            <v>518773</v>
          </cell>
          <cell r="Q26">
            <v>70000</v>
          </cell>
          <cell r="R26">
            <v>20000</v>
          </cell>
          <cell r="S26">
            <v>3068773</v>
          </cell>
          <cell r="V26">
            <v>200000</v>
          </cell>
          <cell r="W26">
            <v>80000</v>
          </cell>
          <cell r="X26">
            <v>70000</v>
          </cell>
          <cell r="Y26">
            <v>400000</v>
          </cell>
          <cell r="Z26">
            <v>110000</v>
          </cell>
          <cell r="AA26">
            <v>120000</v>
          </cell>
          <cell r="AB26">
            <v>165000</v>
          </cell>
          <cell r="AC26">
            <v>410000</v>
          </cell>
          <cell r="AD26">
            <v>285000</v>
          </cell>
          <cell r="AE26">
            <v>45000</v>
          </cell>
          <cell r="AF26">
            <v>310000</v>
          </cell>
          <cell r="AG26">
            <v>210000</v>
          </cell>
          <cell r="AH26">
            <v>760000</v>
          </cell>
          <cell r="AI26">
            <v>690000</v>
          </cell>
          <cell r="AJ26">
            <v>2419173</v>
          </cell>
          <cell r="AK26">
            <v>70000</v>
          </cell>
          <cell r="AL26">
            <v>65000</v>
          </cell>
          <cell r="AM26">
            <v>6409173</v>
          </cell>
          <cell r="AP26">
            <v>200000</v>
          </cell>
          <cell r="AQ26">
            <v>120000</v>
          </cell>
          <cell r="AR26">
            <v>120000</v>
          </cell>
          <cell r="AS26">
            <v>400000</v>
          </cell>
          <cell r="AT26">
            <v>160000</v>
          </cell>
          <cell r="AU26">
            <v>190000</v>
          </cell>
          <cell r="AV26">
            <v>240000</v>
          </cell>
          <cell r="AW26">
            <v>490000</v>
          </cell>
          <cell r="AX26">
            <v>360000</v>
          </cell>
          <cell r="AY26">
            <v>115000</v>
          </cell>
          <cell r="AZ26">
            <v>350000</v>
          </cell>
          <cell r="BA26">
            <v>318000</v>
          </cell>
          <cell r="BB26">
            <v>825000</v>
          </cell>
          <cell r="BC26">
            <v>723700</v>
          </cell>
          <cell r="BD26">
            <v>2570573</v>
          </cell>
          <cell r="BE26">
            <v>120000</v>
          </cell>
          <cell r="BF26">
            <v>105000</v>
          </cell>
          <cell r="BG26">
            <v>7407273</v>
          </cell>
          <cell r="BJ26">
            <v>250000</v>
          </cell>
          <cell r="BK26">
            <v>120000</v>
          </cell>
          <cell r="BL26">
            <v>120000</v>
          </cell>
          <cell r="BM26">
            <v>410000</v>
          </cell>
          <cell r="BN26">
            <v>190000</v>
          </cell>
          <cell r="BO26">
            <v>240000</v>
          </cell>
          <cell r="BP26">
            <v>260000</v>
          </cell>
          <cell r="BQ26">
            <v>550000</v>
          </cell>
          <cell r="BR26">
            <v>440000</v>
          </cell>
          <cell r="BS26">
            <v>145000</v>
          </cell>
          <cell r="BT26">
            <v>350000</v>
          </cell>
          <cell r="BU26">
            <v>318000</v>
          </cell>
          <cell r="BV26">
            <v>850000</v>
          </cell>
          <cell r="BW26">
            <v>743700</v>
          </cell>
          <cell r="BX26">
            <v>2596173</v>
          </cell>
          <cell r="BY26">
            <v>130000</v>
          </cell>
          <cell r="BZ26">
            <v>105000</v>
          </cell>
          <cell r="CA26">
            <v>7817873</v>
          </cell>
          <cell r="CD26">
            <v>250000</v>
          </cell>
          <cell r="CE26">
            <v>120000</v>
          </cell>
          <cell r="CF26">
            <v>120000</v>
          </cell>
          <cell r="CG26">
            <v>410000</v>
          </cell>
          <cell r="CH26">
            <v>190000</v>
          </cell>
          <cell r="CI26">
            <v>240000</v>
          </cell>
          <cell r="CJ26">
            <v>260000</v>
          </cell>
          <cell r="CK26">
            <v>670000</v>
          </cell>
          <cell r="CL26">
            <v>440000</v>
          </cell>
          <cell r="CM26">
            <v>145000</v>
          </cell>
          <cell r="CN26">
            <v>350000</v>
          </cell>
          <cell r="CO26">
            <v>318000</v>
          </cell>
          <cell r="CP26">
            <v>850000</v>
          </cell>
          <cell r="CQ26">
            <v>763700</v>
          </cell>
          <cell r="CR26">
            <v>2599673</v>
          </cell>
          <cell r="CS26">
            <v>130000</v>
          </cell>
          <cell r="CT26">
            <v>105000</v>
          </cell>
          <cell r="CU26">
            <v>7961373</v>
          </cell>
          <cell r="CX26">
            <v>250000</v>
          </cell>
          <cell r="CY26">
            <v>130000</v>
          </cell>
          <cell r="CZ26">
            <v>120000</v>
          </cell>
          <cell r="DA26">
            <v>410000</v>
          </cell>
          <cell r="DB26">
            <v>210000</v>
          </cell>
          <cell r="DC26">
            <v>240000</v>
          </cell>
          <cell r="DD26">
            <v>260000</v>
          </cell>
          <cell r="DE26">
            <v>745000</v>
          </cell>
          <cell r="DF26">
            <v>505000</v>
          </cell>
          <cell r="DG26">
            <v>175000</v>
          </cell>
          <cell r="DH26">
            <v>350000</v>
          </cell>
          <cell r="DI26">
            <v>318000</v>
          </cell>
          <cell r="DJ26">
            <v>870000</v>
          </cell>
          <cell r="DK26">
            <v>763700</v>
          </cell>
          <cell r="DL26">
            <v>2603949.5150000001</v>
          </cell>
          <cell r="DM26">
            <v>130000</v>
          </cell>
          <cell r="DN26">
            <v>105000</v>
          </cell>
          <cell r="DO26">
            <v>8185649.5150000006</v>
          </cell>
          <cell r="DR26">
            <v>290000</v>
          </cell>
          <cell r="DS26">
            <v>130000</v>
          </cell>
          <cell r="DT26">
            <v>130000</v>
          </cell>
          <cell r="DU26">
            <v>410000</v>
          </cell>
          <cell r="DV26">
            <v>220000</v>
          </cell>
          <cell r="DW26">
            <v>260000</v>
          </cell>
          <cell r="DX26">
            <v>260000</v>
          </cell>
          <cell r="DY26">
            <v>795000</v>
          </cell>
          <cell r="DZ26">
            <v>535000</v>
          </cell>
          <cell r="EA26">
            <v>175000</v>
          </cell>
          <cell r="EB26">
            <v>350000</v>
          </cell>
          <cell r="EC26">
            <v>368000</v>
          </cell>
          <cell r="ED26">
            <v>870000</v>
          </cell>
          <cell r="EE26">
            <v>763700</v>
          </cell>
          <cell r="EF26">
            <v>2608049.5150000001</v>
          </cell>
          <cell r="EG26">
            <v>130000</v>
          </cell>
          <cell r="EH26">
            <v>105000</v>
          </cell>
          <cell r="EI26">
            <v>8399749.5150000006</v>
          </cell>
        </row>
        <row r="27">
          <cell r="B27">
            <v>84000</v>
          </cell>
          <cell r="C27">
            <v>16000</v>
          </cell>
          <cell r="D27">
            <v>16000</v>
          </cell>
          <cell r="E27">
            <v>198000</v>
          </cell>
          <cell r="F27">
            <v>8000</v>
          </cell>
          <cell r="G27">
            <v>28000</v>
          </cell>
          <cell r="H27">
            <v>76000</v>
          </cell>
          <cell r="I27">
            <v>158000</v>
          </cell>
          <cell r="J27">
            <v>80000</v>
          </cell>
          <cell r="K27">
            <v>14000</v>
          </cell>
          <cell r="L27">
            <v>58000</v>
          </cell>
          <cell r="M27">
            <v>84000</v>
          </cell>
          <cell r="N27">
            <v>92000</v>
          </cell>
          <cell r="O27">
            <v>218000</v>
          </cell>
          <cell r="P27">
            <v>247487</v>
          </cell>
          <cell r="Q27">
            <v>32000</v>
          </cell>
          <cell r="R27">
            <v>14000</v>
          </cell>
          <cell r="S27">
            <v>1423487</v>
          </cell>
          <cell r="V27">
            <v>116000</v>
          </cell>
          <cell r="W27">
            <v>29000</v>
          </cell>
          <cell r="X27">
            <v>45000</v>
          </cell>
          <cell r="Y27">
            <v>326000</v>
          </cell>
          <cell r="Z27">
            <v>64000</v>
          </cell>
          <cell r="AA27">
            <v>88000</v>
          </cell>
          <cell r="AB27">
            <v>114000</v>
          </cell>
          <cell r="AC27">
            <v>224000</v>
          </cell>
          <cell r="AD27">
            <v>140000</v>
          </cell>
          <cell r="AE27">
            <v>46000</v>
          </cell>
          <cell r="AF27">
            <v>202000</v>
          </cell>
          <cell r="AG27">
            <v>124000</v>
          </cell>
          <cell r="AH27">
            <v>371600</v>
          </cell>
          <cell r="AI27">
            <v>266000</v>
          </cell>
          <cell r="AJ27">
            <v>1007487</v>
          </cell>
          <cell r="AK27">
            <v>32000</v>
          </cell>
          <cell r="AL27">
            <v>30000</v>
          </cell>
          <cell r="AM27">
            <v>3225087</v>
          </cell>
          <cell r="AP27">
            <v>116000</v>
          </cell>
          <cell r="AQ27">
            <v>53000</v>
          </cell>
          <cell r="AR27">
            <v>71000</v>
          </cell>
          <cell r="AS27">
            <v>326000</v>
          </cell>
          <cell r="AT27">
            <v>82000</v>
          </cell>
          <cell r="AU27">
            <v>102000</v>
          </cell>
          <cell r="AV27">
            <v>134000</v>
          </cell>
          <cell r="AW27">
            <v>252000</v>
          </cell>
          <cell r="AX27">
            <v>180000</v>
          </cell>
          <cell r="AY27">
            <v>58000</v>
          </cell>
          <cell r="AZ27">
            <v>208000</v>
          </cell>
          <cell r="BA27">
            <v>156000</v>
          </cell>
          <cell r="BB27">
            <v>411600</v>
          </cell>
          <cell r="BC27">
            <v>284000</v>
          </cell>
          <cell r="BD27">
            <v>1007807</v>
          </cell>
          <cell r="BE27">
            <v>58000</v>
          </cell>
          <cell r="BF27">
            <v>56000</v>
          </cell>
          <cell r="BG27">
            <v>3555407</v>
          </cell>
          <cell r="BJ27">
            <v>116000</v>
          </cell>
          <cell r="BK27">
            <v>53000</v>
          </cell>
          <cell r="BL27">
            <v>71000</v>
          </cell>
          <cell r="BM27">
            <v>330000</v>
          </cell>
          <cell r="BN27">
            <v>90000</v>
          </cell>
          <cell r="BO27">
            <v>122000</v>
          </cell>
          <cell r="BP27">
            <v>134000</v>
          </cell>
          <cell r="BQ27">
            <v>272000</v>
          </cell>
          <cell r="BR27">
            <v>200000</v>
          </cell>
          <cell r="BS27">
            <v>74000</v>
          </cell>
          <cell r="BT27">
            <v>208000</v>
          </cell>
          <cell r="BU27">
            <v>156000</v>
          </cell>
          <cell r="BV27">
            <v>411600</v>
          </cell>
          <cell r="BW27">
            <v>296000</v>
          </cell>
          <cell r="BX27">
            <v>1017887</v>
          </cell>
          <cell r="BY27">
            <v>58000</v>
          </cell>
          <cell r="BZ27">
            <v>56000</v>
          </cell>
          <cell r="CA27">
            <v>3665487</v>
          </cell>
          <cell r="CD27">
            <v>116000</v>
          </cell>
          <cell r="CE27">
            <v>53000</v>
          </cell>
          <cell r="CF27">
            <v>71000</v>
          </cell>
          <cell r="CG27">
            <v>330000</v>
          </cell>
          <cell r="CH27">
            <v>90000</v>
          </cell>
          <cell r="CI27">
            <v>122000</v>
          </cell>
          <cell r="CJ27">
            <v>134000</v>
          </cell>
          <cell r="CK27">
            <v>272000</v>
          </cell>
          <cell r="CL27">
            <v>200000</v>
          </cell>
          <cell r="CM27">
            <v>74000</v>
          </cell>
          <cell r="CN27">
            <v>208000</v>
          </cell>
          <cell r="CO27">
            <v>156000</v>
          </cell>
          <cell r="CP27">
            <v>411600</v>
          </cell>
          <cell r="CQ27">
            <v>296000</v>
          </cell>
          <cell r="CR27">
            <v>1019327</v>
          </cell>
          <cell r="CS27">
            <v>58000</v>
          </cell>
          <cell r="CT27">
            <v>56000</v>
          </cell>
          <cell r="CU27">
            <v>3666927</v>
          </cell>
          <cell r="CX27">
            <v>116000</v>
          </cell>
          <cell r="CY27">
            <v>57000</v>
          </cell>
          <cell r="CZ27">
            <v>71000</v>
          </cell>
          <cell r="DA27">
            <v>330000</v>
          </cell>
          <cell r="DB27">
            <v>90000</v>
          </cell>
          <cell r="DC27">
            <v>122000</v>
          </cell>
          <cell r="DD27">
            <v>134000</v>
          </cell>
          <cell r="DE27">
            <v>272000</v>
          </cell>
          <cell r="DF27">
            <v>216000</v>
          </cell>
          <cell r="DG27">
            <v>78000</v>
          </cell>
          <cell r="DH27">
            <v>208000</v>
          </cell>
          <cell r="DI27">
            <v>156000</v>
          </cell>
          <cell r="DJ27">
            <v>411600</v>
          </cell>
          <cell r="DK27">
            <v>296000</v>
          </cell>
          <cell r="DL27">
            <v>1021017.606</v>
          </cell>
          <cell r="DM27">
            <v>58000</v>
          </cell>
          <cell r="DN27">
            <v>56000</v>
          </cell>
          <cell r="DO27">
            <v>3692617.6060000001</v>
          </cell>
          <cell r="DR27">
            <v>116000</v>
          </cell>
          <cell r="DS27">
            <v>57000</v>
          </cell>
          <cell r="DT27">
            <v>79000</v>
          </cell>
          <cell r="DU27">
            <v>330000</v>
          </cell>
          <cell r="DV27">
            <v>100000</v>
          </cell>
          <cell r="DW27">
            <v>122000</v>
          </cell>
          <cell r="DX27">
            <v>134000</v>
          </cell>
          <cell r="DY27">
            <v>292000</v>
          </cell>
          <cell r="DZ27">
            <v>240000</v>
          </cell>
          <cell r="EA27">
            <v>78000</v>
          </cell>
          <cell r="EB27">
            <v>208000</v>
          </cell>
          <cell r="EC27">
            <v>176000</v>
          </cell>
          <cell r="ED27">
            <v>411600</v>
          </cell>
          <cell r="EE27">
            <v>296000</v>
          </cell>
          <cell r="EF27">
            <v>1022657.606</v>
          </cell>
          <cell r="EG27">
            <v>58000</v>
          </cell>
          <cell r="EH27">
            <v>56000</v>
          </cell>
          <cell r="EI27">
            <v>3776257.6060000001</v>
          </cell>
        </row>
        <row r="28">
          <cell r="B28">
            <v>7000</v>
          </cell>
          <cell r="C28">
            <v>4000</v>
          </cell>
          <cell r="D28">
            <v>2000</v>
          </cell>
          <cell r="E28">
            <v>9000</v>
          </cell>
          <cell r="F28">
            <v>3000</v>
          </cell>
          <cell r="G28">
            <v>4000</v>
          </cell>
          <cell r="H28">
            <v>10000</v>
          </cell>
          <cell r="I28">
            <v>12000</v>
          </cell>
          <cell r="J28">
            <v>14000</v>
          </cell>
          <cell r="K28">
            <v>0</v>
          </cell>
          <cell r="L28">
            <v>5000</v>
          </cell>
          <cell r="M28">
            <v>7000</v>
          </cell>
          <cell r="N28">
            <v>9000</v>
          </cell>
          <cell r="O28">
            <v>18000</v>
          </cell>
          <cell r="P28">
            <v>475</v>
          </cell>
          <cell r="Q28">
            <v>4000</v>
          </cell>
          <cell r="R28">
            <v>1000</v>
          </cell>
          <cell r="S28">
            <v>109475</v>
          </cell>
          <cell r="V28">
            <v>7000</v>
          </cell>
          <cell r="W28">
            <v>4000</v>
          </cell>
          <cell r="X28">
            <v>2000</v>
          </cell>
          <cell r="Y28">
            <v>9000</v>
          </cell>
          <cell r="Z28">
            <v>3000</v>
          </cell>
          <cell r="AA28">
            <v>4000</v>
          </cell>
          <cell r="AB28">
            <v>10000</v>
          </cell>
          <cell r="AC28">
            <v>22000</v>
          </cell>
          <cell r="AD28">
            <v>18000</v>
          </cell>
          <cell r="AE28">
            <v>0</v>
          </cell>
          <cell r="AF28">
            <v>5000</v>
          </cell>
          <cell r="AG28">
            <v>7000</v>
          </cell>
          <cell r="AH28">
            <v>13000</v>
          </cell>
          <cell r="AI28">
            <v>18000</v>
          </cell>
          <cell r="AJ28">
            <v>475</v>
          </cell>
          <cell r="AK28">
            <v>4000</v>
          </cell>
          <cell r="AL28">
            <v>2000</v>
          </cell>
          <cell r="AM28">
            <v>128475</v>
          </cell>
          <cell r="AP28">
            <v>7000</v>
          </cell>
          <cell r="AQ28">
            <v>4000</v>
          </cell>
          <cell r="AR28">
            <v>2000</v>
          </cell>
          <cell r="AS28">
            <v>9000</v>
          </cell>
          <cell r="AT28">
            <v>3000</v>
          </cell>
          <cell r="AU28">
            <v>4000</v>
          </cell>
          <cell r="AV28">
            <v>10000</v>
          </cell>
          <cell r="AW28">
            <v>22000</v>
          </cell>
          <cell r="AX28">
            <v>18000</v>
          </cell>
          <cell r="AY28">
            <v>2000</v>
          </cell>
          <cell r="AZ28">
            <v>5000</v>
          </cell>
          <cell r="BA28">
            <v>7000</v>
          </cell>
          <cell r="BB28">
            <v>13000</v>
          </cell>
          <cell r="BC28">
            <v>18000</v>
          </cell>
          <cell r="BD28">
            <v>475</v>
          </cell>
          <cell r="BE28">
            <v>4000</v>
          </cell>
          <cell r="BF28">
            <v>2000</v>
          </cell>
          <cell r="BG28">
            <v>130475</v>
          </cell>
          <cell r="BJ28">
            <v>7000</v>
          </cell>
          <cell r="BK28">
            <v>4000</v>
          </cell>
          <cell r="BL28">
            <v>2000</v>
          </cell>
          <cell r="BM28">
            <v>9000</v>
          </cell>
          <cell r="BN28">
            <v>3000</v>
          </cell>
          <cell r="BO28">
            <v>4000</v>
          </cell>
          <cell r="BP28">
            <v>10000</v>
          </cell>
          <cell r="BQ28">
            <v>22000</v>
          </cell>
          <cell r="BR28">
            <v>18000</v>
          </cell>
          <cell r="BS28">
            <v>2000</v>
          </cell>
          <cell r="BT28">
            <v>5000</v>
          </cell>
          <cell r="BU28">
            <v>7000</v>
          </cell>
          <cell r="BV28">
            <v>13000</v>
          </cell>
          <cell r="BW28">
            <v>18000</v>
          </cell>
          <cell r="BX28">
            <v>475</v>
          </cell>
          <cell r="BY28">
            <v>4000</v>
          </cell>
          <cell r="BZ28">
            <v>2000</v>
          </cell>
          <cell r="CA28">
            <v>130475</v>
          </cell>
          <cell r="CD28">
            <v>7000</v>
          </cell>
          <cell r="CE28">
            <v>4000</v>
          </cell>
          <cell r="CF28">
            <v>2000</v>
          </cell>
          <cell r="CG28">
            <v>9000</v>
          </cell>
          <cell r="CH28">
            <v>3000</v>
          </cell>
          <cell r="CI28">
            <v>4000</v>
          </cell>
          <cell r="CJ28">
            <v>10000</v>
          </cell>
          <cell r="CK28">
            <v>22000</v>
          </cell>
          <cell r="CL28">
            <v>18000</v>
          </cell>
          <cell r="CM28">
            <v>2000</v>
          </cell>
          <cell r="CN28">
            <v>5000</v>
          </cell>
          <cell r="CO28">
            <v>7000</v>
          </cell>
          <cell r="CP28">
            <v>13000</v>
          </cell>
          <cell r="CQ28">
            <v>18000</v>
          </cell>
          <cell r="CR28">
            <v>475</v>
          </cell>
          <cell r="CS28">
            <v>4000</v>
          </cell>
          <cell r="CT28">
            <v>2000</v>
          </cell>
          <cell r="CU28">
            <v>130475</v>
          </cell>
          <cell r="CX28">
            <v>7000</v>
          </cell>
          <cell r="CY28">
            <v>4000</v>
          </cell>
          <cell r="CZ28">
            <v>2000</v>
          </cell>
          <cell r="DA28">
            <v>9000</v>
          </cell>
          <cell r="DB28">
            <v>3000</v>
          </cell>
          <cell r="DC28">
            <v>4000</v>
          </cell>
          <cell r="DD28">
            <v>10000</v>
          </cell>
          <cell r="DE28">
            <v>22000</v>
          </cell>
          <cell r="DF28">
            <v>18000</v>
          </cell>
          <cell r="DG28">
            <v>2000</v>
          </cell>
          <cell r="DH28">
            <v>5000</v>
          </cell>
          <cell r="DI28">
            <v>7000</v>
          </cell>
          <cell r="DJ28">
            <v>13000</v>
          </cell>
          <cell r="DK28">
            <v>18000</v>
          </cell>
          <cell r="DL28">
            <v>475.303</v>
          </cell>
          <cell r="DM28">
            <v>4000</v>
          </cell>
          <cell r="DN28">
            <v>2000</v>
          </cell>
          <cell r="DO28">
            <v>130475.303</v>
          </cell>
          <cell r="DR28">
            <v>7000</v>
          </cell>
          <cell r="DS28">
            <v>4000</v>
          </cell>
          <cell r="DT28">
            <v>3000</v>
          </cell>
          <cell r="DU28">
            <v>9000</v>
          </cell>
          <cell r="DV28">
            <v>3000</v>
          </cell>
          <cell r="DW28">
            <v>4000</v>
          </cell>
          <cell r="DX28">
            <v>10000</v>
          </cell>
          <cell r="DY28">
            <v>22000</v>
          </cell>
          <cell r="DZ28">
            <v>25000</v>
          </cell>
          <cell r="EA28">
            <v>2000</v>
          </cell>
          <cell r="EB28">
            <v>5000</v>
          </cell>
          <cell r="EC28">
            <v>9000</v>
          </cell>
          <cell r="ED28">
            <v>17000</v>
          </cell>
          <cell r="EE28">
            <v>22000</v>
          </cell>
          <cell r="EF28">
            <v>475.303</v>
          </cell>
          <cell r="EG28">
            <v>4000</v>
          </cell>
          <cell r="EH28">
            <v>2000</v>
          </cell>
          <cell r="EI28">
            <v>148475.30300000001</v>
          </cell>
        </row>
        <row r="29">
          <cell r="B29">
            <v>1331000</v>
          </cell>
          <cell r="C29">
            <v>2580000</v>
          </cell>
          <cell r="D29">
            <v>-472000</v>
          </cell>
          <cell r="E29">
            <v>-573000</v>
          </cell>
          <cell r="F29">
            <v>2171000</v>
          </cell>
          <cell r="G29">
            <v>3082000</v>
          </cell>
          <cell r="H29">
            <v>3246000</v>
          </cell>
          <cell r="I29">
            <v>5890000</v>
          </cell>
          <cell r="J29">
            <v>4459000</v>
          </cell>
          <cell r="K29">
            <v>1044000</v>
          </cell>
          <cell r="L29">
            <v>3213000</v>
          </cell>
          <cell r="M29">
            <v>3801000</v>
          </cell>
          <cell r="N29">
            <v>1136000</v>
          </cell>
          <cell r="O29">
            <v>3566000</v>
          </cell>
          <cell r="P29">
            <v>8122255</v>
          </cell>
          <cell r="Q29">
            <v>1926000</v>
          </cell>
          <cell r="R29">
            <v>286000</v>
          </cell>
          <cell r="S29">
            <v>44808255</v>
          </cell>
          <cell r="V29">
            <v>4998000</v>
          </cell>
          <cell r="W29">
            <v>3788000</v>
          </cell>
          <cell r="X29">
            <v>657000</v>
          </cell>
          <cell r="Y29">
            <v>4415000</v>
          </cell>
          <cell r="Z29">
            <v>3347000</v>
          </cell>
          <cell r="AA29">
            <v>4612000</v>
          </cell>
          <cell r="AB29">
            <v>3389000</v>
          </cell>
          <cell r="AC29">
            <v>7436000</v>
          </cell>
          <cell r="AD29">
            <v>5103000</v>
          </cell>
          <cell r="AE29">
            <v>951000</v>
          </cell>
          <cell r="AF29">
            <v>5367000</v>
          </cell>
          <cell r="AG29">
            <v>6091000</v>
          </cell>
          <cell r="AH29">
            <v>8914600</v>
          </cell>
          <cell r="AI29">
            <v>6344000</v>
          </cell>
          <cell r="AJ29">
            <v>29980655</v>
          </cell>
          <cell r="AK29">
            <v>1926000</v>
          </cell>
          <cell r="AL29">
            <v>188000</v>
          </cell>
          <cell r="AM29">
            <v>97507255</v>
          </cell>
          <cell r="AP29">
            <v>5698000</v>
          </cell>
          <cell r="AQ29">
            <v>5292000</v>
          </cell>
          <cell r="AR29">
            <v>1843000</v>
          </cell>
          <cell r="AS29">
            <v>7815000</v>
          </cell>
          <cell r="AT29">
            <v>5375000</v>
          </cell>
          <cell r="AU29">
            <v>6496000</v>
          </cell>
          <cell r="AV29">
            <v>4304000</v>
          </cell>
          <cell r="AW29">
            <v>9894000</v>
          </cell>
          <cell r="AX29">
            <v>7938000</v>
          </cell>
          <cell r="AY29">
            <v>2055000</v>
          </cell>
          <cell r="AZ29">
            <v>6033000</v>
          </cell>
          <cell r="BA29">
            <v>8371000</v>
          </cell>
          <cell r="BB29">
            <v>13499600</v>
          </cell>
          <cell r="BC29">
            <v>8521700</v>
          </cell>
          <cell r="BD29">
            <v>40195575</v>
          </cell>
          <cell r="BE29">
            <v>3062000</v>
          </cell>
          <cell r="BF29">
            <v>554000</v>
          </cell>
          <cell r="BG29">
            <v>136946875</v>
          </cell>
          <cell r="BJ29">
            <v>7448000</v>
          </cell>
          <cell r="BK29">
            <v>6322000</v>
          </cell>
          <cell r="BL29">
            <v>1843000</v>
          </cell>
          <cell r="BM29">
            <v>7929000</v>
          </cell>
          <cell r="BN29">
            <v>6693000</v>
          </cell>
          <cell r="BO29">
            <v>9616000</v>
          </cell>
          <cell r="BP29">
            <v>5424000</v>
          </cell>
          <cell r="BQ29">
            <v>11114000</v>
          </cell>
          <cell r="BR29">
            <v>13118000</v>
          </cell>
          <cell r="BS29">
            <v>4081000</v>
          </cell>
          <cell r="BT29">
            <v>6033000</v>
          </cell>
          <cell r="BU29">
            <v>8811000</v>
          </cell>
          <cell r="BV29">
            <v>12784600</v>
          </cell>
          <cell r="BW29">
            <v>9593700</v>
          </cell>
          <cell r="BX29">
            <v>40992255</v>
          </cell>
          <cell r="BY29">
            <v>4122000</v>
          </cell>
          <cell r="BZ29">
            <v>554000</v>
          </cell>
          <cell r="CA29">
            <v>156478555</v>
          </cell>
          <cell r="CD29">
            <v>8248000</v>
          </cell>
          <cell r="CE29">
            <v>7542000</v>
          </cell>
          <cell r="CF29">
            <v>1543000</v>
          </cell>
          <cell r="CG29">
            <v>7929000</v>
          </cell>
          <cell r="CH29">
            <v>6693000</v>
          </cell>
          <cell r="CI29">
            <v>9616000</v>
          </cell>
          <cell r="CJ29">
            <v>8344000</v>
          </cell>
          <cell r="CK29">
            <v>13394000</v>
          </cell>
          <cell r="CL29">
            <v>15318000</v>
          </cell>
          <cell r="CM29">
            <v>4081000</v>
          </cell>
          <cell r="CN29">
            <v>6783000</v>
          </cell>
          <cell r="CO29">
            <v>11111000</v>
          </cell>
          <cell r="CP29">
            <v>11084600</v>
          </cell>
          <cell r="CQ29">
            <v>10173700</v>
          </cell>
          <cell r="CR29">
            <v>40057995</v>
          </cell>
          <cell r="CS29">
            <v>4122000</v>
          </cell>
          <cell r="CT29">
            <v>554000</v>
          </cell>
          <cell r="CU29">
            <v>166594295</v>
          </cell>
          <cell r="CX29">
            <v>10648000</v>
          </cell>
          <cell r="CY29">
            <v>7656000</v>
          </cell>
          <cell r="CZ29">
            <v>1543000</v>
          </cell>
          <cell r="DA29">
            <v>3429000</v>
          </cell>
          <cell r="DB29">
            <v>6773000</v>
          </cell>
          <cell r="DC29">
            <v>10996000</v>
          </cell>
          <cell r="DD29">
            <v>8944000</v>
          </cell>
          <cell r="DE29">
            <v>15869000</v>
          </cell>
          <cell r="DF29">
            <v>20259000</v>
          </cell>
          <cell r="DG29">
            <v>5335000</v>
          </cell>
          <cell r="DH29">
            <v>8383000</v>
          </cell>
          <cell r="DI29">
            <v>14931000</v>
          </cell>
          <cell r="DJ29">
            <v>15004600</v>
          </cell>
          <cell r="DK29">
            <v>7713700</v>
          </cell>
          <cell r="DL29">
            <v>45457740.754000001</v>
          </cell>
          <cell r="DM29">
            <v>5292000</v>
          </cell>
          <cell r="DN29">
            <v>554000</v>
          </cell>
          <cell r="DO29">
            <v>188788040.75400004</v>
          </cell>
          <cell r="DR29">
            <v>10748000</v>
          </cell>
          <cell r="DS29">
            <v>8956000</v>
          </cell>
          <cell r="DT29">
            <v>1822000</v>
          </cell>
          <cell r="DU29">
            <v>4329000</v>
          </cell>
          <cell r="DV29">
            <v>9003000</v>
          </cell>
          <cell r="DW29">
            <v>13416000</v>
          </cell>
          <cell r="DX29">
            <v>10144000</v>
          </cell>
          <cell r="DY29">
            <v>18699000</v>
          </cell>
          <cell r="DZ29">
            <v>26120000</v>
          </cell>
          <cell r="EA29">
            <v>5335000</v>
          </cell>
          <cell r="EB29">
            <v>13083000</v>
          </cell>
          <cell r="EC29">
            <v>17603000</v>
          </cell>
          <cell r="ED29">
            <v>18008600</v>
          </cell>
          <cell r="EE29">
            <v>8227700</v>
          </cell>
          <cell r="EF29">
            <v>48451880.754000001</v>
          </cell>
          <cell r="EG29">
            <v>6392000</v>
          </cell>
          <cell r="EH29">
            <v>554000</v>
          </cell>
          <cell r="EI29">
            <v>220892180.75400004</v>
          </cell>
        </row>
        <row r="30">
          <cell r="B30">
            <v>2800</v>
          </cell>
          <cell r="C30">
            <v>1500</v>
          </cell>
          <cell r="D30">
            <v>-4000</v>
          </cell>
          <cell r="E30">
            <v>-12500</v>
          </cell>
          <cell r="F30">
            <v>4750</v>
          </cell>
          <cell r="G30">
            <v>2000</v>
          </cell>
          <cell r="H30">
            <v>4000</v>
          </cell>
          <cell r="I30">
            <v>10000</v>
          </cell>
          <cell r="J30">
            <v>1500</v>
          </cell>
          <cell r="K30">
            <v>1500</v>
          </cell>
          <cell r="L30">
            <v>2000</v>
          </cell>
          <cell r="M30">
            <v>6000</v>
          </cell>
          <cell r="N30">
            <v>11250</v>
          </cell>
          <cell r="O30">
            <v>2500</v>
          </cell>
          <cell r="P30">
            <v>55780</v>
          </cell>
          <cell r="Q30">
            <v>3500</v>
          </cell>
          <cell r="R30">
            <v>500</v>
          </cell>
          <cell r="S30">
            <v>93080</v>
          </cell>
          <cell r="V30">
            <v>3800</v>
          </cell>
          <cell r="W30">
            <v>3750</v>
          </cell>
          <cell r="X30">
            <v>-4000</v>
          </cell>
          <cell r="Y30">
            <v>-12500</v>
          </cell>
          <cell r="Z30">
            <v>7750</v>
          </cell>
          <cell r="AA30">
            <v>4000</v>
          </cell>
          <cell r="AB30">
            <v>11500</v>
          </cell>
          <cell r="AC30">
            <v>11000</v>
          </cell>
          <cell r="AD30">
            <v>7000</v>
          </cell>
          <cell r="AE30">
            <v>3250</v>
          </cell>
          <cell r="AF30">
            <v>9250</v>
          </cell>
          <cell r="AG30">
            <v>8750</v>
          </cell>
          <cell r="AH30">
            <v>16750</v>
          </cell>
          <cell r="AI30">
            <v>2500</v>
          </cell>
          <cell r="AJ30">
            <v>76030</v>
          </cell>
          <cell r="AK30">
            <v>3500</v>
          </cell>
          <cell r="AL30">
            <v>800</v>
          </cell>
          <cell r="AM30">
            <v>153130</v>
          </cell>
          <cell r="AP30">
            <v>6800</v>
          </cell>
          <cell r="AQ30">
            <v>4250</v>
          </cell>
          <cell r="AR30">
            <v>-4000</v>
          </cell>
          <cell r="AS30">
            <v>-12500</v>
          </cell>
          <cell r="AT30">
            <v>9250</v>
          </cell>
          <cell r="AU30">
            <v>11000</v>
          </cell>
          <cell r="AV30">
            <v>11500</v>
          </cell>
          <cell r="AW30">
            <v>12500</v>
          </cell>
          <cell r="AX30">
            <v>11500</v>
          </cell>
          <cell r="AY30">
            <v>4000</v>
          </cell>
          <cell r="AZ30">
            <v>10750</v>
          </cell>
          <cell r="BA30">
            <v>9750</v>
          </cell>
          <cell r="BB30">
            <v>18250</v>
          </cell>
          <cell r="BC30">
            <v>2500</v>
          </cell>
          <cell r="BD30">
            <v>106068.132</v>
          </cell>
          <cell r="BE30">
            <v>6000</v>
          </cell>
          <cell r="BF30">
            <v>800</v>
          </cell>
          <cell r="BG30">
            <v>208418.13199999998</v>
          </cell>
          <cell r="BJ30">
            <v>6800</v>
          </cell>
          <cell r="BK30">
            <v>5000</v>
          </cell>
          <cell r="BL30">
            <v>-4000</v>
          </cell>
          <cell r="BM30">
            <v>-12500</v>
          </cell>
          <cell r="BN30">
            <v>10000</v>
          </cell>
          <cell r="BO30">
            <v>11000</v>
          </cell>
          <cell r="BP30">
            <v>14000</v>
          </cell>
          <cell r="BQ30">
            <v>15250</v>
          </cell>
          <cell r="BR30">
            <v>15500</v>
          </cell>
          <cell r="BS30">
            <v>5000</v>
          </cell>
          <cell r="BT30">
            <v>12750</v>
          </cell>
          <cell r="BU30">
            <v>14750</v>
          </cell>
          <cell r="BV30">
            <v>19750</v>
          </cell>
          <cell r="BW30">
            <v>2500</v>
          </cell>
          <cell r="BX30">
            <v>116788.132</v>
          </cell>
          <cell r="BY30">
            <v>9000</v>
          </cell>
          <cell r="BZ30">
            <v>800</v>
          </cell>
          <cell r="CA30">
            <v>242388.13199999998</v>
          </cell>
          <cell r="CD30">
            <v>7800</v>
          </cell>
          <cell r="CE30">
            <v>5500</v>
          </cell>
          <cell r="CF30">
            <v>-5250</v>
          </cell>
          <cell r="CG30">
            <v>-12500</v>
          </cell>
          <cell r="CH30">
            <v>10000</v>
          </cell>
          <cell r="CI30">
            <v>11000</v>
          </cell>
          <cell r="CJ30">
            <v>16000</v>
          </cell>
          <cell r="CK30">
            <v>19750</v>
          </cell>
          <cell r="CL30">
            <v>15500</v>
          </cell>
          <cell r="CM30">
            <v>5000</v>
          </cell>
          <cell r="CN30">
            <v>14000</v>
          </cell>
          <cell r="CO30">
            <v>16250</v>
          </cell>
          <cell r="CP30">
            <v>22000</v>
          </cell>
          <cell r="CQ30">
            <v>2500</v>
          </cell>
          <cell r="CR30">
            <v>123038.132</v>
          </cell>
          <cell r="CS30">
            <v>9000</v>
          </cell>
          <cell r="CT30">
            <v>800</v>
          </cell>
          <cell r="CU30">
            <v>260388.13199999998</v>
          </cell>
          <cell r="CX30">
            <v>10300</v>
          </cell>
          <cell r="CY30">
            <v>6000</v>
          </cell>
          <cell r="CZ30">
            <v>-5250</v>
          </cell>
          <cell r="DA30">
            <v>-12500</v>
          </cell>
          <cell r="DB30">
            <v>13250</v>
          </cell>
          <cell r="DC30">
            <v>12500</v>
          </cell>
          <cell r="DD30">
            <v>19500</v>
          </cell>
          <cell r="DE30">
            <v>20750</v>
          </cell>
          <cell r="DF30">
            <v>17500</v>
          </cell>
          <cell r="DG30">
            <v>5500</v>
          </cell>
          <cell r="DH30">
            <v>17000</v>
          </cell>
          <cell r="DI30">
            <v>20250</v>
          </cell>
          <cell r="DJ30">
            <v>27000</v>
          </cell>
          <cell r="DK30">
            <v>2500</v>
          </cell>
          <cell r="DL30">
            <v>144288.13199999998</v>
          </cell>
          <cell r="DM30">
            <v>11500</v>
          </cell>
          <cell r="DN30">
            <v>800</v>
          </cell>
          <cell r="DO30">
            <v>310888.13199999998</v>
          </cell>
          <cell r="DR30">
            <v>10300</v>
          </cell>
          <cell r="DS30">
            <v>6000</v>
          </cell>
          <cell r="DT30">
            <v>-5250</v>
          </cell>
          <cell r="DU30">
            <v>-12500</v>
          </cell>
          <cell r="DV30">
            <v>13250</v>
          </cell>
          <cell r="DW30">
            <v>15750</v>
          </cell>
          <cell r="DX30">
            <v>22500</v>
          </cell>
          <cell r="DY30">
            <v>21750</v>
          </cell>
          <cell r="DZ30">
            <v>19500</v>
          </cell>
          <cell r="EA30">
            <v>5500</v>
          </cell>
          <cell r="EB30">
            <v>19500</v>
          </cell>
          <cell r="EC30">
            <v>21750</v>
          </cell>
          <cell r="ED30">
            <v>28500</v>
          </cell>
          <cell r="EE30">
            <v>2900</v>
          </cell>
          <cell r="EF30">
            <v>169538.13199999998</v>
          </cell>
          <cell r="EG30">
            <v>13500</v>
          </cell>
          <cell r="EH30">
            <v>800</v>
          </cell>
          <cell r="EI30">
            <v>353288.13199999998</v>
          </cell>
        </row>
        <row r="31">
          <cell r="B31">
            <v>1625</v>
          </cell>
          <cell r="C31">
            <v>250</v>
          </cell>
          <cell r="D31">
            <v>0</v>
          </cell>
          <cell r="E31">
            <v>0</v>
          </cell>
          <cell r="F31">
            <v>2500</v>
          </cell>
          <cell r="G31">
            <v>1750</v>
          </cell>
          <cell r="H31">
            <v>3250</v>
          </cell>
          <cell r="I31">
            <v>5500</v>
          </cell>
          <cell r="J31">
            <v>2250</v>
          </cell>
          <cell r="K31">
            <v>875</v>
          </cell>
          <cell r="L31">
            <v>2625</v>
          </cell>
          <cell r="M31">
            <v>3250</v>
          </cell>
          <cell r="N31">
            <v>6750</v>
          </cell>
          <cell r="O31">
            <v>3250</v>
          </cell>
          <cell r="P31">
            <v>45800</v>
          </cell>
          <cell r="Q31">
            <v>1500</v>
          </cell>
          <cell r="R31">
            <v>250</v>
          </cell>
          <cell r="S31">
            <v>81425</v>
          </cell>
          <cell r="V31">
            <v>2375</v>
          </cell>
          <cell r="W31">
            <v>1375</v>
          </cell>
          <cell r="X31">
            <v>0</v>
          </cell>
          <cell r="Y31">
            <v>0</v>
          </cell>
          <cell r="Z31">
            <v>4625</v>
          </cell>
          <cell r="AA31">
            <v>2750</v>
          </cell>
          <cell r="AB31">
            <v>7250</v>
          </cell>
          <cell r="AC31">
            <v>6000</v>
          </cell>
          <cell r="AD31">
            <v>5125</v>
          </cell>
          <cell r="AE31">
            <v>1375</v>
          </cell>
          <cell r="AF31">
            <v>4775</v>
          </cell>
          <cell r="AG31">
            <v>4625</v>
          </cell>
          <cell r="AH31">
            <v>10125</v>
          </cell>
          <cell r="AI31">
            <v>3250</v>
          </cell>
          <cell r="AJ31">
            <v>60720</v>
          </cell>
          <cell r="AK31">
            <v>1500</v>
          </cell>
          <cell r="AL31">
            <v>425</v>
          </cell>
          <cell r="AM31">
            <v>116295</v>
          </cell>
          <cell r="AP31">
            <v>3625</v>
          </cell>
          <cell r="AQ31">
            <v>2750</v>
          </cell>
          <cell r="AR31">
            <v>0</v>
          </cell>
          <cell r="AS31">
            <v>0</v>
          </cell>
          <cell r="AT31">
            <v>5375</v>
          </cell>
          <cell r="AU31">
            <v>4000</v>
          </cell>
          <cell r="AV31">
            <v>8250</v>
          </cell>
          <cell r="AW31">
            <v>7750</v>
          </cell>
          <cell r="AX31">
            <v>6875</v>
          </cell>
          <cell r="AY31">
            <v>3500</v>
          </cell>
          <cell r="AZ31">
            <v>5025</v>
          </cell>
          <cell r="BA31">
            <v>4625</v>
          </cell>
          <cell r="BB31">
            <v>11625</v>
          </cell>
          <cell r="BC31">
            <v>3250</v>
          </cell>
          <cell r="BD31">
            <v>84470</v>
          </cell>
          <cell r="BE31">
            <v>2250</v>
          </cell>
          <cell r="BF31">
            <v>425</v>
          </cell>
          <cell r="BG31">
            <v>153795</v>
          </cell>
          <cell r="BJ31">
            <v>3625</v>
          </cell>
          <cell r="BK31">
            <v>3000</v>
          </cell>
          <cell r="BL31">
            <v>0</v>
          </cell>
          <cell r="BM31">
            <v>0</v>
          </cell>
          <cell r="BN31">
            <v>5375</v>
          </cell>
          <cell r="BO31">
            <v>6250</v>
          </cell>
          <cell r="BP31">
            <v>8875</v>
          </cell>
          <cell r="BQ31">
            <v>9000</v>
          </cell>
          <cell r="BR31">
            <v>9000</v>
          </cell>
          <cell r="BS31">
            <v>3500</v>
          </cell>
          <cell r="BT31">
            <v>5900</v>
          </cell>
          <cell r="BU31">
            <v>5875</v>
          </cell>
          <cell r="BV31">
            <v>12500</v>
          </cell>
          <cell r="BW31">
            <v>3250</v>
          </cell>
          <cell r="BX31">
            <v>92030</v>
          </cell>
          <cell r="BY31">
            <v>3750</v>
          </cell>
          <cell r="BZ31">
            <v>425</v>
          </cell>
          <cell r="CA31">
            <v>172355</v>
          </cell>
          <cell r="CD31">
            <v>4125</v>
          </cell>
          <cell r="CE31">
            <v>3500</v>
          </cell>
          <cell r="CF31">
            <v>0</v>
          </cell>
          <cell r="CG31">
            <v>0</v>
          </cell>
          <cell r="CH31">
            <v>5375</v>
          </cell>
          <cell r="CI31">
            <v>6250</v>
          </cell>
          <cell r="CJ31">
            <v>12125</v>
          </cell>
          <cell r="CK31">
            <v>11500</v>
          </cell>
          <cell r="CL31">
            <v>9000</v>
          </cell>
          <cell r="CM31">
            <v>3500</v>
          </cell>
          <cell r="CN31">
            <v>6150</v>
          </cell>
          <cell r="CO31">
            <v>5875</v>
          </cell>
          <cell r="CP31">
            <v>14000</v>
          </cell>
          <cell r="CQ31">
            <v>4500</v>
          </cell>
          <cell r="CR31">
            <v>100190</v>
          </cell>
          <cell r="CS31">
            <v>3750</v>
          </cell>
          <cell r="CT31">
            <v>425</v>
          </cell>
          <cell r="CU31">
            <v>190265</v>
          </cell>
          <cell r="CX31">
            <v>4375</v>
          </cell>
          <cell r="CY31">
            <v>4000</v>
          </cell>
          <cell r="CZ31">
            <v>0</v>
          </cell>
          <cell r="DA31">
            <v>0</v>
          </cell>
          <cell r="DB31">
            <v>7000</v>
          </cell>
          <cell r="DC31">
            <v>6250</v>
          </cell>
          <cell r="DD31">
            <v>13375</v>
          </cell>
          <cell r="DE31">
            <v>11500</v>
          </cell>
          <cell r="DF31">
            <v>9875</v>
          </cell>
          <cell r="DG31">
            <v>3500</v>
          </cell>
          <cell r="DH31">
            <v>6900</v>
          </cell>
          <cell r="DI31">
            <v>7625</v>
          </cell>
          <cell r="DJ31">
            <v>16875</v>
          </cell>
          <cell r="DK31">
            <v>6500</v>
          </cell>
          <cell r="DL31">
            <v>115855</v>
          </cell>
          <cell r="DM31">
            <v>4000</v>
          </cell>
          <cell r="DN31">
            <v>425</v>
          </cell>
          <cell r="DO31">
            <v>218055</v>
          </cell>
          <cell r="DR31">
            <v>4375</v>
          </cell>
          <cell r="DS31">
            <v>4000</v>
          </cell>
          <cell r="DT31">
            <v>0</v>
          </cell>
          <cell r="DU31">
            <v>1000</v>
          </cell>
          <cell r="DV31">
            <v>7000</v>
          </cell>
          <cell r="DW31">
            <v>7500</v>
          </cell>
          <cell r="DX31">
            <v>15375</v>
          </cell>
          <cell r="DY31">
            <v>13125</v>
          </cell>
          <cell r="DZ31">
            <v>11250</v>
          </cell>
          <cell r="EA31">
            <v>3500</v>
          </cell>
          <cell r="EB31">
            <v>7525</v>
          </cell>
          <cell r="EC31">
            <v>7625</v>
          </cell>
          <cell r="ED31">
            <v>18375</v>
          </cell>
          <cell r="EE31">
            <v>7550</v>
          </cell>
          <cell r="EF31">
            <v>130145</v>
          </cell>
          <cell r="EG31">
            <v>4000</v>
          </cell>
          <cell r="EH31">
            <v>425</v>
          </cell>
          <cell r="EI31">
            <v>242770</v>
          </cell>
        </row>
        <row r="32">
          <cell r="B32">
            <v>250</v>
          </cell>
          <cell r="C32">
            <v>500</v>
          </cell>
          <cell r="D32">
            <v>0</v>
          </cell>
          <cell r="E32">
            <v>500</v>
          </cell>
          <cell r="F32">
            <v>800</v>
          </cell>
          <cell r="G32">
            <v>600</v>
          </cell>
          <cell r="H32">
            <v>600</v>
          </cell>
          <cell r="I32">
            <v>800</v>
          </cell>
          <cell r="J32">
            <v>400</v>
          </cell>
          <cell r="K32">
            <v>600</v>
          </cell>
          <cell r="L32">
            <v>400</v>
          </cell>
          <cell r="M32">
            <v>1000</v>
          </cell>
          <cell r="N32">
            <v>1700</v>
          </cell>
          <cell r="O32">
            <v>2200</v>
          </cell>
          <cell r="P32">
            <v>3220</v>
          </cell>
          <cell r="Q32">
            <v>400</v>
          </cell>
          <cell r="R32">
            <v>0</v>
          </cell>
          <cell r="S32">
            <v>13970</v>
          </cell>
          <cell r="V32">
            <v>450</v>
          </cell>
          <cell r="W32">
            <v>700</v>
          </cell>
          <cell r="X32">
            <v>0</v>
          </cell>
          <cell r="Y32">
            <v>700</v>
          </cell>
          <cell r="Z32">
            <v>1000</v>
          </cell>
          <cell r="AA32">
            <v>600</v>
          </cell>
          <cell r="AB32">
            <v>800</v>
          </cell>
          <cell r="AC32">
            <v>800</v>
          </cell>
          <cell r="AD32">
            <v>600</v>
          </cell>
          <cell r="AE32">
            <v>600</v>
          </cell>
          <cell r="AF32">
            <v>600</v>
          </cell>
          <cell r="AG32">
            <v>1200</v>
          </cell>
          <cell r="AH32">
            <v>2000</v>
          </cell>
          <cell r="AI32">
            <v>2800</v>
          </cell>
          <cell r="AJ32">
            <v>5060</v>
          </cell>
          <cell r="AK32">
            <v>400</v>
          </cell>
          <cell r="AL32">
            <v>120</v>
          </cell>
          <cell r="AM32">
            <v>18430</v>
          </cell>
          <cell r="AP32">
            <v>850</v>
          </cell>
          <cell r="AQ32">
            <v>1300</v>
          </cell>
          <cell r="AR32">
            <v>0</v>
          </cell>
          <cell r="AS32">
            <v>700</v>
          </cell>
          <cell r="AT32">
            <v>2000</v>
          </cell>
          <cell r="AU32">
            <v>1600</v>
          </cell>
          <cell r="AV32">
            <v>1400</v>
          </cell>
          <cell r="AW32">
            <v>1800</v>
          </cell>
          <cell r="AX32">
            <v>1200</v>
          </cell>
          <cell r="AY32">
            <v>1200</v>
          </cell>
          <cell r="AZ32">
            <v>1000</v>
          </cell>
          <cell r="BA32">
            <v>2000</v>
          </cell>
          <cell r="BB32">
            <v>2500</v>
          </cell>
          <cell r="BC32">
            <v>3200</v>
          </cell>
          <cell r="BD32">
            <v>9100</v>
          </cell>
          <cell r="BE32">
            <v>800</v>
          </cell>
          <cell r="BF32">
            <v>220</v>
          </cell>
          <cell r="BG32">
            <v>30870</v>
          </cell>
          <cell r="BJ32">
            <v>850</v>
          </cell>
          <cell r="BK32">
            <v>1500</v>
          </cell>
          <cell r="BL32">
            <v>0</v>
          </cell>
          <cell r="BM32">
            <v>1300</v>
          </cell>
          <cell r="BN32">
            <v>2300</v>
          </cell>
          <cell r="BO32">
            <v>2200</v>
          </cell>
          <cell r="BP32">
            <v>1800</v>
          </cell>
          <cell r="BQ32">
            <v>1800</v>
          </cell>
          <cell r="BR32">
            <v>1800</v>
          </cell>
          <cell r="BS32">
            <v>1600</v>
          </cell>
          <cell r="BT32">
            <v>1300</v>
          </cell>
          <cell r="BU32">
            <v>2200</v>
          </cell>
          <cell r="BV32">
            <v>2900</v>
          </cell>
          <cell r="BW32">
            <v>3400</v>
          </cell>
          <cell r="BX32">
            <v>12560</v>
          </cell>
          <cell r="BY32">
            <v>1000</v>
          </cell>
          <cell r="BZ32">
            <v>220</v>
          </cell>
          <cell r="CA32">
            <v>38730</v>
          </cell>
          <cell r="CD32">
            <v>850</v>
          </cell>
          <cell r="CE32">
            <v>1500</v>
          </cell>
          <cell r="CF32">
            <v>0</v>
          </cell>
          <cell r="CG32">
            <v>1300</v>
          </cell>
          <cell r="CH32">
            <v>2300</v>
          </cell>
          <cell r="CI32">
            <v>2200</v>
          </cell>
          <cell r="CJ32">
            <v>1800</v>
          </cell>
          <cell r="CK32">
            <v>2400</v>
          </cell>
          <cell r="CL32">
            <v>1800</v>
          </cell>
          <cell r="CM32">
            <v>1600</v>
          </cell>
          <cell r="CN32">
            <v>1400</v>
          </cell>
          <cell r="CO32">
            <v>2600</v>
          </cell>
          <cell r="CP32">
            <v>3500</v>
          </cell>
          <cell r="CQ32">
            <v>3700</v>
          </cell>
          <cell r="CR32">
            <v>13592</v>
          </cell>
          <cell r="CS32">
            <v>1000</v>
          </cell>
          <cell r="CT32">
            <v>220</v>
          </cell>
          <cell r="CU32">
            <v>41762</v>
          </cell>
          <cell r="CX32">
            <v>1050</v>
          </cell>
          <cell r="CY32">
            <v>1500</v>
          </cell>
          <cell r="CZ32">
            <v>0</v>
          </cell>
          <cell r="DA32">
            <v>1300</v>
          </cell>
          <cell r="DB32">
            <v>2700</v>
          </cell>
          <cell r="DC32">
            <v>3000</v>
          </cell>
          <cell r="DD32">
            <v>3200</v>
          </cell>
          <cell r="DE32">
            <v>3000</v>
          </cell>
          <cell r="DF32">
            <v>2800</v>
          </cell>
          <cell r="DG32">
            <v>1800</v>
          </cell>
          <cell r="DH32">
            <v>1600</v>
          </cell>
          <cell r="DI32">
            <v>3300</v>
          </cell>
          <cell r="DJ32">
            <v>4700</v>
          </cell>
          <cell r="DK32">
            <v>4700</v>
          </cell>
          <cell r="DL32">
            <v>16824</v>
          </cell>
          <cell r="DM32">
            <v>1400</v>
          </cell>
          <cell r="DN32">
            <v>220</v>
          </cell>
          <cell r="DO32">
            <v>53094</v>
          </cell>
          <cell r="DR32">
            <v>1350</v>
          </cell>
          <cell r="DS32">
            <v>1700</v>
          </cell>
          <cell r="DT32">
            <v>0</v>
          </cell>
          <cell r="DU32">
            <v>2500</v>
          </cell>
          <cell r="DV32">
            <v>2900</v>
          </cell>
          <cell r="DW32">
            <v>3000</v>
          </cell>
          <cell r="DX32">
            <v>3800</v>
          </cell>
          <cell r="DY32">
            <v>3000</v>
          </cell>
          <cell r="DZ32">
            <v>3800</v>
          </cell>
          <cell r="EA32">
            <v>1800</v>
          </cell>
          <cell r="EB32">
            <v>1700</v>
          </cell>
          <cell r="EC32">
            <v>3300</v>
          </cell>
          <cell r="ED32">
            <v>5100</v>
          </cell>
          <cell r="EE32">
            <v>5500</v>
          </cell>
          <cell r="EF32">
            <v>19356</v>
          </cell>
          <cell r="EG32">
            <v>1400</v>
          </cell>
          <cell r="EH32">
            <v>220</v>
          </cell>
          <cell r="EI32">
            <v>60426</v>
          </cell>
        </row>
        <row r="33">
          <cell r="B33">
            <v>415</v>
          </cell>
          <cell r="C33">
            <v>200</v>
          </cell>
          <cell r="D33">
            <v>100</v>
          </cell>
          <cell r="E33">
            <v>640</v>
          </cell>
          <cell r="F33">
            <v>500</v>
          </cell>
          <cell r="G33">
            <v>400</v>
          </cell>
          <cell r="H33">
            <v>800</v>
          </cell>
          <cell r="I33">
            <v>500</v>
          </cell>
          <cell r="J33">
            <v>550</v>
          </cell>
          <cell r="K33">
            <v>200</v>
          </cell>
          <cell r="L33">
            <v>450</v>
          </cell>
          <cell r="M33">
            <v>700</v>
          </cell>
          <cell r="N33">
            <v>1300</v>
          </cell>
          <cell r="O33">
            <v>500</v>
          </cell>
          <cell r="P33">
            <v>4923</v>
          </cell>
          <cell r="Q33">
            <v>400</v>
          </cell>
          <cell r="R33">
            <v>0</v>
          </cell>
          <cell r="S33">
            <v>12578</v>
          </cell>
          <cell r="V33">
            <v>515</v>
          </cell>
          <cell r="W33">
            <v>300</v>
          </cell>
          <cell r="X33">
            <v>230</v>
          </cell>
          <cell r="Y33">
            <v>840</v>
          </cell>
          <cell r="Z33">
            <v>650</v>
          </cell>
          <cell r="AA33">
            <v>500</v>
          </cell>
          <cell r="AB33">
            <v>800</v>
          </cell>
          <cell r="AC33">
            <v>550</v>
          </cell>
          <cell r="AD33">
            <v>750</v>
          </cell>
          <cell r="AE33">
            <v>300</v>
          </cell>
          <cell r="AF33">
            <v>550</v>
          </cell>
          <cell r="AG33">
            <v>800</v>
          </cell>
          <cell r="AH33">
            <v>1400</v>
          </cell>
          <cell r="AI33">
            <v>800</v>
          </cell>
          <cell r="AJ33">
            <v>6365</v>
          </cell>
          <cell r="AK33">
            <v>400</v>
          </cell>
          <cell r="AL33">
            <v>60</v>
          </cell>
          <cell r="AM33">
            <v>15810</v>
          </cell>
          <cell r="AP33">
            <v>515</v>
          </cell>
          <cell r="AQ33">
            <v>400</v>
          </cell>
          <cell r="AR33">
            <v>230</v>
          </cell>
          <cell r="AS33">
            <v>840</v>
          </cell>
          <cell r="AT33">
            <v>950</v>
          </cell>
          <cell r="AU33">
            <v>800</v>
          </cell>
          <cell r="AV33">
            <v>900</v>
          </cell>
          <cell r="AW33">
            <v>650</v>
          </cell>
          <cell r="AX33">
            <v>850</v>
          </cell>
          <cell r="AY33">
            <v>400</v>
          </cell>
          <cell r="AZ33">
            <v>650</v>
          </cell>
          <cell r="BA33">
            <v>1000</v>
          </cell>
          <cell r="BB33">
            <v>1500</v>
          </cell>
          <cell r="BC33">
            <v>1000</v>
          </cell>
          <cell r="BD33">
            <v>8765</v>
          </cell>
          <cell r="BE33">
            <v>600</v>
          </cell>
          <cell r="BF33">
            <v>60</v>
          </cell>
          <cell r="BG33">
            <v>20110</v>
          </cell>
          <cell r="BJ33">
            <v>515</v>
          </cell>
          <cell r="BK33">
            <v>500</v>
          </cell>
          <cell r="BL33">
            <v>230</v>
          </cell>
          <cell r="BM33">
            <v>1240</v>
          </cell>
          <cell r="BN33">
            <v>1150</v>
          </cell>
          <cell r="BO33">
            <v>1000</v>
          </cell>
          <cell r="BP33">
            <v>900</v>
          </cell>
          <cell r="BQ33">
            <v>650</v>
          </cell>
          <cell r="BR33">
            <v>1150</v>
          </cell>
          <cell r="BS33">
            <v>700</v>
          </cell>
          <cell r="BT33">
            <v>800</v>
          </cell>
          <cell r="BU33">
            <v>1100</v>
          </cell>
          <cell r="BV33">
            <v>1700</v>
          </cell>
          <cell r="BW33">
            <v>1100</v>
          </cell>
          <cell r="BX33">
            <v>10395</v>
          </cell>
          <cell r="BY33">
            <v>700</v>
          </cell>
          <cell r="BZ33">
            <v>60</v>
          </cell>
          <cell r="CA33">
            <v>23890</v>
          </cell>
          <cell r="CD33">
            <v>515</v>
          </cell>
          <cell r="CE33">
            <v>600</v>
          </cell>
          <cell r="CF33">
            <v>230</v>
          </cell>
          <cell r="CG33">
            <v>1240</v>
          </cell>
          <cell r="CH33">
            <v>1150</v>
          </cell>
          <cell r="CI33">
            <v>1000</v>
          </cell>
          <cell r="CJ33">
            <v>1100</v>
          </cell>
          <cell r="CK33">
            <v>750</v>
          </cell>
          <cell r="CL33">
            <v>1150</v>
          </cell>
          <cell r="CM33">
            <v>700</v>
          </cell>
          <cell r="CN33">
            <v>850</v>
          </cell>
          <cell r="CO33">
            <v>1200</v>
          </cell>
          <cell r="CP33">
            <v>1900</v>
          </cell>
          <cell r="CQ33">
            <v>1250</v>
          </cell>
          <cell r="CR33">
            <v>11361</v>
          </cell>
          <cell r="CS33">
            <v>700</v>
          </cell>
          <cell r="CT33">
            <v>60</v>
          </cell>
          <cell r="CU33">
            <v>25756</v>
          </cell>
          <cell r="CX33">
            <v>515</v>
          </cell>
          <cell r="CY33">
            <v>700</v>
          </cell>
          <cell r="CZ33">
            <v>230</v>
          </cell>
          <cell r="DA33">
            <v>1240</v>
          </cell>
          <cell r="DB33">
            <v>1300</v>
          </cell>
          <cell r="DC33">
            <v>1100</v>
          </cell>
          <cell r="DD33">
            <v>1300</v>
          </cell>
          <cell r="DE33">
            <v>850</v>
          </cell>
          <cell r="DF33">
            <v>1450</v>
          </cell>
          <cell r="DG33">
            <v>800</v>
          </cell>
          <cell r="DH33">
            <v>950</v>
          </cell>
          <cell r="DI33">
            <v>1450</v>
          </cell>
          <cell r="DJ33">
            <v>2200</v>
          </cell>
          <cell r="DK33">
            <v>1450</v>
          </cell>
          <cell r="DL33">
            <v>12389</v>
          </cell>
          <cell r="DM33">
            <v>700</v>
          </cell>
          <cell r="DN33">
            <v>60</v>
          </cell>
          <cell r="DO33">
            <v>28684</v>
          </cell>
          <cell r="DR33">
            <v>665</v>
          </cell>
          <cell r="DS33">
            <v>850</v>
          </cell>
          <cell r="DT33">
            <v>280</v>
          </cell>
          <cell r="DU33">
            <v>1540</v>
          </cell>
          <cell r="DV33">
            <v>1300</v>
          </cell>
          <cell r="DW33">
            <v>1300</v>
          </cell>
          <cell r="DX33">
            <v>1600</v>
          </cell>
          <cell r="DY33">
            <v>1050</v>
          </cell>
          <cell r="DZ33">
            <v>1650</v>
          </cell>
          <cell r="EA33">
            <v>800</v>
          </cell>
          <cell r="EB33">
            <v>1000</v>
          </cell>
          <cell r="EC33">
            <v>1450</v>
          </cell>
          <cell r="ED33">
            <v>2400</v>
          </cell>
          <cell r="EE33">
            <v>1850</v>
          </cell>
          <cell r="EF33">
            <v>13075</v>
          </cell>
          <cell r="EG33">
            <v>850</v>
          </cell>
          <cell r="EH33">
            <v>60</v>
          </cell>
          <cell r="EI33">
            <v>31720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10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10</v>
          </cell>
          <cell r="V34">
            <v>0</v>
          </cell>
          <cell r="W34">
            <v>0</v>
          </cell>
          <cell r="X34">
            <v>0</v>
          </cell>
          <cell r="Y34">
            <v>10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10</v>
          </cell>
          <cell r="AP34">
            <v>0</v>
          </cell>
          <cell r="AQ34">
            <v>0</v>
          </cell>
          <cell r="AR34">
            <v>0</v>
          </cell>
          <cell r="AS34">
            <v>10</v>
          </cell>
          <cell r="AT34">
            <v>0</v>
          </cell>
          <cell r="AU34">
            <v>0</v>
          </cell>
          <cell r="AV34">
            <v>100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110</v>
          </cell>
          <cell r="BJ34">
            <v>0</v>
          </cell>
          <cell r="BK34">
            <v>0</v>
          </cell>
          <cell r="BL34">
            <v>0</v>
          </cell>
          <cell r="BM34">
            <v>60</v>
          </cell>
          <cell r="BN34">
            <v>0</v>
          </cell>
          <cell r="BO34">
            <v>0</v>
          </cell>
          <cell r="BP34">
            <v>100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160</v>
          </cell>
          <cell r="CD34">
            <v>0</v>
          </cell>
          <cell r="CE34">
            <v>0</v>
          </cell>
          <cell r="CF34">
            <v>0</v>
          </cell>
          <cell r="CG34">
            <v>60</v>
          </cell>
          <cell r="CH34">
            <v>0</v>
          </cell>
          <cell r="CI34">
            <v>0</v>
          </cell>
          <cell r="CJ34">
            <v>300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50</v>
          </cell>
          <cell r="CS34">
            <v>0</v>
          </cell>
          <cell r="CT34">
            <v>0</v>
          </cell>
          <cell r="CU34">
            <v>410</v>
          </cell>
          <cell r="CX34">
            <v>0</v>
          </cell>
          <cell r="CY34">
            <v>0</v>
          </cell>
          <cell r="CZ34">
            <v>0</v>
          </cell>
          <cell r="DA34">
            <v>60</v>
          </cell>
          <cell r="DB34">
            <v>0</v>
          </cell>
          <cell r="DC34">
            <v>0</v>
          </cell>
          <cell r="DD34">
            <v>500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50</v>
          </cell>
          <cell r="DM34">
            <v>0</v>
          </cell>
          <cell r="DN34">
            <v>0</v>
          </cell>
          <cell r="DO34">
            <v>610</v>
          </cell>
          <cell r="DR34">
            <v>0</v>
          </cell>
          <cell r="DS34">
            <v>0</v>
          </cell>
          <cell r="DT34">
            <v>0</v>
          </cell>
          <cell r="DU34">
            <v>160</v>
          </cell>
          <cell r="DV34">
            <v>0</v>
          </cell>
          <cell r="DW34">
            <v>0</v>
          </cell>
          <cell r="DX34">
            <v>800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50</v>
          </cell>
          <cell r="EG34">
            <v>0</v>
          </cell>
          <cell r="EH34">
            <v>0</v>
          </cell>
          <cell r="EI34">
            <v>1010</v>
          </cell>
        </row>
        <row r="35">
          <cell r="B35">
            <v>5090</v>
          </cell>
          <cell r="C35">
            <v>2450</v>
          </cell>
          <cell r="D35">
            <v>-3900</v>
          </cell>
          <cell r="E35">
            <v>-11350</v>
          </cell>
          <cell r="F35">
            <v>8550</v>
          </cell>
          <cell r="G35">
            <v>4750</v>
          </cell>
          <cell r="H35">
            <v>8650</v>
          </cell>
          <cell r="I35">
            <v>16800</v>
          </cell>
          <cell r="J35">
            <v>4700</v>
          </cell>
          <cell r="K35">
            <v>3175</v>
          </cell>
          <cell r="L35">
            <v>5475</v>
          </cell>
          <cell r="M35">
            <v>10950</v>
          </cell>
          <cell r="N35">
            <v>21000</v>
          </cell>
          <cell r="O35">
            <v>8450</v>
          </cell>
          <cell r="P35">
            <v>109723</v>
          </cell>
          <cell r="Q35">
            <v>5800</v>
          </cell>
          <cell r="R35">
            <v>750</v>
          </cell>
          <cell r="S35">
            <v>201063</v>
          </cell>
          <cell r="V35">
            <v>7140</v>
          </cell>
          <cell r="W35">
            <v>6125</v>
          </cell>
          <cell r="X35">
            <v>-3770</v>
          </cell>
          <cell r="Y35">
            <v>-10950</v>
          </cell>
          <cell r="Z35">
            <v>14025</v>
          </cell>
          <cell r="AA35">
            <v>7850</v>
          </cell>
          <cell r="AB35">
            <v>20350</v>
          </cell>
          <cell r="AC35">
            <v>18350</v>
          </cell>
          <cell r="AD35">
            <v>13475</v>
          </cell>
          <cell r="AE35">
            <v>5525</v>
          </cell>
          <cell r="AF35">
            <v>15175</v>
          </cell>
          <cell r="AG35">
            <v>15375</v>
          </cell>
          <cell r="AH35">
            <v>30275</v>
          </cell>
          <cell r="AI35">
            <v>9350</v>
          </cell>
          <cell r="AJ35">
            <v>148175</v>
          </cell>
          <cell r="AK35">
            <v>5800</v>
          </cell>
          <cell r="AL35">
            <v>1405</v>
          </cell>
          <cell r="AM35">
            <v>303675</v>
          </cell>
          <cell r="AP35">
            <v>11790</v>
          </cell>
          <cell r="AQ35">
            <v>8700</v>
          </cell>
          <cell r="AR35">
            <v>-3770</v>
          </cell>
          <cell r="AS35">
            <v>-10950</v>
          </cell>
          <cell r="AT35">
            <v>17575</v>
          </cell>
          <cell r="AU35">
            <v>17400</v>
          </cell>
          <cell r="AV35">
            <v>22150</v>
          </cell>
          <cell r="AW35">
            <v>22700</v>
          </cell>
          <cell r="AX35">
            <v>20425</v>
          </cell>
          <cell r="AY35">
            <v>9100</v>
          </cell>
          <cell r="AZ35">
            <v>17425</v>
          </cell>
          <cell r="BA35">
            <v>17375</v>
          </cell>
          <cell r="BB35">
            <v>33875</v>
          </cell>
          <cell r="BC35">
            <v>9950</v>
          </cell>
          <cell r="BD35">
            <v>208403.13199999998</v>
          </cell>
          <cell r="BE35">
            <v>9650</v>
          </cell>
          <cell r="BF35">
            <v>1505</v>
          </cell>
          <cell r="BG35">
            <v>413303.13199999998</v>
          </cell>
          <cell r="BJ35">
            <v>11790</v>
          </cell>
          <cell r="BK35">
            <v>10000</v>
          </cell>
          <cell r="BL35">
            <v>-3770</v>
          </cell>
          <cell r="BM35">
            <v>-9900</v>
          </cell>
          <cell r="BN35">
            <v>18825</v>
          </cell>
          <cell r="BO35">
            <v>20450</v>
          </cell>
          <cell r="BP35">
            <v>25675</v>
          </cell>
          <cell r="BQ35">
            <v>26700</v>
          </cell>
          <cell r="BR35">
            <v>27450</v>
          </cell>
          <cell r="BS35">
            <v>10800</v>
          </cell>
          <cell r="BT35">
            <v>20750</v>
          </cell>
          <cell r="BU35">
            <v>23925</v>
          </cell>
          <cell r="BV35">
            <v>36850</v>
          </cell>
          <cell r="BW35">
            <v>10250</v>
          </cell>
          <cell r="BX35">
            <v>231773.13199999998</v>
          </cell>
          <cell r="BY35">
            <v>14450</v>
          </cell>
          <cell r="BZ35">
            <v>1505</v>
          </cell>
          <cell r="CA35">
            <v>477523.13199999998</v>
          </cell>
          <cell r="CD35">
            <v>13290</v>
          </cell>
          <cell r="CE35">
            <v>11100</v>
          </cell>
          <cell r="CF35">
            <v>-5020</v>
          </cell>
          <cell r="CG35">
            <v>-9900</v>
          </cell>
          <cell r="CH35">
            <v>18825</v>
          </cell>
          <cell r="CI35">
            <v>20450</v>
          </cell>
          <cell r="CJ35">
            <v>31325</v>
          </cell>
          <cell r="CK35">
            <v>34400</v>
          </cell>
          <cell r="CL35">
            <v>27450</v>
          </cell>
          <cell r="CM35">
            <v>10800</v>
          </cell>
          <cell r="CN35">
            <v>22400</v>
          </cell>
          <cell r="CO35">
            <v>25925</v>
          </cell>
          <cell r="CP35">
            <v>41400</v>
          </cell>
          <cell r="CQ35">
            <v>11950</v>
          </cell>
          <cell r="CR35">
            <v>248231.13199999998</v>
          </cell>
          <cell r="CS35">
            <v>14450</v>
          </cell>
          <cell r="CT35">
            <v>1505</v>
          </cell>
          <cell r="CU35">
            <v>518581.13199999998</v>
          </cell>
          <cell r="CX35">
            <v>16240</v>
          </cell>
          <cell r="CY35">
            <v>12200</v>
          </cell>
          <cell r="CZ35">
            <v>-5020</v>
          </cell>
          <cell r="DA35">
            <v>-9900</v>
          </cell>
          <cell r="DB35">
            <v>24250</v>
          </cell>
          <cell r="DC35">
            <v>22850</v>
          </cell>
          <cell r="DD35">
            <v>37875</v>
          </cell>
          <cell r="DE35">
            <v>36100</v>
          </cell>
          <cell r="DF35">
            <v>31625</v>
          </cell>
          <cell r="DG35">
            <v>11600</v>
          </cell>
          <cell r="DH35">
            <v>26450</v>
          </cell>
          <cell r="DI35">
            <v>32625</v>
          </cell>
          <cell r="DJ35">
            <v>50775</v>
          </cell>
          <cell r="DK35">
            <v>15150</v>
          </cell>
          <cell r="DL35">
            <v>289406.13199999998</v>
          </cell>
          <cell r="DM35">
            <v>17600</v>
          </cell>
          <cell r="DN35">
            <v>1505</v>
          </cell>
          <cell r="DO35">
            <v>611331.13199999998</v>
          </cell>
          <cell r="DR35">
            <v>16690</v>
          </cell>
          <cell r="DS35">
            <v>12550</v>
          </cell>
          <cell r="DT35">
            <v>-4970</v>
          </cell>
          <cell r="DU35">
            <v>-7300</v>
          </cell>
          <cell r="DV35">
            <v>24450</v>
          </cell>
          <cell r="DW35">
            <v>27550</v>
          </cell>
          <cell r="DX35">
            <v>44075</v>
          </cell>
          <cell r="DY35">
            <v>38925</v>
          </cell>
          <cell r="DZ35">
            <v>36200</v>
          </cell>
          <cell r="EA35">
            <v>11600</v>
          </cell>
          <cell r="EB35">
            <v>29725</v>
          </cell>
          <cell r="EC35">
            <v>34125</v>
          </cell>
          <cell r="ED35">
            <v>54375</v>
          </cell>
          <cell r="EE35">
            <v>17800</v>
          </cell>
          <cell r="EF35">
            <v>332164.13199999998</v>
          </cell>
          <cell r="EG35">
            <v>19750</v>
          </cell>
          <cell r="EH35">
            <v>1505</v>
          </cell>
          <cell r="EI35">
            <v>689214.13199999998</v>
          </cell>
        </row>
        <row r="36">
          <cell r="B36">
            <v>1336090</v>
          </cell>
          <cell r="C36">
            <v>2582450</v>
          </cell>
          <cell r="D36">
            <v>-475900</v>
          </cell>
          <cell r="E36">
            <v>-584350</v>
          </cell>
          <cell r="F36">
            <v>2179550</v>
          </cell>
          <cell r="G36">
            <v>3086750</v>
          </cell>
          <cell r="H36">
            <v>3254650</v>
          </cell>
          <cell r="I36">
            <v>5906800</v>
          </cell>
          <cell r="J36">
            <v>4463700</v>
          </cell>
          <cell r="K36">
            <v>1047175</v>
          </cell>
          <cell r="L36">
            <v>3218475</v>
          </cell>
          <cell r="M36">
            <v>3811950</v>
          </cell>
          <cell r="N36">
            <v>1157000</v>
          </cell>
          <cell r="O36">
            <v>3574450</v>
          </cell>
          <cell r="P36">
            <v>8231978</v>
          </cell>
          <cell r="Q36">
            <v>1931800</v>
          </cell>
          <cell r="R36">
            <v>286750</v>
          </cell>
          <cell r="S36">
            <v>45009318</v>
          </cell>
          <cell r="V36">
            <v>5005140</v>
          </cell>
          <cell r="W36">
            <v>3794125</v>
          </cell>
          <cell r="X36">
            <v>653230</v>
          </cell>
          <cell r="Y36">
            <v>4404050</v>
          </cell>
          <cell r="Z36">
            <v>3361025</v>
          </cell>
          <cell r="AA36">
            <v>4619850</v>
          </cell>
          <cell r="AB36">
            <v>3409350</v>
          </cell>
          <cell r="AC36">
            <v>7454350</v>
          </cell>
          <cell r="AD36">
            <v>5116475</v>
          </cell>
          <cell r="AE36">
            <v>956525</v>
          </cell>
          <cell r="AF36">
            <v>5382175</v>
          </cell>
          <cell r="AG36">
            <v>6106375</v>
          </cell>
          <cell r="AH36">
            <v>8944875</v>
          </cell>
          <cell r="AI36">
            <v>6353350</v>
          </cell>
          <cell r="AJ36">
            <v>30128830</v>
          </cell>
          <cell r="AK36">
            <v>1931800</v>
          </cell>
          <cell r="AL36">
            <v>189405</v>
          </cell>
          <cell r="AM36">
            <v>97810930</v>
          </cell>
          <cell r="AP36">
            <v>5709790</v>
          </cell>
          <cell r="AQ36">
            <v>5300700</v>
          </cell>
          <cell r="AR36">
            <v>1839230</v>
          </cell>
          <cell r="AS36">
            <v>7804050</v>
          </cell>
          <cell r="AT36">
            <v>5392575</v>
          </cell>
          <cell r="AU36">
            <v>6513400</v>
          </cell>
          <cell r="AV36">
            <v>4326150</v>
          </cell>
          <cell r="AW36">
            <v>9916700</v>
          </cell>
          <cell r="AX36">
            <v>7958425</v>
          </cell>
          <cell r="AY36">
            <v>2064100</v>
          </cell>
          <cell r="AZ36">
            <v>6050425</v>
          </cell>
          <cell r="BA36">
            <v>8388375</v>
          </cell>
          <cell r="BB36">
            <v>13533475</v>
          </cell>
          <cell r="BC36">
            <v>8531650</v>
          </cell>
          <cell r="BD36">
            <v>40403978.131999999</v>
          </cell>
          <cell r="BE36">
            <v>3071650</v>
          </cell>
          <cell r="BF36">
            <v>555505</v>
          </cell>
          <cell r="BG36">
            <v>137360178.132</v>
          </cell>
          <cell r="BJ36">
            <v>7459790</v>
          </cell>
          <cell r="BK36">
            <v>6332000</v>
          </cell>
          <cell r="BL36">
            <v>1839230</v>
          </cell>
          <cell r="BM36">
            <v>7919100</v>
          </cell>
          <cell r="BN36">
            <v>6711825</v>
          </cell>
          <cell r="BO36">
            <v>9636450</v>
          </cell>
          <cell r="BP36">
            <v>5449675</v>
          </cell>
          <cell r="BQ36">
            <v>11140700</v>
          </cell>
          <cell r="BR36">
            <v>13145450</v>
          </cell>
          <cell r="BS36">
            <v>4091800</v>
          </cell>
          <cell r="BT36">
            <v>6053750</v>
          </cell>
          <cell r="BU36">
            <v>8834925</v>
          </cell>
          <cell r="BV36">
            <v>12821450</v>
          </cell>
          <cell r="BW36">
            <v>9603950</v>
          </cell>
          <cell r="BX36">
            <v>41224028.131999999</v>
          </cell>
          <cell r="BY36">
            <v>4136450</v>
          </cell>
          <cell r="BZ36">
            <v>555505</v>
          </cell>
          <cell r="CA36">
            <v>156956078.132</v>
          </cell>
          <cell r="CD36">
            <v>8261290</v>
          </cell>
          <cell r="CE36">
            <v>7553100</v>
          </cell>
          <cell r="CF36">
            <v>1537980</v>
          </cell>
          <cell r="CG36">
            <v>7919100</v>
          </cell>
          <cell r="CH36">
            <v>6711825</v>
          </cell>
          <cell r="CI36">
            <v>9636450</v>
          </cell>
          <cell r="CJ36">
            <v>8375325</v>
          </cell>
          <cell r="CK36">
            <v>13428400</v>
          </cell>
          <cell r="CL36">
            <v>15345450</v>
          </cell>
          <cell r="CM36">
            <v>4091800</v>
          </cell>
          <cell r="CN36">
            <v>6805400</v>
          </cell>
          <cell r="CO36">
            <v>11136925</v>
          </cell>
          <cell r="CP36">
            <v>11126000</v>
          </cell>
          <cell r="CQ36">
            <v>10185650</v>
          </cell>
          <cell r="CR36">
            <v>40306226.131999999</v>
          </cell>
          <cell r="CS36">
            <v>4136450</v>
          </cell>
          <cell r="CT36">
            <v>555505</v>
          </cell>
          <cell r="CU36">
            <v>167112876.132</v>
          </cell>
          <cell r="CX36">
            <v>10664240</v>
          </cell>
          <cell r="CY36">
            <v>7668200</v>
          </cell>
          <cell r="CZ36">
            <v>1537980</v>
          </cell>
          <cell r="DA36">
            <v>3419100</v>
          </cell>
          <cell r="DB36">
            <v>6797250</v>
          </cell>
          <cell r="DC36">
            <v>11018850</v>
          </cell>
          <cell r="DD36">
            <v>8981875</v>
          </cell>
          <cell r="DE36">
            <v>15905100</v>
          </cell>
          <cell r="DF36">
            <v>20290625</v>
          </cell>
          <cell r="DG36">
            <v>5346600</v>
          </cell>
          <cell r="DH36">
            <v>8409450</v>
          </cell>
          <cell r="DI36">
            <v>14963625</v>
          </cell>
          <cell r="DJ36">
            <v>15055375</v>
          </cell>
          <cell r="DK36">
            <v>7728850</v>
          </cell>
          <cell r="DL36">
            <v>45747146.886</v>
          </cell>
          <cell r="DM36">
            <v>5309600</v>
          </cell>
          <cell r="DN36">
            <v>555505</v>
          </cell>
          <cell r="DO36">
            <v>189399371.88600004</v>
          </cell>
          <cell r="DR36">
            <v>10764690</v>
          </cell>
          <cell r="DS36">
            <v>8968550</v>
          </cell>
          <cell r="DT36">
            <v>1817030</v>
          </cell>
          <cell r="DU36">
            <v>4321700</v>
          </cell>
          <cell r="DV36">
            <v>9027450</v>
          </cell>
          <cell r="DW36">
            <v>13443550</v>
          </cell>
          <cell r="DX36">
            <v>10188075</v>
          </cell>
          <cell r="DY36">
            <v>18737925</v>
          </cell>
          <cell r="DZ36">
            <v>26156200</v>
          </cell>
          <cell r="EA36">
            <v>5346600</v>
          </cell>
          <cell r="EB36">
            <v>13112725</v>
          </cell>
          <cell r="EC36">
            <v>17637125</v>
          </cell>
          <cell r="ED36">
            <v>18062975</v>
          </cell>
          <cell r="EE36">
            <v>8245500</v>
          </cell>
          <cell r="EF36">
            <v>48784044.886</v>
          </cell>
          <cell r="EG36">
            <v>6411750</v>
          </cell>
          <cell r="EH36">
            <v>555505</v>
          </cell>
          <cell r="EI36">
            <v>221581394.88600004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al"/>
      <sheetName val="Monitoring"/>
    </sheetNames>
    <sheetDataSet>
      <sheetData sheetId="0"/>
      <sheetData sheetId="1"/>
      <sheetData sheetId="2">
        <row r="95">
          <cell r="E95">
            <v>411541829.39286441</v>
          </cell>
          <cell r="F95">
            <v>258063434.38875854</v>
          </cell>
          <cell r="G95">
            <v>18196679.014474571</v>
          </cell>
          <cell r="H95">
            <v>17259884.760155529</v>
          </cell>
          <cell r="I95">
            <v>11518189.618355827</v>
          </cell>
          <cell r="J95">
            <v>5568025.5395381087</v>
          </cell>
          <cell r="K95">
            <v>310274.04371615499</v>
          </cell>
          <cell r="M95">
            <v>416806.88751481281</v>
          </cell>
          <cell r="N95">
            <v>336380.25617951766</v>
          </cell>
          <cell r="O95">
            <v>74776.712900413448</v>
          </cell>
          <cell r="P95">
            <v>35394.520431190183</v>
          </cell>
          <cell r="Q95">
            <v>543.15169106960388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CQ799"/>
  <sheetViews>
    <sheetView showGridLines="0" tabSelected="1" zoomScale="80" zoomScaleNormal="80" workbookViewId="0">
      <pane xSplit="3" ySplit="7" topLeftCell="D8" activePane="bottomRight" state="frozen"/>
      <selection activeCell="A48" sqref="A48"/>
      <selection pane="topRight" activeCell="A48" sqref="A48"/>
      <selection pane="bottomLeft" activeCell="A48" sqref="A48"/>
      <selection pane="bottomRight" activeCell="O14" sqref="O14"/>
    </sheetView>
  </sheetViews>
  <sheetFormatPr defaultColWidth="17" defaultRowHeight="12.75" x14ac:dyDescent="0.2"/>
  <cols>
    <col min="1" max="1" width="14.140625" style="211" customWidth="1"/>
    <col min="2" max="2" width="10.85546875" style="60" customWidth="1"/>
    <col min="3" max="3" width="19.140625" style="60" bestFit="1" customWidth="1"/>
    <col min="4" max="4" width="6.140625" style="60" customWidth="1"/>
    <col min="5" max="6" width="9.7109375" style="60" customWidth="1"/>
    <col min="7" max="7" width="10.28515625" style="60" customWidth="1"/>
    <col min="8" max="8" width="13.140625" style="60" customWidth="1"/>
    <col min="9" max="10" width="10" style="60" customWidth="1"/>
    <col min="11" max="13" width="7.42578125" style="60" customWidth="1"/>
    <col min="14" max="14" width="9.42578125" style="60" customWidth="1"/>
    <col min="15" max="15" width="14.140625" style="60" customWidth="1"/>
    <col min="16" max="16" width="10.28515625" style="60" bestFit="1" customWidth="1"/>
    <col min="17" max="17" width="5.42578125" customWidth="1"/>
    <col min="18" max="18" width="10.28515625" style="60" bestFit="1" customWidth="1"/>
    <col min="19" max="22" width="11.28515625" style="60" bestFit="1" customWidth="1"/>
    <col min="23" max="23" width="9.5703125" style="60" bestFit="1" customWidth="1"/>
    <col min="24" max="24" width="11.28515625" style="60" bestFit="1" customWidth="1"/>
    <col min="25" max="25" width="8.7109375" style="60" bestFit="1" customWidth="1"/>
    <col min="26" max="26" width="10.28515625" style="60" bestFit="1" customWidth="1"/>
    <col min="27" max="27" width="8.42578125" style="60" bestFit="1" customWidth="1"/>
    <col min="28" max="28" width="11.28515625" style="60" bestFit="1" customWidth="1"/>
    <col min="29" max="31" width="8.42578125" style="60" customWidth="1"/>
    <col min="32" max="32" width="8.42578125" style="60" bestFit="1" customWidth="1"/>
    <col min="33" max="33" width="13.28515625" style="60" customWidth="1"/>
    <col min="34" max="34" width="9.28515625" style="60" customWidth="1"/>
    <col min="35" max="35" width="9.7109375" style="60" customWidth="1"/>
    <col min="36" max="36" width="8.42578125" style="60" bestFit="1" customWidth="1"/>
    <col min="37" max="38" width="10.140625" style="60" customWidth="1"/>
    <col min="39" max="39" width="9.28515625" style="60" bestFit="1" customWidth="1"/>
    <col min="40" max="40" width="8.42578125" style="60" customWidth="1"/>
    <col min="41" max="41" width="8.42578125" style="60" bestFit="1" customWidth="1"/>
    <col min="42" max="42" width="8.42578125" style="60" customWidth="1"/>
    <col min="43" max="43" width="8.42578125" style="60" bestFit="1" customWidth="1"/>
    <col min="44" max="44" width="9.7109375" style="60" bestFit="1" customWidth="1"/>
    <col min="45" max="45" width="9.42578125" style="60" bestFit="1" customWidth="1"/>
    <col min="46" max="46" width="12.85546875" style="60" bestFit="1" customWidth="1"/>
    <col min="47" max="47" width="18.85546875" style="60" bestFit="1" customWidth="1"/>
    <col min="48" max="50" width="10.140625" style="60" customWidth="1"/>
    <col min="51" max="52" width="8.42578125" style="60" bestFit="1" customWidth="1"/>
    <col min="53" max="53" width="9.28515625" style="60" customWidth="1"/>
    <col min="54" max="54" width="7.7109375" style="60" bestFit="1" customWidth="1"/>
    <col min="55" max="55" width="8.42578125" style="60" bestFit="1" customWidth="1"/>
    <col min="56" max="57" width="8.140625" style="61" customWidth="1"/>
    <col min="58" max="61" width="8.140625" style="60" customWidth="1"/>
    <col min="62" max="62" width="9.28515625" style="60" customWidth="1"/>
    <col min="63" max="63" width="12" style="60" customWidth="1"/>
    <col min="64" max="74" width="8.140625" style="60" customWidth="1"/>
    <col min="75" max="75" width="9.85546875" style="60" customWidth="1"/>
    <col min="76" max="76" width="8.140625" style="60" customWidth="1"/>
    <col min="77" max="77" width="13.5703125" style="60" customWidth="1"/>
    <col min="78" max="94" width="17" style="60"/>
    <col min="95" max="95" width="18.5703125" style="60" bestFit="1" customWidth="1"/>
    <col min="96" max="16384" width="17" style="60"/>
  </cols>
  <sheetData>
    <row r="1" spans="1:95" customFormat="1" x14ac:dyDescent="0.2">
      <c r="A1" s="207" t="s">
        <v>0</v>
      </c>
    </row>
    <row r="2" spans="1:95" customFormat="1" x14ac:dyDescent="0.2">
      <c r="A2" s="207" t="s">
        <v>52</v>
      </c>
    </row>
    <row r="3" spans="1:95" customFormat="1" ht="13.5" thickBot="1" x14ac:dyDescent="0.25">
      <c r="A3" s="207" t="s">
        <v>1</v>
      </c>
      <c r="AK3" s="1"/>
      <c r="AL3" s="1"/>
      <c r="AT3" s="2">
        <v>1000000</v>
      </c>
      <c r="AV3" s="1" t="s">
        <v>2</v>
      </c>
      <c r="BD3" s="1"/>
      <c r="BE3" s="1"/>
      <c r="BV3" s="1"/>
      <c r="BW3" s="1" t="s">
        <v>3</v>
      </c>
      <c r="BZ3" s="1" t="s">
        <v>4</v>
      </c>
      <c r="CD3" s="1"/>
      <c r="CM3" s="1"/>
      <c r="CN3" s="1"/>
      <c r="CQ3" s="3"/>
    </row>
    <row r="4" spans="1:95" s="8" customFormat="1" ht="13.5" customHeight="1" thickTop="1" x14ac:dyDescent="0.2">
      <c r="A4" s="230" t="s">
        <v>5</v>
      </c>
      <c r="B4" s="233" t="s">
        <v>6</v>
      </c>
      <c r="C4" s="236" t="s">
        <v>7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19" t="s">
        <v>8</v>
      </c>
      <c r="Q4"/>
      <c r="R4" s="237" t="s">
        <v>9</v>
      </c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9"/>
      <c r="AH4" s="225" t="s">
        <v>10</v>
      </c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4"/>
      <c r="AU4" s="5"/>
      <c r="AV4" s="212" t="s">
        <v>9</v>
      </c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4"/>
      <c r="BL4" s="6"/>
      <c r="BM4" s="215" t="s">
        <v>10</v>
      </c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7"/>
      <c r="BZ4" s="212" t="s">
        <v>9</v>
      </c>
      <c r="CA4" s="213"/>
      <c r="CB4" s="213"/>
      <c r="CC4" s="213"/>
      <c r="CD4" s="213"/>
      <c r="CE4" s="213"/>
      <c r="CF4" s="213"/>
      <c r="CG4" s="214"/>
      <c r="CH4" s="6"/>
      <c r="CI4" s="215"/>
      <c r="CJ4" s="215"/>
      <c r="CK4" s="215"/>
      <c r="CL4" s="215"/>
      <c r="CM4" s="215"/>
      <c r="CN4" s="215"/>
      <c r="CO4" s="7"/>
      <c r="CP4" s="9"/>
      <c r="CQ4" s="10"/>
    </row>
    <row r="5" spans="1:95" s="8" customFormat="1" ht="12.75" customHeight="1" x14ac:dyDescent="0.2">
      <c r="A5" s="231"/>
      <c r="B5" s="234"/>
      <c r="C5" s="216" t="s">
        <v>11</v>
      </c>
      <c r="D5" s="219" t="s">
        <v>12</v>
      </c>
      <c r="E5" s="222" t="s">
        <v>13</v>
      </c>
      <c r="F5" s="223"/>
      <c r="G5" s="219" t="s">
        <v>14</v>
      </c>
      <c r="H5" s="219" t="s">
        <v>15</v>
      </c>
      <c r="I5" s="222" t="s">
        <v>16</v>
      </c>
      <c r="J5" s="224"/>
      <c r="K5" s="224"/>
      <c r="L5" s="224"/>
      <c r="M5" s="223"/>
      <c r="N5" s="219" t="s">
        <v>17</v>
      </c>
      <c r="O5" s="219" t="s">
        <v>18</v>
      </c>
      <c r="P5" s="220"/>
      <c r="Q5"/>
      <c r="R5" s="11" t="s">
        <v>19</v>
      </c>
      <c r="S5" s="11" t="s">
        <v>19</v>
      </c>
      <c r="T5" s="12" t="s">
        <v>19</v>
      </c>
      <c r="U5" s="11" t="s">
        <v>20</v>
      </c>
      <c r="V5" s="12" t="s">
        <v>20</v>
      </c>
      <c r="W5" s="11" t="s">
        <v>21</v>
      </c>
      <c r="X5" s="12" t="s">
        <v>21</v>
      </c>
      <c r="Y5" s="11" t="s">
        <v>22</v>
      </c>
      <c r="Z5" s="12" t="s">
        <v>22</v>
      </c>
      <c r="AA5" s="11" t="s">
        <v>23</v>
      </c>
      <c r="AB5" s="12" t="s">
        <v>23</v>
      </c>
      <c r="AC5" s="11" t="s">
        <v>24</v>
      </c>
      <c r="AD5" s="12" t="s">
        <v>24</v>
      </c>
      <c r="AE5" s="11" t="s">
        <v>25</v>
      </c>
      <c r="AF5" s="12" t="s">
        <v>25</v>
      </c>
      <c r="AG5" s="226" t="s">
        <v>26</v>
      </c>
      <c r="AH5" s="11" t="s">
        <v>25</v>
      </c>
      <c r="AI5" s="12" t="s">
        <v>25</v>
      </c>
      <c r="AJ5" s="11" t="s">
        <v>236</v>
      </c>
      <c r="AK5" s="11" t="s">
        <v>236</v>
      </c>
      <c r="AL5" s="12" t="s">
        <v>236</v>
      </c>
      <c r="AM5" s="11" t="s">
        <v>237</v>
      </c>
      <c r="AN5" s="12" t="s">
        <v>237</v>
      </c>
      <c r="AO5" s="11" t="s">
        <v>238</v>
      </c>
      <c r="AP5" s="12" t="s">
        <v>238</v>
      </c>
      <c r="AQ5" s="11" t="s">
        <v>239</v>
      </c>
      <c r="AR5" s="11" t="s">
        <v>240</v>
      </c>
      <c r="AS5" s="226" t="s">
        <v>27</v>
      </c>
      <c r="AT5" s="13" t="s">
        <v>28</v>
      </c>
      <c r="AU5" s="5"/>
      <c r="AV5" s="14" t="s">
        <v>19</v>
      </c>
      <c r="AW5" s="14" t="s">
        <v>19</v>
      </c>
      <c r="AX5" s="12" t="s">
        <v>19</v>
      </c>
      <c r="AY5" s="14" t="s">
        <v>20</v>
      </c>
      <c r="AZ5" s="12" t="s">
        <v>20</v>
      </c>
      <c r="BA5" s="14" t="s">
        <v>21</v>
      </c>
      <c r="BB5" s="12" t="s">
        <v>21</v>
      </c>
      <c r="BC5" s="14" t="s">
        <v>22</v>
      </c>
      <c r="BD5" s="12" t="s">
        <v>22</v>
      </c>
      <c r="BE5" s="14" t="s">
        <v>23</v>
      </c>
      <c r="BF5" s="12" t="s">
        <v>23</v>
      </c>
      <c r="BG5" s="14" t="s">
        <v>24</v>
      </c>
      <c r="BH5" s="12" t="s">
        <v>24</v>
      </c>
      <c r="BI5" s="14" t="s">
        <v>25</v>
      </c>
      <c r="BJ5" s="12" t="s">
        <v>25</v>
      </c>
      <c r="BK5" s="228" t="s">
        <v>26</v>
      </c>
      <c r="BL5" s="14" t="s">
        <v>25</v>
      </c>
      <c r="BM5" s="12" t="s">
        <v>25</v>
      </c>
      <c r="BN5" s="14" t="s">
        <v>236</v>
      </c>
      <c r="BO5" s="12" t="s">
        <v>236</v>
      </c>
      <c r="BP5" s="14" t="s">
        <v>236</v>
      </c>
      <c r="BQ5" s="14" t="s">
        <v>237</v>
      </c>
      <c r="BR5" s="12" t="s">
        <v>237</v>
      </c>
      <c r="BS5" s="14" t="s">
        <v>238</v>
      </c>
      <c r="BT5" s="12" t="s">
        <v>238</v>
      </c>
      <c r="BU5" s="14" t="s">
        <v>239</v>
      </c>
      <c r="BV5" s="14" t="s">
        <v>240</v>
      </c>
      <c r="BW5" s="228" t="s">
        <v>27</v>
      </c>
      <c r="BX5" s="15" t="s">
        <v>28</v>
      </c>
      <c r="BZ5" s="14" t="s">
        <v>19</v>
      </c>
      <c r="CA5" s="14" t="s">
        <v>20</v>
      </c>
      <c r="CB5" s="14" t="s">
        <v>21</v>
      </c>
      <c r="CC5" s="14" t="s">
        <v>22</v>
      </c>
      <c r="CD5" s="14" t="s">
        <v>23</v>
      </c>
      <c r="CE5" s="14" t="s">
        <v>24</v>
      </c>
      <c r="CF5" s="14" t="s">
        <v>25</v>
      </c>
      <c r="CG5" s="228" t="s">
        <v>26</v>
      </c>
      <c r="CH5" s="14">
        <v>1000</v>
      </c>
      <c r="CI5" s="14">
        <v>500</v>
      </c>
      <c r="CJ5" s="14">
        <v>200</v>
      </c>
      <c r="CK5" s="14">
        <v>100</v>
      </c>
      <c r="CL5" s="14">
        <v>50</v>
      </c>
      <c r="CM5" s="14">
        <v>1</v>
      </c>
      <c r="CN5" s="228" t="s">
        <v>27</v>
      </c>
      <c r="CO5" s="15" t="s">
        <v>28</v>
      </c>
      <c r="CP5" s="16"/>
      <c r="CQ5" s="10"/>
    </row>
    <row r="6" spans="1:95" s="8" customFormat="1" ht="13.5" thickBot="1" x14ac:dyDescent="0.25">
      <c r="A6" s="231"/>
      <c r="B6" s="234"/>
      <c r="C6" s="217"/>
      <c r="D6" s="220"/>
      <c r="E6" s="240" t="s">
        <v>29</v>
      </c>
      <c r="F6" s="241"/>
      <c r="G6" s="220"/>
      <c r="H6" s="220"/>
      <c r="I6" s="240" t="s">
        <v>30</v>
      </c>
      <c r="J6" s="241"/>
      <c r="K6" s="240" t="s">
        <v>31</v>
      </c>
      <c r="L6" s="242"/>
      <c r="M6" s="241"/>
      <c r="N6" s="220"/>
      <c r="O6" s="220"/>
      <c r="P6" s="220"/>
      <c r="Q6"/>
      <c r="R6" s="17" t="s">
        <v>32</v>
      </c>
      <c r="S6" s="17" t="s">
        <v>33</v>
      </c>
      <c r="T6" s="18" t="s">
        <v>34</v>
      </c>
      <c r="U6" s="17" t="s">
        <v>35</v>
      </c>
      <c r="V6" s="18" t="s">
        <v>34</v>
      </c>
      <c r="W6" s="17" t="s">
        <v>32</v>
      </c>
      <c r="X6" s="18" t="s">
        <v>34</v>
      </c>
      <c r="Y6" s="17" t="s">
        <v>35</v>
      </c>
      <c r="Z6" s="18" t="s">
        <v>34</v>
      </c>
      <c r="AA6" s="17" t="s">
        <v>36</v>
      </c>
      <c r="AB6" s="18" t="s">
        <v>34</v>
      </c>
      <c r="AC6" s="17" t="s">
        <v>37</v>
      </c>
      <c r="AD6" s="18" t="s">
        <v>34</v>
      </c>
      <c r="AE6" s="17" t="s">
        <v>38</v>
      </c>
      <c r="AF6" s="18" t="s">
        <v>34</v>
      </c>
      <c r="AG6" s="227"/>
      <c r="AH6" s="19" t="s">
        <v>39</v>
      </c>
      <c r="AI6" s="18" t="s">
        <v>34</v>
      </c>
      <c r="AJ6" s="17" t="s">
        <v>40</v>
      </c>
      <c r="AK6" s="17" t="s">
        <v>41</v>
      </c>
      <c r="AL6" s="18" t="s">
        <v>34</v>
      </c>
      <c r="AM6" s="17" t="s">
        <v>40</v>
      </c>
      <c r="AN6" s="18" t="s">
        <v>34</v>
      </c>
      <c r="AO6" s="17" t="s">
        <v>42</v>
      </c>
      <c r="AP6" s="18" t="s">
        <v>34</v>
      </c>
      <c r="AQ6" s="17" t="s">
        <v>42</v>
      </c>
      <c r="AR6" s="17" t="s">
        <v>43</v>
      </c>
      <c r="AS6" s="227"/>
      <c r="AT6" s="20" t="s">
        <v>44</v>
      </c>
      <c r="AU6" s="5"/>
      <c r="AV6" s="21" t="s">
        <v>32</v>
      </c>
      <c r="AW6" s="21" t="s">
        <v>33</v>
      </c>
      <c r="AX6" s="18" t="s">
        <v>34</v>
      </c>
      <c r="AY6" s="21" t="s">
        <v>35</v>
      </c>
      <c r="AZ6" s="18" t="s">
        <v>34</v>
      </c>
      <c r="BA6" s="21" t="s">
        <v>32</v>
      </c>
      <c r="BB6" s="18" t="s">
        <v>34</v>
      </c>
      <c r="BC6" s="21" t="s">
        <v>35</v>
      </c>
      <c r="BD6" s="18" t="s">
        <v>34</v>
      </c>
      <c r="BE6" s="21" t="s">
        <v>36</v>
      </c>
      <c r="BF6" s="18" t="s">
        <v>34</v>
      </c>
      <c r="BG6" s="14" t="s">
        <v>37</v>
      </c>
      <c r="BH6" s="12" t="s">
        <v>34</v>
      </c>
      <c r="BI6" s="21" t="s">
        <v>38</v>
      </c>
      <c r="BJ6" s="18" t="s">
        <v>34</v>
      </c>
      <c r="BK6" s="229"/>
      <c r="BL6" s="22" t="s">
        <v>39</v>
      </c>
      <c r="BM6" s="18" t="s">
        <v>34</v>
      </c>
      <c r="BN6" s="21" t="s">
        <v>40</v>
      </c>
      <c r="BO6" s="18" t="s">
        <v>34</v>
      </c>
      <c r="BP6" s="21" t="s">
        <v>41</v>
      </c>
      <c r="BQ6" s="21" t="s">
        <v>40</v>
      </c>
      <c r="BR6" s="18" t="s">
        <v>34</v>
      </c>
      <c r="BS6" s="21" t="s">
        <v>42</v>
      </c>
      <c r="BT6" s="18" t="s">
        <v>34</v>
      </c>
      <c r="BU6" s="21" t="s">
        <v>42</v>
      </c>
      <c r="BV6" s="21" t="s">
        <v>43</v>
      </c>
      <c r="BW6" s="229"/>
      <c r="BX6" s="23" t="s">
        <v>44</v>
      </c>
      <c r="BZ6" s="21"/>
      <c r="CA6" s="21"/>
      <c r="CB6" s="21"/>
      <c r="CC6" s="21"/>
      <c r="CD6" s="21"/>
      <c r="CE6" s="14"/>
      <c r="CF6" s="21"/>
      <c r="CG6" s="229"/>
      <c r="CH6" s="22"/>
      <c r="CI6" s="21"/>
      <c r="CJ6" s="21"/>
      <c r="CK6" s="21"/>
      <c r="CL6" s="21"/>
      <c r="CM6" s="21"/>
      <c r="CN6" s="229"/>
      <c r="CO6" s="23" t="s">
        <v>44</v>
      </c>
      <c r="CP6" s="16"/>
      <c r="CQ6" s="10" t="s">
        <v>4</v>
      </c>
    </row>
    <row r="7" spans="1:95" s="8" customFormat="1" ht="13.5" thickTop="1" x14ac:dyDescent="0.2">
      <c r="A7" s="232"/>
      <c r="B7" s="235"/>
      <c r="C7" s="218"/>
      <c r="D7" s="221"/>
      <c r="E7" s="24" t="s">
        <v>45</v>
      </c>
      <c r="F7" s="24" t="s">
        <v>46</v>
      </c>
      <c r="G7" s="221"/>
      <c r="H7" s="221"/>
      <c r="I7" s="24" t="s">
        <v>47</v>
      </c>
      <c r="J7" s="24" t="s">
        <v>48</v>
      </c>
      <c r="K7" s="24" t="s">
        <v>49</v>
      </c>
      <c r="L7" s="24" t="s">
        <v>50</v>
      </c>
      <c r="M7" s="24"/>
      <c r="N7" s="221"/>
      <c r="O7" s="221"/>
      <c r="P7" s="221"/>
      <c r="Q7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6"/>
      <c r="AH7" s="27"/>
      <c r="AI7" s="27"/>
      <c r="AJ7" s="25"/>
      <c r="AK7" s="25"/>
      <c r="AL7" s="25"/>
      <c r="AM7" s="25"/>
      <c r="AN7" s="25"/>
      <c r="AO7" s="25"/>
      <c r="AP7" s="25"/>
      <c r="AQ7" s="25"/>
      <c r="AR7" s="25"/>
      <c r="AS7" s="26"/>
      <c r="AT7" s="28"/>
      <c r="AU7" s="5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  <c r="BL7" s="31"/>
      <c r="BM7" s="31"/>
      <c r="BN7" s="29"/>
      <c r="BO7" s="29"/>
      <c r="BP7" s="29"/>
      <c r="BQ7" s="29"/>
      <c r="BR7" s="29"/>
      <c r="BS7" s="29"/>
      <c r="BT7" s="29"/>
      <c r="BU7" s="29"/>
      <c r="BV7" s="29"/>
      <c r="BW7" s="30"/>
      <c r="BX7" s="32"/>
      <c r="BZ7" s="29"/>
      <c r="CA7" s="29"/>
      <c r="CB7" s="29"/>
      <c r="CC7" s="29"/>
      <c r="CD7" s="29"/>
      <c r="CE7" s="29"/>
      <c r="CF7" s="29"/>
      <c r="CG7" s="30"/>
      <c r="CH7" s="31"/>
      <c r="CI7" s="29"/>
      <c r="CJ7" s="29"/>
      <c r="CK7" s="29"/>
      <c r="CL7" s="29"/>
      <c r="CM7" s="29"/>
      <c r="CN7" s="30"/>
      <c r="CO7" s="32"/>
      <c r="CP7" s="16"/>
      <c r="CQ7" s="10"/>
    </row>
    <row r="8" spans="1:95" customFormat="1" ht="14.25" customHeight="1" x14ac:dyDescent="0.2">
      <c r="A8" s="208">
        <v>43103</v>
      </c>
      <c r="B8" s="33" t="s">
        <v>53</v>
      </c>
      <c r="C8" s="34" t="s">
        <v>54</v>
      </c>
      <c r="D8" s="35">
        <v>1</v>
      </c>
      <c r="E8" s="34">
        <v>0</v>
      </c>
      <c r="F8" s="34">
        <v>0</v>
      </c>
      <c r="G8" s="34">
        <v>0</v>
      </c>
      <c r="H8" s="35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6" t="s">
        <v>45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8">
        <v>0</v>
      </c>
      <c r="AH8" s="37">
        <v>0</v>
      </c>
      <c r="AI8" s="37">
        <v>0</v>
      </c>
      <c r="AJ8" s="37">
        <v>0</v>
      </c>
      <c r="AK8" s="39">
        <v>0</v>
      </c>
      <c r="AL8" s="37">
        <v>3125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8">
        <v>3125</v>
      </c>
      <c r="AT8" s="38">
        <v>3125</v>
      </c>
      <c r="AU8" s="40"/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8">
        <v>0</v>
      </c>
      <c r="BL8" s="37">
        <v>0</v>
      </c>
      <c r="BM8" s="37">
        <v>0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8">
        <v>0</v>
      </c>
      <c r="BX8" s="38">
        <v>0</v>
      </c>
      <c r="BZ8" s="37">
        <v>0</v>
      </c>
      <c r="CA8" s="37">
        <v>0</v>
      </c>
      <c r="CB8" s="37">
        <v>0</v>
      </c>
      <c r="CC8" s="37">
        <v>0</v>
      </c>
      <c r="CD8" s="37">
        <v>0</v>
      </c>
      <c r="CE8" s="37">
        <v>0</v>
      </c>
      <c r="CF8" s="37">
        <v>0</v>
      </c>
      <c r="CG8" s="38">
        <v>0</v>
      </c>
      <c r="CH8" s="37">
        <v>0</v>
      </c>
      <c r="CI8" s="37">
        <v>3125</v>
      </c>
      <c r="CJ8" s="37">
        <v>0</v>
      </c>
      <c r="CK8" s="37">
        <v>0</v>
      </c>
      <c r="CL8" s="37">
        <v>0</v>
      </c>
      <c r="CM8" s="37">
        <v>0</v>
      </c>
      <c r="CN8" s="38">
        <v>3125</v>
      </c>
      <c r="CO8" s="38">
        <v>3125</v>
      </c>
      <c r="CP8" s="41"/>
      <c r="CQ8" s="42">
        <v>3125</v>
      </c>
    </row>
    <row r="9" spans="1:95" customFormat="1" ht="14.25" customHeight="1" x14ac:dyDescent="0.2">
      <c r="A9" s="209">
        <v>43108</v>
      </c>
      <c r="B9" s="33" t="s">
        <v>55</v>
      </c>
      <c r="C9" s="33" t="s">
        <v>56</v>
      </c>
      <c r="D9" s="43">
        <v>0</v>
      </c>
      <c r="E9" s="33">
        <v>0</v>
      </c>
      <c r="F9" s="33">
        <v>0</v>
      </c>
      <c r="G9" s="33">
        <v>0</v>
      </c>
      <c r="H9" s="3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33">
        <v>0</v>
      </c>
      <c r="P9" s="44">
        <v>0</v>
      </c>
      <c r="R9" s="37">
        <v>0</v>
      </c>
      <c r="S9" s="37">
        <v>0</v>
      </c>
      <c r="T9" s="37">
        <v>4000</v>
      </c>
      <c r="U9" s="37">
        <v>0</v>
      </c>
      <c r="V9" s="37">
        <v>2000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200</v>
      </c>
      <c r="AC9" s="37">
        <v>0</v>
      </c>
      <c r="AD9" s="37">
        <v>80</v>
      </c>
      <c r="AE9" s="37">
        <v>0</v>
      </c>
      <c r="AF9" s="37">
        <v>40</v>
      </c>
      <c r="AG9" s="38">
        <v>6320</v>
      </c>
      <c r="AH9" s="37">
        <v>0</v>
      </c>
      <c r="AI9" s="37">
        <v>0</v>
      </c>
      <c r="AJ9" s="37">
        <v>0</v>
      </c>
      <c r="AK9" s="37">
        <v>0</v>
      </c>
      <c r="AL9" s="37">
        <v>5</v>
      </c>
      <c r="AM9" s="37">
        <v>0</v>
      </c>
      <c r="AN9" s="37">
        <v>0</v>
      </c>
      <c r="AO9" s="37">
        <v>0</v>
      </c>
      <c r="AP9" s="37">
        <v>2</v>
      </c>
      <c r="AQ9" s="37">
        <v>0</v>
      </c>
      <c r="AR9" s="37">
        <v>0</v>
      </c>
      <c r="AS9" s="38">
        <v>7</v>
      </c>
      <c r="AT9" s="38">
        <v>6327</v>
      </c>
      <c r="AU9" s="40"/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8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8">
        <v>0</v>
      </c>
      <c r="BX9" s="38">
        <v>0</v>
      </c>
      <c r="BZ9" s="37">
        <v>4000</v>
      </c>
      <c r="CA9" s="37">
        <v>2000</v>
      </c>
      <c r="CB9" s="37">
        <v>0</v>
      </c>
      <c r="CC9" s="37">
        <v>0</v>
      </c>
      <c r="CD9" s="37">
        <v>200</v>
      </c>
      <c r="CE9" s="37">
        <v>80</v>
      </c>
      <c r="CF9" s="37">
        <v>40</v>
      </c>
      <c r="CG9" s="38">
        <v>6320</v>
      </c>
      <c r="CH9" s="37">
        <v>0</v>
      </c>
      <c r="CI9" s="37">
        <v>5</v>
      </c>
      <c r="CJ9" s="37">
        <v>0</v>
      </c>
      <c r="CK9" s="37">
        <v>2</v>
      </c>
      <c r="CL9" s="37">
        <v>0</v>
      </c>
      <c r="CM9" s="37">
        <v>0</v>
      </c>
      <c r="CN9" s="38">
        <v>7</v>
      </c>
      <c r="CO9" s="38">
        <v>6327</v>
      </c>
      <c r="CP9" s="41"/>
      <c r="CQ9" s="42">
        <v>6327</v>
      </c>
    </row>
    <row r="10" spans="1:95" customFormat="1" ht="12.75" customHeight="1" x14ac:dyDescent="0.2">
      <c r="A10" s="209">
        <v>43109</v>
      </c>
      <c r="B10" s="33" t="s">
        <v>55</v>
      </c>
      <c r="C10" s="33" t="s">
        <v>56</v>
      </c>
      <c r="D10" s="43">
        <v>0</v>
      </c>
      <c r="E10" s="33">
        <v>0</v>
      </c>
      <c r="F10" s="33">
        <v>0</v>
      </c>
      <c r="G10" s="33">
        <v>0</v>
      </c>
      <c r="H10" s="3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33">
        <v>0</v>
      </c>
      <c r="P10" s="44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8">
        <v>0</v>
      </c>
      <c r="AH10" s="37">
        <v>0</v>
      </c>
      <c r="AI10" s="37">
        <v>10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8">
        <v>10</v>
      </c>
      <c r="AT10" s="38">
        <v>10</v>
      </c>
      <c r="AU10" s="40"/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8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8">
        <v>0</v>
      </c>
      <c r="BX10" s="38">
        <v>0</v>
      </c>
      <c r="BZ10" s="37">
        <v>0</v>
      </c>
      <c r="CA10" s="37">
        <v>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8">
        <v>0</v>
      </c>
      <c r="CH10" s="37">
        <v>10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8">
        <v>10</v>
      </c>
      <c r="CO10" s="38">
        <v>10</v>
      </c>
      <c r="CP10" s="41"/>
      <c r="CQ10" s="42">
        <v>10</v>
      </c>
    </row>
    <row r="11" spans="1:95" customFormat="1" x14ac:dyDescent="0.2">
      <c r="A11" s="209">
        <v>43109</v>
      </c>
      <c r="B11" s="33" t="s">
        <v>53</v>
      </c>
      <c r="C11" s="33" t="s">
        <v>57</v>
      </c>
      <c r="D11" s="43">
        <v>0</v>
      </c>
      <c r="E11" s="43">
        <v>0</v>
      </c>
      <c r="F11" s="33">
        <v>0</v>
      </c>
      <c r="G11" s="33">
        <v>0</v>
      </c>
      <c r="H11" s="3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33">
        <v>0</v>
      </c>
      <c r="P11" s="44">
        <v>0</v>
      </c>
      <c r="R11" s="37">
        <v>0</v>
      </c>
      <c r="S11" s="37">
        <v>0</v>
      </c>
      <c r="T11" s="37">
        <v>8000</v>
      </c>
      <c r="U11" s="37">
        <v>0</v>
      </c>
      <c r="V11" s="37">
        <v>4000</v>
      </c>
      <c r="W11" s="37">
        <v>0</v>
      </c>
      <c r="X11" s="37">
        <v>1600</v>
      </c>
      <c r="Y11" s="37">
        <v>0</v>
      </c>
      <c r="Z11" s="37">
        <v>800</v>
      </c>
      <c r="AA11" s="37">
        <v>0</v>
      </c>
      <c r="AB11" s="37">
        <v>400</v>
      </c>
      <c r="AC11" s="37">
        <v>0</v>
      </c>
      <c r="AD11" s="37">
        <v>160</v>
      </c>
      <c r="AE11" s="37">
        <v>0</v>
      </c>
      <c r="AF11" s="37">
        <v>0</v>
      </c>
      <c r="AG11" s="38">
        <v>14960</v>
      </c>
      <c r="AH11" s="37">
        <v>0</v>
      </c>
      <c r="AI11" s="37">
        <v>20</v>
      </c>
      <c r="AJ11" s="37">
        <v>0</v>
      </c>
      <c r="AK11" s="37">
        <v>0</v>
      </c>
      <c r="AL11" s="37">
        <v>10</v>
      </c>
      <c r="AM11" s="37">
        <v>0</v>
      </c>
      <c r="AN11" s="37">
        <v>8</v>
      </c>
      <c r="AO11" s="37">
        <v>0</v>
      </c>
      <c r="AP11" s="37">
        <v>0</v>
      </c>
      <c r="AQ11" s="37">
        <v>0</v>
      </c>
      <c r="AR11" s="37">
        <v>0</v>
      </c>
      <c r="AS11" s="38">
        <v>38</v>
      </c>
      <c r="AT11" s="38">
        <v>14998</v>
      </c>
      <c r="AU11" s="40"/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8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8">
        <v>0</v>
      </c>
      <c r="BX11" s="38">
        <v>0</v>
      </c>
      <c r="BZ11" s="37">
        <v>8000</v>
      </c>
      <c r="CA11" s="37">
        <v>4000</v>
      </c>
      <c r="CB11" s="37">
        <v>1600</v>
      </c>
      <c r="CC11" s="37">
        <v>800</v>
      </c>
      <c r="CD11" s="37">
        <v>400</v>
      </c>
      <c r="CE11" s="37">
        <v>160</v>
      </c>
      <c r="CF11" s="37">
        <v>0</v>
      </c>
      <c r="CG11" s="38">
        <v>14960</v>
      </c>
      <c r="CH11" s="37">
        <v>20</v>
      </c>
      <c r="CI11" s="37">
        <v>10</v>
      </c>
      <c r="CJ11" s="37">
        <v>8</v>
      </c>
      <c r="CK11" s="37">
        <v>0</v>
      </c>
      <c r="CL11" s="37">
        <v>0</v>
      </c>
      <c r="CM11" s="37">
        <v>0</v>
      </c>
      <c r="CN11" s="38">
        <v>38</v>
      </c>
      <c r="CO11" s="38">
        <v>14998</v>
      </c>
      <c r="CP11" s="41"/>
      <c r="CQ11" s="42">
        <v>14998</v>
      </c>
    </row>
    <row r="12" spans="1:95" customFormat="1" x14ac:dyDescent="0.2">
      <c r="A12" s="209">
        <v>43109</v>
      </c>
      <c r="B12" s="33" t="s">
        <v>58</v>
      </c>
      <c r="C12" s="33" t="s">
        <v>59</v>
      </c>
      <c r="D12" s="43">
        <v>0</v>
      </c>
      <c r="E12" s="43">
        <v>0</v>
      </c>
      <c r="F12" s="43">
        <v>0</v>
      </c>
      <c r="G12" s="33">
        <v>0</v>
      </c>
      <c r="H12" s="33">
        <v>0</v>
      </c>
      <c r="I12" s="43">
        <v>0</v>
      </c>
      <c r="J12" s="43">
        <v>0</v>
      </c>
      <c r="K12" s="43">
        <v>1</v>
      </c>
      <c r="L12" s="43">
        <v>0</v>
      </c>
      <c r="M12" s="43">
        <v>0</v>
      </c>
      <c r="N12" s="43">
        <v>0</v>
      </c>
      <c r="O12" s="33">
        <v>0</v>
      </c>
      <c r="P12" s="44" t="s">
        <v>45</v>
      </c>
      <c r="R12" s="37">
        <v>0</v>
      </c>
      <c r="S12" s="37">
        <v>0</v>
      </c>
      <c r="T12" s="37">
        <v>1100000</v>
      </c>
      <c r="U12" s="37">
        <v>0</v>
      </c>
      <c r="V12" s="37">
        <v>400000</v>
      </c>
      <c r="W12" s="37">
        <v>0</v>
      </c>
      <c r="X12" s="37">
        <v>0</v>
      </c>
      <c r="Y12" s="37">
        <v>0</v>
      </c>
      <c r="Z12" s="37">
        <v>40000</v>
      </c>
      <c r="AA12" s="37">
        <v>0</v>
      </c>
      <c r="AB12" s="37">
        <v>20000</v>
      </c>
      <c r="AC12" s="37">
        <v>0</v>
      </c>
      <c r="AD12" s="37">
        <v>8000</v>
      </c>
      <c r="AE12" s="37">
        <v>0</v>
      </c>
      <c r="AF12" s="37">
        <v>0</v>
      </c>
      <c r="AG12" s="38">
        <v>1568000</v>
      </c>
      <c r="AH12" s="37">
        <v>0</v>
      </c>
      <c r="AI12" s="37">
        <v>1500</v>
      </c>
      <c r="AJ12" s="37">
        <v>0</v>
      </c>
      <c r="AK12" s="37">
        <v>0</v>
      </c>
      <c r="AL12" s="37">
        <v>1000</v>
      </c>
      <c r="AM12" s="37">
        <v>0</v>
      </c>
      <c r="AN12" s="37">
        <v>600</v>
      </c>
      <c r="AO12" s="37">
        <v>0</v>
      </c>
      <c r="AP12" s="37">
        <v>200</v>
      </c>
      <c r="AQ12" s="37">
        <v>0</v>
      </c>
      <c r="AR12" s="37">
        <v>0</v>
      </c>
      <c r="AS12" s="38">
        <v>3300</v>
      </c>
      <c r="AT12" s="38">
        <v>1571300</v>
      </c>
      <c r="AU12" s="45"/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8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0</v>
      </c>
      <c r="BT12" s="37">
        <v>0</v>
      </c>
      <c r="BU12" s="37">
        <v>0</v>
      </c>
      <c r="BV12" s="37">
        <v>0</v>
      </c>
      <c r="BW12" s="38">
        <v>0</v>
      </c>
      <c r="BX12" s="38">
        <v>0</v>
      </c>
      <c r="BZ12" s="37">
        <v>1100000</v>
      </c>
      <c r="CA12" s="37">
        <v>400000</v>
      </c>
      <c r="CB12" s="37">
        <v>0</v>
      </c>
      <c r="CC12" s="37">
        <v>40000</v>
      </c>
      <c r="CD12" s="37">
        <v>20000</v>
      </c>
      <c r="CE12" s="37">
        <v>8000</v>
      </c>
      <c r="CF12" s="37">
        <v>0</v>
      </c>
      <c r="CG12" s="38">
        <v>1568000</v>
      </c>
      <c r="CH12" s="37">
        <v>1500</v>
      </c>
      <c r="CI12" s="37">
        <v>1000</v>
      </c>
      <c r="CJ12" s="37">
        <v>600</v>
      </c>
      <c r="CK12" s="37">
        <v>200</v>
      </c>
      <c r="CL12" s="37">
        <v>0</v>
      </c>
      <c r="CM12" s="37">
        <v>0</v>
      </c>
      <c r="CN12" s="38">
        <v>3300</v>
      </c>
      <c r="CO12" s="38">
        <v>1571300</v>
      </c>
      <c r="CP12" s="41"/>
      <c r="CQ12" s="42">
        <v>1571300</v>
      </c>
    </row>
    <row r="13" spans="1:95" customFormat="1" x14ac:dyDescent="0.2">
      <c r="A13" s="209">
        <v>43109</v>
      </c>
      <c r="B13" s="33" t="s">
        <v>60</v>
      </c>
      <c r="C13" s="33" t="s">
        <v>61</v>
      </c>
      <c r="D13" s="43">
        <v>0</v>
      </c>
      <c r="E13" s="43">
        <v>0</v>
      </c>
      <c r="F13" s="33">
        <v>0</v>
      </c>
      <c r="G13" s="33">
        <v>0</v>
      </c>
      <c r="H13" s="3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1</v>
      </c>
      <c r="O13" s="33">
        <v>0</v>
      </c>
      <c r="P13" s="44" t="s">
        <v>45</v>
      </c>
      <c r="R13" s="37">
        <v>0</v>
      </c>
      <c r="S13" s="37">
        <v>0</v>
      </c>
      <c r="T13" s="37">
        <v>0</v>
      </c>
      <c r="U13" s="37">
        <v>0</v>
      </c>
      <c r="V13" s="37">
        <v>1000000</v>
      </c>
      <c r="W13" s="37">
        <v>0</v>
      </c>
      <c r="X13" s="37">
        <v>400000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34000</v>
      </c>
      <c r="AE13" s="37">
        <v>0</v>
      </c>
      <c r="AF13" s="37">
        <v>0</v>
      </c>
      <c r="AG13" s="38">
        <v>1434000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46">
        <v>0</v>
      </c>
      <c r="AS13" s="38">
        <v>0</v>
      </c>
      <c r="AT13" s="38">
        <v>1434000</v>
      </c>
      <c r="AU13" s="40"/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8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38">
        <v>0</v>
      </c>
      <c r="BX13" s="38">
        <v>0</v>
      </c>
      <c r="BZ13" s="37">
        <v>0</v>
      </c>
      <c r="CA13" s="37">
        <v>1000000</v>
      </c>
      <c r="CB13" s="37">
        <v>400000</v>
      </c>
      <c r="CC13" s="37">
        <v>0</v>
      </c>
      <c r="CD13" s="37">
        <v>0</v>
      </c>
      <c r="CE13" s="37">
        <v>34000</v>
      </c>
      <c r="CF13" s="37">
        <v>0</v>
      </c>
      <c r="CG13" s="38">
        <v>1434000</v>
      </c>
      <c r="CH13" s="37">
        <v>0</v>
      </c>
      <c r="CI13" s="37">
        <v>0</v>
      </c>
      <c r="CJ13" s="37">
        <v>0</v>
      </c>
      <c r="CK13" s="37">
        <v>0</v>
      </c>
      <c r="CL13" s="37">
        <v>0</v>
      </c>
      <c r="CM13" s="37">
        <v>0</v>
      </c>
      <c r="CN13" s="38">
        <v>0</v>
      </c>
      <c r="CO13" s="38">
        <v>1434000</v>
      </c>
      <c r="CP13" s="41"/>
      <c r="CQ13" s="42">
        <v>1434000</v>
      </c>
    </row>
    <row r="14" spans="1:95" customFormat="1" x14ac:dyDescent="0.2">
      <c r="A14" s="209">
        <v>43110</v>
      </c>
      <c r="B14" s="33" t="s">
        <v>62</v>
      </c>
      <c r="C14" s="33" t="s">
        <v>63</v>
      </c>
      <c r="D14" s="43">
        <v>0</v>
      </c>
      <c r="E14" s="33">
        <v>0</v>
      </c>
      <c r="F14" s="33">
        <v>0</v>
      </c>
      <c r="G14" s="33">
        <v>0</v>
      </c>
      <c r="H14" s="33">
        <v>0</v>
      </c>
      <c r="I14" s="43">
        <v>1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33">
        <v>0</v>
      </c>
      <c r="P14" s="44" t="s">
        <v>45</v>
      </c>
      <c r="R14" s="37">
        <v>0</v>
      </c>
      <c r="S14" s="37">
        <v>0</v>
      </c>
      <c r="T14" s="37">
        <v>1400000</v>
      </c>
      <c r="U14" s="37">
        <v>0</v>
      </c>
      <c r="V14" s="37">
        <v>1100000</v>
      </c>
      <c r="W14" s="37">
        <v>0</v>
      </c>
      <c r="X14" s="37">
        <v>0</v>
      </c>
      <c r="Y14" s="37">
        <v>0</v>
      </c>
      <c r="Z14" s="37">
        <v>20000</v>
      </c>
      <c r="AA14" s="37">
        <v>0</v>
      </c>
      <c r="AB14" s="37">
        <v>35000</v>
      </c>
      <c r="AC14" s="37">
        <v>0</v>
      </c>
      <c r="AD14" s="37">
        <v>12000</v>
      </c>
      <c r="AE14" s="37">
        <v>0</v>
      </c>
      <c r="AF14" s="37">
        <v>0</v>
      </c>
      <c r="AG14" s="38">
        <v>2567000</v>
      </c>
      <c r="AH14" s="37">
        <v>0</v>
      </c>
      <c r="AI14" s="37">
        <v>0</v>
      </c>
      <c r="AJ14" s="37">
        <v>0</v>
      </c>
      <c r="AK14" s="37">
        <v>0</v>
      </c>
      <c r="AL14" s="37">
        <v>250</v>
      </c>
      <c r="AM14" s="37">
        <v>0</v>
      </c>
      <c r="AN14" s="37">
        <v>0</v>
      </c>
      <c r="AO14" s="37">
        <v>0</v>
      </c>
      <c r="AP14" s="37">
        <v>100</v>
      </c>
      <c r="AQ14" s="37">
        <v>0</v>
      </c>
      <c r="AR14" s="37">
        <v>0</v>
      </c>
      <c r="AS14" s="38">
        <v>350</v>
      </c>
      <c r="AT14" s="38">
        <v>2567350</v>
      </c>
      <c r="AU14" s="45"/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8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7">
        <v>0</v>
      </c>
      <c r="BS14" s="37">
        <v>0</v>
      </c>
      <c r="BT14" s="37">
        <v>0</v>
      </c>
      <c r="BU14" s="37">
        <v>0</v>
      </c>
      <c r="BV14" s="37">
        <v>0</v>
      </c>
      <c r="BW14" s="38">
        <v>0</v>
      </c>
      <c r="BX14" s="38">
        <v>0</v>
      </c>
      <c r="BZ14" s="37">
        <v>1400000</v>
      </c>
      <c r="CA14" s="37">
        <v>1100000</v>
      </c>
      <c r="CB14" s="37">
        <v>0</v>
      </c>
      <c r="CC14" s="37">
        <v>20000</v>
      </c>
      <c r="CD14" s="37">
        <v>35000</v>
      </c>
      <c r="CE14" s="37">
        <v>12000</v>
      </c>
      <c r="CF14" s="37">
        <v>0</v>
      </c>
      <c r="CG14" s="38">
        <v>2567000</v>
      </c>
      <c r="CH14" s="37">
        <v>0</v>
      </c>
      <c r="CI14" s="37">
        <v>250</v>
      </c>
      <c r="CJ14" s="37">
        <v>0</v>
      </c>
      <c r="CK14" s="37">
        <v>100</v>
      </c>
      <c r="CL14" s="37">
        <v>0</v>
      </c>
      <c r="CM14" s="37">
        <v>0</v>
      </c>
      <c r="CN14" s="38">
        <v>350</v>
      </c>
      <c r="CO14" s="38">
        <v>2567350</v>
      </c>
      <c r="CP14" s="41"/>
      <c r="CQ14" s="42">
        <v>2567350</v>
      </c>
    </row>
    <row r="15" spans="1:95" customFormat="1" x14ac:dyDescent="0.2">
      <c r="A15" s="209">
        <v>43112</v>
      </c>
      <c r="B15" s="33" t="s">
        <v>64</v>
      </c>
      <c r="C15" s="33" t="s">
        <v>65</v>
      </c>
      <c r="D15" s="43">
        <v>0</v>
      </c>
      <c r="E15" s="33">
        <v>0</v>
      </c>
      <c r="F15" s="33">
        <v>0</v>
      </c>
      <c r="G15" s="33">
        <v>0</v>
      </c>
      <c r="H15" s="43">
        <v>0</v>
      </c>
      <c r="I15" s="43">
        <v>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33">
        <v>0</v>
      </c>
      <c r="P15" s="44" t="s">
        <v>45</v>
      </c>
      <c r="R15" s="37">
        <v>0</v>
      </c>
      <c r="S15" s="37">
        <v>0</v>
      </c>
      <c r="T15" s="37">
        <v>1000000</v>
      </c>
      <c r="U15" s="37">
        <v>0</v>
      </c>
      <c r="V15" s="37">
        <v>1000000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8">
        <v>2000000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300</v>
      </c>
      <c r="AO15" s="37">
        <v>0</v>
      </c>
      <c r="AP15" s="37">
        <v>0</v>
      </c>
      <c r="AQ15" s="37">
        <v>0</v>
      </c>
      <c r="AR15" s="37">
        <v>0</v>
      </c>
      <c r="AS15" s="38">
        <v>300</v>
      </c>
      <c r="AT15" s="38">
        <v>2000300</v>
      </c>
      <c r="AU15" s="40"/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8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37">
        <v>0</v>
      </c>
      <c r="BW15" s="38">
        <v>0</v>
      </c>
      <c r="BX15" s="38">
        <v>0</v>
      </c>
      <c r="BZ15" s="37">
        <v>1000000</v>
      </c>
      <c r="CA15" s="37">
        <v>1000000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8">
        <v>2000000</v>
      </c>
      <c r="CH15" s="37">
        <v>0</v>
      </c>
      <c r="CI15" s="37">
        <v>0</v>
      </c>
      <c r="CJ15" s="37">
        <v>300</v>
      </c>
      <c r="CK15" s="37">
        <v>0</v>
      </c>
      <c r="CL15" s="37">
        <v>0</v>
      </c>
      <c r="CM15" s="37">
        <v>0</v>
      </c>
      <c r="CN15" s="38">
        <v>300</v>
      </c>
      <c r="CO15" s="38">
        <v>2000300</v>
      </c>
      <c r="CP15" s="41"/>
      <c r="CQ15" s="42">
        <v>2000300</v>
      </c>
    </row>
    <row r="16" spans="1:95" customFormat="1" x14ac:dyDescent="0.2">
      <c r="A16" s="209">
        <v>43112</v>
      </c>
      <c r="B16" s="33" t="s">
        <v>66</v>
      </c>
      <c r="C16" s="33" t="s">
        <v>65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1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7" t="s">
        <v>45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8">
        <v>0</v>
      </c>
      <c r="AH16" s="37">
        <v>0</v>
      </c>
      <c r="AI16" s="37">
        <v>10000</v>
      </c>
      <c r="AJ16" s="37">
        <v>0</v>
      </c>
      <c r="AK16" s="37">
        <v>0</v>
      </c>
      <c r="AL16" s="37">
        <v>5000</v>
      </c>
      <c r="AM16" s="37">
        <v>0</v>
      </c>
      <c r="AN16" s="37">
        <v>0</v>
      </c>
      <c r="AO16" s="37">
        <v>0</v>
      </c>
      <c r="AP16" s="37">
        <v>200</v>
      </c>
      <c r="AQ16" s="37">
        <v>0</v>
      </c>
      <c r="AR16" s="37">
        <v>0</v>
      </c>
      <c r="AS16" s="38">
        <v>15200</v>
      </c>
      <c r="AT16" s="38">
        <v>15200</v>
      </c>
      <c r="AU16" s="40"/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8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37">
        <v>0</v>
      </c>
      <c r="BW16" s="38">
        <v>0</v>
      </c>
      <c r="BX16" s="38">
        <v>0</v>
      </c>
      <c r="BZ16" s="37">
        <v>0</v>
      </c>
      <c r="CA16" s="37">
        <v>0</v>
      </c>
      <c r="CB16" s="37">
        <v>0</v>
      </c>
      <c r="CC16" s="37">
        <v>0</v>
      </c>
      <c r="CD16" s="37">
        <v>0</v>
      </c>
      <c r="CE16" s="37">
        <v>0</v>
      </c>
      <c r="CF16" s="37">
        <v>0</v>
      </c>
      <c r="CG16" s="38">
        <v>0</v>
      </c>
      <c r="CH16" s="37">
        <v>10000</v>
      </c>
      <c r="CI16" s="37">
        <v>5000</v>
      </c>
      <c r="CJ16" s="37">
        <v>0</v>
      </c>
      <c r="CK16" s="37">
        <v>200</v>
      </c>
      <c r="CL16" s="37">
        <v>0</v>
      </c>
      <c r="CM16" s="37">
        <v>0</v>
      </c>
      <c r="CN16" s="38">
        <v>15200</v>
      </c>
      <c r="CO16" s="38">
        <v>15200</v>
      </c>
      <c r="CP16" s="41"/>
      <c r="CQ16" s="42">
        <v>15200</v>
      </c>
    </row>
    <row r="17" spans="1:95" customFormat="1" x14ac:dyDescent="0.2">
      <c r="A17" s="209">
        <v>43115</v>
      </c>
      <c r="B17" s="33" t="s">
        <v>55</v>
      </c>
      <c r="C17" s="33" t="s">
        <v>56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7">
        <v>0</v>
      </c>
      <c r="R17" s="37">
        <v>0</v>
      </c>
      <c r="S17" s="37">
        <v>0</v>
      </c>
      <c r="T17" s="37">
        <v>4000</v>
      </c>
      <c r="U17" s="37">
        <v>0</v>
      </c>
      <c r="V17" s="37">
        <v>2000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200</v>
      </c>
      <c r="AC17" s="37">
        <v>0</v>
      </c>
      <c r="AD17" s="37">
        <v>80</v>
      </c>
      <c r="AE17" s="37">
        <v>0</v>
      </c>
      <c r="AF17" s="37">
        <v>40</v>
      </c>
      <c r="AG17" s="38">
        <v>6320</v>
      </c>
      <c r="AH17" s="37">
        <v>0</v>
      </c>
      <c r="AI17" s="37">
        <v>10</v>
      </c>
      <c r="AJ17" s="37">
        <v>0</v>
      </c>
      <c r="AK17" s="37">
        <v>0</v>
      </c>
      <c r="AL17" s="37">
        <v>5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8">
        <v>15</v>
      </c>
      <c r="AT17" s="38">
        <v>6335</v>
      </c>
      <c r="AU17" s="40"/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8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8">
        <v>0</v>
      </c>
      <c r="BX17" s="38">
        <v>0</v>
      </c>
      <c r="BZ17" s="37">
        <v>4000</v>
      </c>
      <c r="CA17" s="37">
        <v>2000</v>
      </c>
      <c r="CB17" s="37">
        <v>0</v>
      </c>
      <c r="CC17" s="37">
        <v>0</v>
      </c>
      <c r="CD17" s="37">
        <v>200</v>
      </c>
      <c r="CE17" s="37">
        <v>80</v>
      </c>
      <c r="CF17" s="37">
        <v>40</v>
      </c>
      <c r="CG17" s="38">
        <v>6320</v>
      </c>
      <c r="CH17" s="37">
        <v>10</v>
      </c>
      <c r="CI17" s="37">
        <v>5</v>
      </c>
      <c r="CJ17" s="37">
        <v>0</v>
      </c>
      <c r="CK17" s="37">
        <v>0</v>
      </c>
      <c r="CL17" s="37">
        <v>0</v>
      </c>
      <c r="CM17" s="37">
        <v>0</v>
      </c>
      <c r="CN17" s="38">
        <v>15</v>
      </c>
      <c r="CO17" s="38">
        <v>6335</v>
      </c>
      <c r="CP17" s="41"/>
      <c r="CQ17" s="42">
        <v>6335</v>
      </c>
    </row>
    <row r="18" spans="1:95" customFormat="1" x14ac:dyDescent="0.2">
      <c r="A18" s="209">
        <v>43116</v>
      </c>
      <c r="B18" s="33" t="s">
        <v>60</v>
      </c>
      <c r="C18" s="33" t="s">
        <v>61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1</v>
      </c>
      <c r="O18" s="43">
        <v>0</v>
      </c>
      <c r="P18" s="47" t="s">
        <v>67</v>
      </c>
      <c r="R18" s="37">
        <v>0</v>
      </c>
      <c r="S18" s="37">
        <v>0</v>
      </c>
      <c r="T18" s="37">
        <v>0</v>
      </c>
      <c r="U18" s="37">
        <v>0</v>
      </c>
      <c r="V18" s="37">
        <v>250000</v>
      </c>
      <c r="W18" s="37">
        <v>0</v>
      </c>
      <c r="X18" s="37">
        <v>200000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8">
        <v>450000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1600</v>
      </c>
      <c r="AO18" s="37">
        <v>0</v>
      </c>
      <c r="AP18" s="37">
        <v>0</v>
      </c>
      <c r="AQ18" s="37">
        <v>0</v>
      </c>
      <c r="AR18" s="37">
        <v>0</v>
      </c>
      <c r="AS18" s="38">
        <v>1600</v>
      </c>
      <c r="AT18" s="38">
        <v>451600</v>
      </c>
      <c r="AU18" s="45"/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8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0</v>
      </c>
      <c r="BV18" s="37">
        <v>0</v>
      </c>
      <c r="BW18" s="38">
        <v>0</v>
      </c>
      <c r="BX18" s="38">
        <v>0</v>
      </c>
      <c r="BZ18" s="37">
        <v>0</v>
      </c>
      <c r="CA18" s="37">
        <v>250000</v>
      </c>
      <c r="CB18" s="37">
        <v>200000</v>
      </c>
      <c r="CC18" s="37">
        <v>0</v>
      </c>
      <c r="CD18" s="37">
        <v>0</v>
      </c>
      <c r="CE18" s="37">
        <v>0</v>
      </c>
      <c r="CF18" s="37">
        <v>0</v>
      </c>
      <c r="CG18" s="38">
        <v>450000</v>
      </c>
      <c r="CH18" s="37">
        <v>0</v>
      </c>
      <c r="CI18" s="37">
        <v>0</v>
      </c>
      <c r="CJ18" s="37">
        <v>1600</v>
      </c>
      <c r="CK18" s="37">
        <v>0</v>
      </c>
      <c r="CL18" s="37">
        <v>0</v>
      </c>
      <c r="CM18" s="37">
        <v>0</v>
      </c>
      <c r="CN18" s="38">
        <v>1600</v>
      </c>
      <c r="CO18" s="38">
        <v>451600</v>
      </c>
      <c r="CP18" s="41"/>
      <c r="CQ18" s="42">
        <v>451600</v>
      </c>
    </row>
    <row r="19" spans="1:95" customFormat="1" x14ac:dyDescent="0.2">
      <c r="A19" s="209">
        <v>43117</v>
      </c>
      <c r="B19" s="33" t="s">
        <v>55</v>
      </c>
      <c r="C19" s="33" t="s">
        <v>56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7">
        <v>0</v>
      </c>
      <c r="R19" s="37">
        <v>0</v>
      </c>
      <c r="S19" s="37">
        <v>0</v>
      </c>
      <c r="T19" s="37">
        <v>0</v>
      </c>
      <c r="U19" s="48">
        <v>0</v>
      </c>
      <c r="V19" s="37">
        <v>0</v>
      </c>
      <c r="W19" s="37">
        <v>0</v>
      </c>
      <c r="X19" s="37">
        <v>0</v>
      </c>
      <c r="Y19" s="48">
        <v>0</v>
      </c>
      <c r="Z19" s="37">
        <v>400</v>
      </c>
      <c r="AA19" s="37">
        <v>0</v>
      </c>
      <c r="AB19" s="37">
        <v>0</v>
      </c>
      <c r="AC19" s="37">
        <v>0</v>
      </c>
      <c r="AD19" s="37">
        <v>0</v>
      </c>
      <c r="AE19" s="48">
        <v>0</v>
      </c>
      <c r="AF19" s="37">
        <v>0</v>
      </c>
      <c r="AG19" s="38">
        <v>400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49">
        <v>0</v>
      </c>
      <c r="AS19" s="38">
        <v>0</v>
      </c>
      <c r="AT19" s="38">
        <v>400</v>
      </c>
      <c r="AU19" s="45"/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8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8">
        <v>0</v>
      </c>
      <c r="BX19" s="38">
        <v>0</v>
      </c>
      <c r="BZ19" s="37">
        <v>0</v>
      </c>
      <c r="CA19" s="37">
        <v>0</v>
      </c>
      <c r="CB19" s="37">
        <v>0</v>
      </c>
      <c r="CC19" s="37">
        <v>400</v>
      </c>
      <c r="CD19" s="37">
        <v>0</v>
      </c>
      <c r="CE19" s="37">
        <v>0</v>
      </c>
      <c r="CF19" s="37">
        <v>0</v>
      </c>
      <c r="CG19" s="38">
        <v>400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8">
        <v>0</v>
      </c>
      <c r="CO19" s="38">
        <v>400</v>
      </c>
      <c r="CP19" s="41"/>
      <c r="CQ19" s="42">
        <v>400</v>
      </c>
    </row>
    <row r="20" spans="1:95" customFormat="1" x14ac:dyDescent="0.2">
      <c r="A20" s="209">
        <v>43118</v>
      </c>
      <c r="B20" s="33" t="s">
        <v>53</v>
      </c>
      <c r="C20" s="33" t="s">
        <v>54</v>
      </c>
      <c r="D20" s="43">
        <v>1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7" t="s">
        <v>45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8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1250</v>
      </c>
      <c r="AM20" s="37">
        <v>0</v>
      </c>
      <c r="AN20" s="37">
        <v>1000</v>
      </c>
      <c r="AO20" s="37">
        <v>0</v>
      </c>
      <c r="AP20" s="37">
        <v>0</v>
      </c>
      <c r="AQ20" s="37">
        <v>0</v>
      </c>
      <c r="AR20" s="37">
        <v>0</v>
      </c>
      <c r="AS20" s="38">
        <v>2250</v>
      </c>
      <c r="AT20" s="38">
        <v>2250</v>
      </c>
      <c r="AU20" s="40"/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8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0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8">
        <v>0</v>
      </c>
      <c r="BX20" s="38">
        <v>0</v>
      </c>
      <c r="BZ20" s="37">
        <v>0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8">
        <v>0</v>
      </c>
      <c r="CH20" s="37">
        <v>0</v>
      </c>
      <c r="CI20" s="37">
        <v>1250</v>
      </c>
      <c r="CJ20" s="37">
        <v>1000</v>
      </c>
      <c r="CK20" s="37">
        <v>0</v>
      </c>
      <c r="CL20" s="37">
        <v>0</v>
      </c>
      <c r="CM20" s="37">
        <v>0</v>
      </c>
      <c r="CN20" s="38">
        <v>2250</v>
      </c>
      <c r="CO20" s="38">
        <v>2250</v>
      </c>
      <c r="CP20" s="41"/>
      <c r="CQ20" s="42">
        <v>2250</v>
      </c>
    </row>
    <row r="21" spans="1:95" customFormat="1" ht="12" customHeight="1" x14ac:dyDescent="0.2">
      <c r="A21" s="209">
        <v>43122</v>
      </c>
      <c r="B21" s="33" t="s">
        <v>53</v>
      </c>
      <c r="C21" s="33" t="s">
        <v>54</v>
      </c>
      <c r="D21" s="43">
        <v>1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7" t="s">
        <v>45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75000</v>
      </c>
      <c r="AC21" s="37">
        <v>0</v>
      </c>
      <c r="AD21" s="37">
        <v>30000</v>
      </c>
      <c r="AE21" s="37">
        <v>0</v>
      </c>
      <c r="AF21" s="37">
        <v>0</v>
      </c>
      <c r="AG21" s="38">
        <v>105000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8">
        <v>0</v>
      </c>
      <c r="AT21" s="38">
        <v>105000</v>
      </c>
      <c r="AU21" s="40"/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8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37">
        <v>0</v>
      </c>
      <c r="BW21" s="38">
        <v>0</v>
      </c>
      <c r="BX21" s="38">
        <v>0</v>
      </c>
      <c r="BZ21" s="37">
        <v>0</v>
      </c>
      <c r="CA21" s="37">
        <v>0</v>
      </c>
      <c r="CB21" s="37">
        <v>0</v>
      </c>
      <c r="CC21" s="37">
        <v>0</v>
      </c>
      <c r="CD21" s="37">
        <v>75000</v>
      </c>
      <c r="CE21" s="37">
        <v>30000</v>
      </c>
      <c r="CF21" s="37">
        <v>0</v>
      </c>
      <c r="CG21" s="38">
        <v>105000</v>
      </c>
      <c r="CH21" s="37">
        <v>0</v>
      </c>
      <c r="CI21" s="37">
        <v>0</v>
      </c>
      <c r="CJ21" s="37">
        <v>0</v>
      </c>
      <c r="CK21" s="37">
        <v>0</v>
      </c>
      <c r="CL21" s="37">
        <v>0</v>
      </c>
      <c r="CM21" s="37">
        <v>0</v>
      </c>
      <c r="CN21" s="38">
        <v>0</v>
      </c>
      <c r="CO21" s="38">
        <v>105000</v>
      </c>
      <c r="CP21" s="41"/>
      <c r="CQ21" s="42">
        <v>105000</v>
      </c>
    </row>
    <row r="22" spans="1:95" customFormat="1" x14ac:dyDescent="0.2">
      <c r="A22" s="209">
        <v>43122</v>
      </c>
      <c r="B22" s="33" t="s">
        <v>55</v>
      </c>
      <c r="C22" s="33" t="s">
        <v>56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7">
        <v>0</v>
      </c>
      <c r="R22" s="37">
        <v>0</v>
      </c>
      <c r="S22" s="37">
        <v>0</v>
      </c>
      <c r="T22" s="37">
        <v>4000</v>
      </c>
      <c r="U22" s="37">
        <v>0</v>
      </c>
      <c r="V22" s="37">
        <v>2000</v>
      </c>
      <c r="W22" s="37">
        <v>0</v>
      </c>
      <c r="X22" s="37">
        <v>0</v>
      </c>
      <c r="Y22" s="37">
        <v>0</v>
      </c>
      <c r="Z22" s="37">
        <v>400</v>
      </c>
      <c r="AA22" s="37">
        <v>0</v>
      </c>
      <c r="AB22" s="37">
        <v>200</v>
      </c>
      <c r="AC22" s="37">
        <v>0</v>
      </c>
      <c r="AD22" s="37">
        <v>80</v>
      </c>
      <c r="AE22" s="37">
        <v>0</v>
      </c>
      <c r="AF22" s="37">
        <v>40</v>
      </c>
      <c r="AG22" s="38">
        <v>6720</v>
      </c>
      <c r="AH22" s="37">
        <v>0</v>
      </c>
      <c r="AI22" s="37">
        <v>10</v>
      </c>
      <c r="AJ22" s="37">
        <v>0</v>
      </c>
      <c r="AK22" s="37">
        <v>0</v>
      </c>
      <c r="AL22" s="37">
        <v>5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8">
        <v>15</v>
      </c>
      <c r="AT22" s="38">
        <v>6735</v>
      </c>
      <c r="AU22" s="40"/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8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0</v>
      </c>
      <c r="BT22" s="37">
        <v>0</v>
      </c>
      <c r="BU22" s="37">
        <v>0</v>
      </c>
      <c r="BV22" s="37">
        <v>0</v>
      </c>
      <c r="BW22" s="38">
        <v>0</v>
      </c>
      <c r="BX22" s="38">
        <v>0</v>
      </c>
      <c r="BZ22" s="37">
        <v>4000</v>
      </c>
      <c r="CA22" s="37">
        <v>2000</v>
      </c>
      <c r="CB22" s="37">
        <v>0</v>
      </c>
      <c r="CC22" s="37">
        <v>400</v>
      </c>
      <c r="CD22" s="37">
        <v>200</v>
      </c>
      <c r="CE22" s="37">
        <v>80</v>
      </c>
      <c r="CF22" s="37">
        <v>40</v>
      </c>
      <c r="CG22" s="38">
        <v>6720</v>
      </c>
      <c r="CH22" s="37">
        <v>10</v>
      </c>
      <c r="CI22" s="37">
        <v>5</v>
      </c>
      <c r="CJ22" s="37">
        <v>0</v>
      </c>
      <c r="CK22" s="37">
        <v>0</v>
      </c>
      <c r="CL22" s="37">
        <v>0</v>
      </c>
      <c r="CM22" s="37">
        <v>0</v>
      </c>
      <c r="CN22" s="38">
        <v>15</v>
      </c>
      <c r="CO22" s="38">
        <v>6735</v>
      </c>
      <c r="CP22" s="41"/>
      <c r="CQ22" s="42">
        <v>6735</v>
      </c>
    </row>
    <row r="23" spans="1:95" s="53" customFormat="1" x14ac:dyDescent="0.2">
      <c r="A23" s="210">
        <v>43123</v>
      </c>
      <c r="B23" s="50" t="s">
        <v>62</v>
      </c>
      <c r="C23" s="50" t="s">
        <v>63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1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2" t="s">
        <v>45</v>
      </c>
      <c r="R23" s="37">
        <v>0</v>
      </c>
      <c r="S23" s="37">
        <v>0</v>
      </c>
      <c r="T23" s="37">
        <v>200000</v>
      </c>
      <c r="U23" s="37">
        <v>0</v>
      </c>
      <c r="V23" s="37">
        <v>700000</v>
      </c>
      <c r="W23" s="37">
        <v>0</v>
      </c>
      <c r="X23" s="48">
        <v>80000</v>
      </c>
      <c r="Y23" s="37">
        <v>0</v>
      </c>
      <c r="Z23" s="37">
        <v>80000</v>
      </c>
      <c r="AA23" s="37">
        <v>0</v>
      </c>
      <c r="AB23" s="48">
        <v>30000</v>
      </c>
      <c r="AC23" s="37">
        <v>0</v>
      </c>
      <c r="AD23" s="37">
        <v>0</v>
      </c>
      <c r="AE23" s="37">
        <v>0</v>
      </c>
      <c r="AF23" s="48">
        <v>0</v>
      </c>
      <c r="AG23" s="38">
        <v>1090000</v>
      </c>
      <c r="AH23" s="37">
        <v>0</v>
      </c>
      <c r="AI23" s="37">
        <v>0</v>
      </c>
      <c r="AJ23" s="37">
        <v>0</v>
      </c>
      <c r="AK23" s="37">
        <v>0</v>
      </c>
      <c r="AL23" s="37">
        <v>375</v>
      </c>
      <c r="AM23" s="37">
        <v>0</v>
      </c>
      <c r="AN23" s="37">
        <v>0</v>
      </c>
      <c r="AO23" s="37">
        <v>0</v>
      </c>
      <c r="AP23" s="37">
        <v>150</v>
      </c>
      <c r="AQ23" s="37">
        <v>0</v>
      </c>
      <c r="AR23" s="37">
        <v>0</v>
      </c>
      <c r="AS23" s="38">
        <v>525</v>
      </c>
      <c r="AT23" s="38">
        <v>1090525</v>
      </c>
      <c r="AU23" s="40"/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8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v>0</v>
      </c>
      <c r="BT23" s="37">
        <v>0</v>
      </c>
      <c r="BU23" s="37">
        <v>0</v>
      </c>
      <c r="BV23" s="37">
        <v>0</v>
      </c>
      <c r="BW23" s="38">
        <v>0</v>
      </c>
      <c r="BX23" s="38">
        <v>0</v>
      </c>
      <c r="BZ23" s="37">
        <v>200000</v>
      </c>
      <c r="CA23" s="37">
        <v>700000</v>
      </c>
      <c r="CB23" s="37">
        <v>80000</v>
      </c>
      <c r="CC23" s="37">
        <v>80000</v>
      </c>
      <c r="CD23" s="37">
        <v>30000</v>
      </c>
      <c r="CE23" s="37">
        <v>0</v>
      </c>
      <c r="CF23" s="37">
        <v>0</v>
      </c>
      <c r="CG23" s="38">
        <v>1090000</v>
      </c>
      <c r="CH23" s="37">
        <v>0</v>
      </c>
      <c r="CI23" s="37">
        <v>375</v>
      </c>
      <c r="CJ23" s="37">
        <v>0</v>
      </c>
      <c r="CK23" s="37">
        <v>150</v>
      </c>
      <c r="CL23" s="37">
        <v>0</v>
      </c>
      <c r="CM23" s="37">
        <v>0</v>
      </c>
      <c r="CN23" s="38">
        <v>525</v>
      </c>
      <c r="CO23" s="38">
        <v>1090525</v>
      </c>
      <c r="CP23" s="41"/>
      <c r="CQ23" s="42">
        <v>1090525</v>
      </c>
    </row>
    <row r="24" spans="1:95" customFormat="1" x14ac:dyDescent="0.2">
      <c r="A24" s="209">
        <v>43123</v>
      </c>
      <c r="B24" s="33" t="s">
        <v>62</v>
      </c>
      <c r="C24" s="33" t="s">
        <v>63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1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7" t="s">
        <v>45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80000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8">
        <v>80000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8">
        <v>0</v>
      </c>
      <c r="AT24" s="38">
        <v>80000</v>
      </c>
      <c r="AU24" s="40"/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8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37">
        <v>0</v>
      </c>
      <c r="BW24" s="38">
        <v>0</v>
      </c>
      <c r="BX24" s="38">
        <v>0</v>
      </c>
      <c r="BZ24" s="37">
        <v>0</v>
      </c>
      <c r="CA24" s="37">
        <v>0</v>
      </c>
      <c r="CB24" s="37">
        <v>80000</v>
      </c>
      <c r="CC24" s="37">
        <v>0</v>
      </c>
      <c r="CD24" s="37">
        <v>0</v>
      </c>
      <c r="CE24" s="37">
        <v>0</v>
      </c>
      <c r="CF24" s="37">
        <v>0</v>
      </c>
      <c r="CG24" s="38">
        <v>80000</v>
      </c>
      <c r="CH24" s="37">
        <v>0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8">
        <v>0</v>
      </c>
      <c r="CO24" s="38">
        <v>80000</v>
      </c>
      <c r="CP24" s="41"/>
      <c r="CQ24" s="42">
        <v>80000</v>
      </c>
    </row>
    <row r="25" spans="1:95" customFormat="1" x14ac:dyDescent="0.2">
      <c r="A25" s="209">
        <v>43123</v>
      </c>
      <c r="B25" s="33" t="s">
        <v>68</v>
      </c>
      <c r="C25" s="33" t="s">
        <v>69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/>
      <c r="M25" s="43"/>
      <c r="N25" s="43">
        <v>1</v>
      </c>
      <c r="O25" s="43">
        <v>0</v>
      </c>
      <c r="P25" s="47" t="s">
        <v>45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80000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8">
        <v>80000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8">
        <v>0</v>
      </c>
      <c r="AT25" s="38">
        <v>80000</v>
      </c>
      <c r="AU25" s="45"/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8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8">
        <v>0</v>
      </c>
      <c r="BX25" s="38">
        <v>0</v>
      </c>
      <c r="BZ25" s="37">
        <v>0</v>
      </c>
      <c r="CA25" s="37">
        <v>0</v>
      </c>
      <c r="CB25" s="37">
        <v>80000</v>
      </c>
      <c r="CC25" s="37">
        <v>0</v>
      </c>
      <c r="CD25" s="37">
        <v>0</v>
      </c>
      <c r="CE25" s="37">
        <v>0</v>
      </c>
      <c r="CF25" s="37">
        <v>0</v>
      </c>
      <c r="CG25" s="38">
        <v>80000</v>
      </c>
      <c r="CH25" s="37">
        <v>0</v>
      </c>
      <c r="CI25" s="37">
        <v>0</v>
      </c>
      <c r="CJ25" s="37">
        <v>0</v>
      </c>
      <c r="CK25" s="37">
        <v>0</v>
      </c>
      <c r="CL25" s="37">
        <v>0</v>
      </c>
      <c r="CM25" s="37">
        <v>0</v>
      </c>
      <c r="CN25" s="38">
        <v>0</v>
      </c>
      <c r="CO25" s="38">
        <v>80000</v>
      </c>
      <c r="CP25" s="41"/>
      <c r="CQ25" s="42">
        <v>80000</v>
      </c>
    </row>
    <row r="26" spans="1:95" customFormat="1" x14ac:dyDescent="0.2">
      <c r="A26" s="209">
        <v>43123</v>
      </c>
      <c r="B26" s="33" t="s">
        <v>68</v>
      </c>
      <c r="C26" s="33" t="s">
        <v>69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1</v>
      </c>
      <c r="O26" s="43">
        <v>0</v>
      </c>
      <c r="P26" s="47" t="s">
        <v>45</v>
      </c>
      <c r="R26" s="37">
        <v>0</v>
      </c>
      <c r="S26" s="37">
        <v>0</v>
      </c>
      <c r="T26" s="37">
        <v>1000000</v>
      </c>
      <c r="U26" s="37">
        <v>0</v>
      </c>
      <c r="V26" s="37">
        <v>0</v>
      </c>
      <c r="W26" s="37">
        <v>0</v>
      </c>
      <c r="X26" s="37">
        <v>200000</v>
      </c>
      <c r="Y26" s="37">
        <v>0</v>
      </c>
      <c r="Z26" s="37">
        <v>140000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8">
        <v>1340000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8">
        <v>0</v>
      </c>
      <c r="AT26" s="38">
        <v>1340000</v>
      </c>
      <c r="AU26" s="40"/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8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7">
        <v>0</v>
      </c>
      <c r="BR26" s="37">
        <v>0</v>
      </c>
      <c r="BS26" s="37">
        <v>0</v>
      </c>
      <c r="BT26" s="37">
        <v>0</v>
      </c>
      <c r="BU26" s="37">
        <v>0</v>
      </c>
      <c r="BV26" s="37">
        <v>0</v>
      </c>
      <c r="BW26" s="38">
        <v>0</v>
      </c>
      <c r="BX26" s="38">
        <v>0</v>
      </c>
      <c r="BZ26" s="37">
        <v>1000000</v>
      </c>
      <c r="CA26" s="37">
        <v>0</v>
      </c>
      <c r="CB26" s="37">
        <v>200000</v>
      </c>
      <c r="CC26" s="37">
        <v>140000</v>
      </c>
      <c r="CD26" s="37">
        <v>0</v>
      </c>
      <c r="CE26" s="37">
        <v>0</v>
      </c>
      <c r="CF26" s="37">
        <v>0</v>
      </c>
      <c r="CG26" s="38">
        <v>1340000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8">
        <v>0</v>
      </c>
      <c r="CO26" s="38">
        <v>1340000</v>
      </c>
      <c r="CP26" s="41"/>
      <c r="CQ26" s="42">
        <v>1340000</v>
      </c>
    </row>
    <row r="27" spans="1:95" customFormat="1" x14ac:dyDescent="0.2">
      <c r="A27" s="209">
        <v>43123</v>
      </c>
      <c r="B27" s="33" t="s">
        <v>53</v>
      </c>
      <c r="C27" s="33" t="s">
        <v>54</v>
      </c>
      <c r="D27" s="43">
        <v>1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7" t="s">
        <v>45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8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8">
        <v>0</v>
      </c>
      <c r="AT27" s="38">
        <v>0</v>
      </c>
      <c r="AU27" s="40"/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8">
        <v>0</v>
      </c>
      <c r="BL27" s="37">
        <v>0</v>
      </c>
      <c r="BM27" s="37">
        <v>3200</v>
      </c>
      <c r="BN27" s="37">
        <v>0</v>
      </c>
      <c r="BO27" s="37">
        <v>1400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8">
        <v>4600</v>
      </c>
      <c r="BX27" s="38">
        <v>4600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8">
        <v>0</v>
      </c>
      <c r="CH27" s="37">
        <v>3200</v>
      </c>
      <c r="CI27" s="37">
        <v>1400</v>
      </c>
      <c r="CJ27" s="37">
        <v>0</v>
      </c>
      <c r="CK27" s="37">
        <v>0</v>
      </c>
      <c r="CL27" s="37">
        <v>0</v>
      </c>
      <c r="CM27" s="37">
        <v>0</v>
      </c>
      <c r="CN27" s="38">
        <v>4600</v>
      </c>
      <c r="CO27" s="38">
        <v>4600</v>
      </c>
      <c r="CP27" s="41"/>
      <c r="CQ27" s="42">
        <v>4600</v>
      </c>
    </row>
    <row r="28" spans="1:95" customFormat="1" x14ac:dyDescent="0.2">
      <c r="A28" s="209">
        <v>43123</v>
      </c>
      <c r="B28" s="33" t="s">
        <v>53</v>
      </c>
      <c r="C28" s="33" t="s">
        <v>54</v>
      </c>
      <c r="D28" s="43">
        <v>1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7" t="s">
        <v>45</v>
      </c>
      <c r="R28" s="37">
        <v>0</v>
      </c>
      <c r="S28" s="37">
        <v>0</v>
      </c>
      <c r="T28" s="37">
        <v>4000</v>
      </c>
      <c r="U28" s="37">
        <v>0</v>
      </c>
      <c r="V28" s="37">
        <v>2000</v>
      </c>
      <c r="W28" s="37">
        <v>0</v>
      </c>
      <c r="X28" s="37">
        <v>0</v>
      </c>
      <c r="Y28" s="37">
        <v>0</v>
      </c>
      <c r="Z28" s="37">
        <v>400</v>
      </c>
      <c r="AA28" s="37">
        <v>0</v>
      </c>
      <c r="AB28" s="37">
        <v>200</v>
      </c>
      <c r="AC28" s="37">
        <v>0</v>
      </c>
      <c r="AD28" s="37">
        <v>80</v>
      </c>
      <c r="AE28" s="37">
        <v>0</v>
      </c>
      <c r="AF28" s="37">
        <v>40</v>
      </c>
      <c r="AG28" s="38">
        <v>6720</v>
      </c>
      <c r="AH28" s="37">
        <v>0</v>
      </c>
      <c r="AI28" s="37">
        <v>10</v>
      </c>
      <c r="AJ28" s="37">
        <v>0</v>
      </c>
      <c r="AK28" s="37">
        <v>0</v>
      </c>
      <c r="AL28" s="37">
        <v>5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8">
        <v>15</v>
      </c>
      <c r="AT28" s="38">
        <v>6735</v>
      </c>
      <c r="AU28" s="45"/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8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7">
        <v>0</v>
      </c>
      <c r="BR28" s="37">
        <v>0</v>
      </c>
      <c r="BS28" s="37">
        <v>0</v>
      </c>
      <c r="BT28" s="37">
        <v>0</v>
      </c>
      <c r="BU28" s="37">
        <v>0</v>
      </c>
      <c r="BV28" s="37">
        <v>0</v>
      </c>
      <c r="BW28" s="38">
        <v>0</v>
      </c>
      <c r="BX28" s="38">
        <v>0</v>
      </c>
      <c r="BZ28" s="37">
        <v>4000</v>
      </c>
      <c r="CA28" s="37">
        <v>2000</v>
      </c>
      <c r="CB28" s="37">
        <v>0</v>
      </c>
      <c r="CC28" s="37">
        <v>400</v>
      </c>
      <c r="CD28" s="37">
        <v>200</v>
      </c>
      <c r="CE28" s="37">
        <v>80</v>
      </c>
      <c r="CF28" s="37">
        <v>40</v>
      </c>
      <c r="CG28" s="38">
        <v>6720</v>
      </c>
      <c r="CH28" s="37">
        <v>10</v>
      </c>
      <c r="CI28" s="37">
        <v>5</v>
      </c>
      <c r="CJ28" s="37">
        <v>0</v>
      </c>
      <c r="CK28" s="37">
        <v>0</v>
      </c>
      <c r="CL28" s="37">
        <v>0</v>
      </c>
      <c r="CM28" s="37">
        <v>0</v>
      </c>
      <c r="CN28" s="38">
        <v>15</v>
      </c>
      <c r="CO28" s="38">
        <v>6735</v>
      </c>
      <c r="CP28" s="41"/>
      <c r="CQ28" s="42">
        <v>6735</v>
      </c>
    </row>
    <row r="29" spans="1:95" customFormat="1" x14ac:dyDescent="0.2">
      <c r="A29" s="209">
        <v>43119</v>
      </c>
      <c r="B29" s="33" t="s">
        <v>70</v>
      </c>
      <c r="C29" s="33" t="s">
        <v>71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7" t="s">
        <v>45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20000</v>
      </c>
      <c r="AE29" s="37">
        <v>0</v>
      </c>
      <c r="AF29" s="37">
        <v>0</v>
      </c>
      <c r="AG29" s="38">
        <v>20000</v>
      </c>
      <c r="AH29" s="37">
        <v>0</v>
      </c>
      <c r="AI29" s="37">
        <v>2500</v>
      </c>
      <c r="AJ29" s="37">
        <v>0</v>
      </c>
      <c r="AK29" s="37">
        <v>0</v>
      </c>
      <c r="AL29" s="37">
        <v>1250</v>
      </c>
      <c r="AM29" s="37">
        <v>0</v>
      </c>
      <c r="AN29" s="37">
        <v>400</v>
      </c>
      <c r="AO29" s="37">
        <v>0</v>
      </c>
      <c r="AP29" s="37">
        <v>500</v>
      </c>
      <c r="AQ29" s="37">
        <v>0</v>
      </c>
      <c r="AR29" s="37">
        <v>0</v>
      </c>
      <c r="AS29" s="38">
        <v>4650</v>
      </c>
      <c r="AT29" s="38">
        <v>24650</v>
      </c>
      <c r="AU29" s="40"/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8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8">
        <v>0</v>
      </c>
      <c r="BX29" s="38">
        <v>0</v>
      </c>
      <c r="BY29" s="54"/>
      <c r="BZ29" s="37">
        <v>0</v>
      </c>
      <c r="CA29" s="37">
        <v>0</v>
      </c>
      <c r="CB29" s="37">
        <v>0</v>
      </c>
      <c r="CC29" s="37">
        <v>0</v>
      </c>
      <c r="CD29" s="37">
        <v>0</v>
      </c>
      <c r="CE29" s="37">
        <v>20000</v>
      </c>
      <c r="CF29" s="37">
        <v>0</v>
      </c>
      <c r="CG29" s="38">
        <v>20000</v>
      </c>
      <c r="CH29" s="37">
        <v>2500</v>
      </c>
      <c r="CI29" s="37">
        <v>1250</v>
      </c>
      <c r="CJ29" s="37">
        <v>400</v>
      </c>
      <c r="CK29" s="37">
        <v>500</v>
      </c>
      <c r="CL29" s="37">
        <v>0</v>
      </c>
      <c r="CM29" s="37">
        <v>0</v>
      </c>
      <c r="CN29" s="38">
        <v>4650</v>
      </c>
      <c r="CO29" s="38">
        <v>24650</v>
      </c>
      <c r="CP29" s="41"/>
      <c r="CQ29" s="42">
        <v>24650</v>
      </c>
    </row>
    <row r="30" spans="1:95" customFormat="1" x14ac:dyDescent="0.2">
      <c r="A30" s="209">
        <v>43124</v>
      </c>
      <c r="B30" s="33" t="s">
        <v>72</v>
      </c>
      <c r="C30" s="33" t="s">
        <v>73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1</v>
      </c>
      <c r="L30" s="43">
        <v>0</v>
      </c>
      <c r="M30" s="43">
        <v>0</v>
      </c>
      <c r="N30" s="43">
        <v>0</v>
      </c>
      <c r="O30" s="43">
        <v>0</v>
      </c>
      <c r="P30" s="47" t="s">
        <v>45</v>
      </c>
      <c r="R30" s="37">
        <v>0</v>
      </c>
      <c r="S30" s="37">
        <v>0</v>
      </c>
      <c r="T30" s="37">
        <v>1000000</v>
      </c>
      <c r="U30" s="37">
        <v>0</v>
      </c>
      <c r="V30" s="37">
        <v>1000000</v>
      </c>
      <c r="W30" s="37">
        <v>0</v>
      </c>
      <c r="X30" s="37">
        <v>0</v>
      </c>
      <c r="Y30" s="37">
        <v>0</v>
      </c>
      <c r="Z30" s="37">
        <v>60000</v>
      </c>
      <c r="AA30" s="37">
        <v>0</v>
      </c>
      <c r="AB30" s="37">
        <v>20000</v>
      </c>
      <c r="AC30" s="37">
        <v>0</v>
      </c>
      <c r="AD30" s="37">
        <v>20000</v>
      </c>
      <c r="AE30" s="37">
        <v>0</v>
      </c>
      <c r="AF30" s="37">
        <v>0</v>
      </c>
      <c r="AG30" s="38">
        <v>2100000</v>
      </c>
      <c r="AH30" s="37">
        <v>0</v>
      </c>
      <c r="AI30" s="37">
        <v>1000</v>
      </c>
      <c r="AJ30" s="37">
        <v>0</v>
      </c>
      <c r="AK30" s="37">
        <v>0</v>
      </c>
      <c r="AL30" s="37">
        <v>750</v>
      </c>
      <c r="AM30" s="37">
        <v>0</v>
      </c>
      <c r="AN30" s="37">
        <v>0</v>
      </c>
      <c r="AO30" s="37">
        <v>0</v>
      </c>
      <c r="AP30" s="37">
        <v>300</v>
      </c>
      <c r="AQ30" s="37">
        <v>0</v>
      </c>
      <c r="AR30" s="37">
        <v>0</v>
      </c>
      <c r="AS30" s="38">
        <v>2050</v>
      </c>
      <c r="AT30" s="38">
        <v>2102050</v>
      </c>
      <c r="AU30" s="40"/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0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8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8">
        <v>0</v>
      </c>
      <c r="BX30" s="38">
        <v>0</v>
      </c>
      <c r="BZ30" s="37">
        <v>1000000</v>
      </c>
      <c r="CA30" s="37">
        <v>1000000</v>
      </c>
      <c r="CB30" s="37">
        <v>0</v>
      </c>
      <c r="CC30" s="37">
        <v>60000</v>
      </c>
      <c r="CD30" s="37">
        <v>20000</v>
      </c>
      <c r="CE30" s="37">
        <v>20000</v>
      </c>
      <c r="CF30" s="37">
        <v>0</v>
      </c>
      <c r="CG30" s="38">
        <v>2100000</v>
      </c>
      <c r="CH30" s="37">
        <v>1000</v>
      </c>
      <c r="CI30" s="37">
        <v>750</v>
      </c>
      <c r="CJ30" s="37">
        <v>0</v>
      </c>
      <c r="CK30" s="37">
        <v>300</v>
      </c>
      <c r="CL30" s="37">
        <v>0</v>
      </c>
      <c r="CM30" s="37">
        <v>0</v>
      </c>
      <c r="CN30" s="38">
        <v>2050</v>
      </c>
      <c r="CO30" s="38">
        <v>2102050</v>
      </c>
      <c r="CP30" s="41"/>
      <c r="CQ30" s="42">
        <v>2102050</v>
      </c>
    </row>
    <row r="31" spans="1:95" customFormat="1" x14ac:dyDescent="0.2">
      <c r="A31" s="209">
        <v>43124</v>
      </c>
      <c r="B31" s="33" t="s">
        <v>53</v>
      </c>
      <c r="C31" s="33" t="s">
        <v>54</v>
      </c>
      <c r="D31" s="43">
        <v>1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7" t="s">
        <v>45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8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3125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8">
        <v>3125</v>
      </c>
      <c r="AT31" s="38">
        <v>3125</v>
      </c>
      <c r="AU31" s="40"/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8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37">
        <v>0</v>
      </c>
      <c r="BW31" s="38">
        <v>0</v>
      </c>
      <c r="BX31" s="38">
        <v>0</v>
      </c>
      <c r="BZ31" s="37">
        <v>0</v>
      </c>
      <c r="CA31" s="37">
        <v>0</v>
      </c>
      <c r="CB31" s="37">
        <v>0</v>
      </c>
      <c r="CC31" s="37">
        <v>0</v>
      </c>
      <c r="CD31" s="37">
        <v>0</v>
      </c>
      <c r="CE31" s="37">
        <v>0</v>
      </c>
      <c r="CF31" s="37">
        <v>0</v>
      </c>
      <c r="CG31" s="38">
        <v>0</v>
      </c>
      <c r="CH31" s="37">
        <v>0</v>
      </c>
      <c r="CI31" s="37">
        <v>3125</v>
      </c>
      <c r="CJ31" s="37">
        <v>0</v>
      </c>
      <c r="CK31" s="37">
        <v>0</v>
      </c>
      <c r="CL31" s="37">
        <v>0</v>
      </c>
      <c r="CM31" s="37">
        <v>0</v>
      </c>
      <c r="CN31" s="38">
        <v>3125</v>
      </c>
      <c r="CO31" s="38">
        <v>3125</v>
      </c>
      <c r="CP31" s="41"/>
      <c r="CQ31" s="42">
        <v>3125</v>
      </c>
    </row>
    <row r="32" spans="1:95" customFormat="1" x14ac:dyDescent="0.2">
      <c r="A32" s="209">
        <v>43125</v>
      </c>
      <c r="B32" s="33" t="s">
        <v>66</v>
      </c>
      <c r="C32" s="33" t="s">
        <v>65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1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7" t="s">
        <v>45</v>
      </c>
      <c r="R32" s="37">
        <v>0</v>
      </c>
      <c r="S32" s="37">
        <v>0</v>
      </c>
      <c r="T32" s="37">
        <v>1000000</v>
      </c>
      <c r="U32" s="37">
        <v>0</v>
      </c>
      <c r="V32" s="37">
        <v>2000000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50000</v>
      </c>
      <c r="AC32" s="37">
        <v>0</v>
      </c>
      <c r="AD32" s="37">
        <v>30000</v>
      </c>
      <c r="AE32" s="37">
        <v>0</v>
      </c>
      <c r="AF32" s="37">
        <v>2000</v>
      </c>
      <c r="AG32" s="38">
        <v>3082000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8">
        <v>0</v>
      </c>
      <c r="AT32" s="38">
        <v>3082000</v>
      </c>
      <c r="AU32" s="40"/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8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37">
        <v>0</v>
      </c>
      <c r="BW32" s="38">
        <v>0</v>
      </c>
      <c r="BX32" s="38">
        <v>0</v>
      </c>
      <c r="BZ32" s="37">
        <v>1000000</v>
      </c>
      <c r="CA32" s="37">
        <v>2000000</v>
      </c>
      <c r="CB32" s="37">
        <v>0</v>
      </c>
      <c r="CC32" s="37">
        <v>0</v>
      </c>
      <c r="CD32" s="37">
        <v>50000</v>
      </c>
      <c r="CE32" s="37">
        <v>30000</v>
      </c>
      <c r="CF32" s="37">
        <v>2000</v>
      </c>
      <c r="CG32" s="38">
        <v>3082000</v>
      </c>
      <c r="CH32" s="37">
        <v>0</v>
      </c>
      <c r="CI32" s="37">
        <v>0</v>
      </c>
      <c r="CJ32" s="37">
        <v>0</v>
      </c>
      <c r="CK32" s="37">
        <v>0</v>
      </c>
      <c r="CL32" s="37">
        <v>0</v>
      </c>
      <c r="CM32" s="37">
        <v>0</v>
      </c>
      <c r="CN32" s="38">
        <v>0</v>
      </c>
      <c r="CO32" s="38">
        <v>3082000</v>
      </c>
      <c r="CP32" s="41"/>
      <c r="CQ32" s="42">
        <v>3082000</v>
      </c>
    </row>
    <row r="33" spans="1:95" customFormat="1" x14ac:dyDescent="0.2">
      <c r="A33" s="209">
        <v>43129</v>
      </c>
      <c r="B33" s="33" t="s">
        <v>55</v>
      </c>
      <c r="C33" s="33" t="s">
        <v>56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7">
        <v>0</v>
      </c>
      <c r="R33" s="37">
        <v>0</v>
      </c>
      <c r="S33" s="37">
        <v>0</v>
      </c>
      <c r="T33" s="37">
        <v>4000</v>
      </c>
      <c r="U33" s="37">
        <v>0</v>
      </c>
      <c r="V33" s="37">
        <v>2000</v>
      </c>
      <c r="W33" s="37">
        <v>0</v>
      </c>
      <c r="X33" s="37">
        <v>0</v>
      </c>
      <c r="Y33" s="37">
        <v>0</v>
      </c>
      <c r="Z33" s="37">
        <v>400</v>
      </c>
      <c r="AA33" s="37">
        <v>0</v>
      </c>
      <c r="AB33" s="37">
        <v>200</v>
      </c>
      <c r="AC33" s="37">
        <v>0</v>
      </c>
      <c r="AD33" s="37">
        <v>80</v>
      </c>
      <c r="AE33" s="37">
        <v>0</v>
      </c>
      <c r="AF33" s="37">
        <v>40</v>
      </c>
      <c r="AG33" s="38">
        <v>6720</v>
      </c>
      <c r="AH33" s="37">
        <v>0</v>
      </c>
      <c r="AI33" s="37">
        <v>10</v>
      </c>
      <c r="AJ33" s="37">
        <v>0</v>
      </c>
      <c r="AK33" s="37">
        <v>0</v>
      </c>
      <c r="AL33" s="39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8">
        <v>10</v>
      </c>
      <c r="AT33" s="38">
        <v>6730</v>
      </c>
      <c r="AU33" s="40"/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8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8">
        <v>0</v>
      </c>
      <c r="BX33" s="38">
        <v>0</v>
      </c>
      <c r="BZ33" s="37">
        <v>4000</v>
      </c>
      <c r="CA33" s="37">
        <v>2000</v>
      </c>
      <c r="CB33" s="37">
        <v>0</v>
      </c>
      <c r="CC33" s="37">
        <v>400</v>
      </c>
      <c r="CD33" s="37">
        <v>200</v>
      </c>
      <c r="CE33" s="37">
        <v>80</v>
      </c>
      <c r="CF33" s="37">
        <v>40</v>
      </c>
      <c r="CG33" s="38">
        <v>6720</v>
      </c>
      <c r="CH33" s="37">
        <v>10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8">
        <v>10</v>
      </c>
      <c r="CO33" s="38">
        <v>6730</v>
      </c>
      <c r="CP33" s="41"/>
      <c r="CQ33" s="42">
        <v>6730</v>
      </c>
    </row>
    <row r="34" spans="1:95" customFormat="1" x14ac:dyDescent="0.2">
      <c r="A34" s="209">
        <v>43129</v>
      </c>
      <c r="B34" s="33" t="s">
        <v>53</v>
      </c>
      <c r="C34" s="33" t="s">
        <v>57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7" t="s">
        <v>45</v>
      </c>
      <c r="R34" s="37">
        <v>0</v>
      </c>
      <c r="S34" s="37">
        <v>0</v>
      </c>
      <c r="T34" s="37">
        <v>8000</v>
      </c>
      <c r="U34" s="37">
        <v>0</v>
      </c>
      <c r="V34" s="37">
        <v>4000</v>
      </c>
      <c r="W34" s="37">
        <v>0</v>
      </c>
      <c r="X34" s="37">
        <v>0</v>
      </c>
      <c r="Y34" s="37">
        <v>0</v>
      </c>
      <c r="Z34" s="37">
        <v>400</v>
      </c>
      <c r="AA34" s="37">
        <v>0</v>
      </c>
      <c r="AB34" s="37">
        <v>400</v>
      </c>
      <c r="AC34" s="37">
        <v>0</v>
      </c>
      <c r="AD34" s="37">
        <v>160</v>
      </c>
      <c r="AE34" s="37">
        <v>0</v>
      </c>
      <c r="AF34" s="37">
        <v>80</v>
      </c>
      <c r="AG34" s="38">
        <v>13040</v>
      </c>
      <c r="AH34" s="37">
        <v>0</v>
      </c>
      <c r="AI34" s="37">
        <v>20</v>
      </c>
      <c r="AJ34" s="37">
        <v>0</v>
      </c>
      <c r="AK34" s="37">
        <v>0</v>
      </c>
      <c r="AL34" s="39">
        <v>10</v>
      </c>
      <c r="AM34" s="37">
        <v>0</v>
      </c>
      <c r="AN34" s="37">
        <v>0</v>
      </c>
      <c r="AO34" s="37">
        <v>0</v>
      </c>
      <c r="AP34" s="37">
        <v>2</v>
      </c>
      <c r="AQ34" s="37">
        <v>0</v>
      </c>
      <c r="AR34" s="37">
        <v>0</v>
      </c>
      <c r="AS34" s="38">
        <v>32</v>
      </c>
      <c r="AT34" s="38">
        <v>13072</v>
      </c>
      <c r="AU34" s="45"/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8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0</v>
      </c>
      <c r="BW34" s="38">
        <v>0</v>
      </c>
      <c r="BX34" s="38">
        <v>0</v>
      </c>
      <c r="BZ34" s="37">
        <v>8000</v>
      </c>
      <c r="CA34" s="37">
        <v>4000</v>
      </c>
      <c r="CB34" s="37">
        <v>0</v>
      </c>
      <c r="CC34" s="37">
        <v>400</v>
      </c>
      <c r="CD34" s="37">
        <v>400</v>
      </c>
      <c r="CE34" s="37">
        <v>160</v>
      </c>
      <c r="CF34" s="37">
        <v>80</v>
      </c>
      <c r="CG34" s="38">
        <v>13040</v>
      </c>
      <c r="CH34" s="37">
        <v>20</v>
      </c>
      <c r="CI34" s="37">
        <v>10</v>
      </c>
      <c r="CJ34" s="37">
        <v>0</v>
      </c>
      <c r="CK34" s="37">
        <v>2</v>
      </c>
      <c r="CL34" s="37">
        <v>0</v>
      </c>
      <c r="CM34" s="37">
        <v>0</v>
      </c>
      <c r="CN34" s="38">
        <v>32</v>
      </c>
      <c r="CO34" s="38">
        <v>13072</v>
      </c>
      <c r="CP34" s="41"/>
      <c r="CQ34" s="42">
        <v>13072</v>
      </c>
    </row>
    <row r="35" spans="1:95" customFormat="1" x14ac:dyDescent="0.2">
      <c r="A35" s="209">
        <v>43130</v>
      </c>
      <c r="B35" s="33" t="s">
        <v>53</v>
      </c>
      <c r="C35" s="33" t="s">
        <v>54</v>
      </c>
      <c r="D35" s="43">
        <v>1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7" t="s">
        <v>45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48">
        <v>0</v>
      </c>
      <c r="X35" s="37">
        <v>0</v>
      </c>
      <c r="Y35" s="37">
        <v>0</v>
      </c>
      <c r="Z35" s="37">
        <v>0</v>
      </c>
      <c r="AA35" s="48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8">
        <v>0</v>
      </c>
      <c r="AH35" s="37">
        <v>0</v>
      </c>
      <c r="AI35" s="37">
        <v>6250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0</v>
      </c>
      <c r="AP35" s="37">
        <v>0</v>
      </c>
      <c r="AQ35" s="37">
        <v>0</v>
      </c>
      <c r="AR35" s="37">
        <v>0</v>
      </c>
      <c r="AS35" s="38">
        <v>6250</v>
      </c>
      <c r="AT35" s="38">
        <v>6250</v>
      </c>
      <c r="AU35" s="40"/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8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37">
        <v>0</v>
      </c>
      <c r="BW35" s="38">
        <v>0</v>
      </c>
      <c r="BX35" s="38">
        <v>0</v>
      </c>
      <c r="BZ35" s="37">
        <v>0</v>
      </c>
      <c r="CA35" s="37">
        <v>0</v>
      </c>
      <c r="CB35" s="37">
        <v>0</v>
      </c>
      <c r="CC35" s="37">
        <v>0</v>
      </c>
      <c r="CD35" s="37">
        <v>0</v>
      </c>
      <c r="CE35" s="37">
        <v>0</v>
      </c>
      <c r="CF35" s="37">
        <v>0</v>
      </c>
      <c r="CG35" s="38">
        <v>0</v>
      </c>
      <c r="CH35" s="37">
        <v>6250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8">
        <v>6250</v>
      </c>
      <c r="CO35" s="38">
        <v>6250</v>
      </c>
      <c r="CP35" s="41"/>
      <c r="CQ35" s="42">
        <v>6250</v>
      </c>
    </row>
    <row r="36" spans="1:95" customFormat="1" x14ac:dyDescent="0.2">
      <c r="A36" s="209">
        <v>43130</v>
      </c>
      <c r="B36" s="33" t="s">
        <v>53</v>
      </c>
      <c r="C36" s="33" t="s">
        <v>54</v>
      </c>
      <c r="D36" s="43">
        <v>1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7" t="s">
        <v>45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8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1875</v>
      </c>
      <c r="AM36" s="37">
        <v>0</v>
      </c>
      <c r="AN36" s="37">
        <v>0</v>
      </c>
      <c r="AO36" s="37">
        <v>0</v>
      </c>
      <c r="AP36" s="37">
        <v>500</v>
      </c>
      <c r="AQ36" s="37">
        <v>0</v>
      </c>
      <c r="AR36" s="55">
        <v>0</v>
      </c>
      <c r="AS36" s="38">
        <v>2375</v>
      </c>
      <c r="AT36" s="38">
        <v>2375</v>
      </c>
      <c r="AU36" s="40"/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8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8">
        <v>0</v>
      </c>
      <c r="BX36" s="38">
        <v>0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8">
        <v>0</v>
      </c>
      <c r="CH36" s="37">
        <v>0</v>
      </c>
      <c r="CI36" s="37">
        <v>1875</v>
      </c>
      <c r="CJ36" s="37">
        <v>0</v>
      </c>
      <c r="CK36" s="37">
        <v>500</v>
      </c>
      <c r="CL36" s="37">
        <v>0</v>
      </c>
      <c r="CM36" s="37">
        <v>0</v>
      </c>
      <c r="CN36" s="38">
        <v>2375</v>
      </c>
      <c r="CO36" s="38">
        <v>2375</v>
      </c>
      <c r="CP36" s="41"/>
      <c r="CQ36" s="42">
        <v>2375</v>
      </c>
    </row>
    <row r="37" spans="1:95" customFormat="1" ht="14.25" customHeight="1" x14ac:dyDescent="0.2">
      <c r="A37" s="209">
        <v>43132</v>
      </c>
      <c r="B37" s="33" t="s">
        <v>53</v>
      </c>
      <c r="C37" s="33" t="s">
        <v>54</v>
      </c>
      <c r="D37" s="43">
        <v>1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7" t="s">
        <v>45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100000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8">
        <v>100000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Q37" s="37">
        <v>0</v>
      </c>
      <c r="AR37" s="37">
        <v>0</v>
      </c>
      <c r="AS37" s="38">
        <v>0</v>
      </c>
      <c r="AT37" s="38">
        <v>100000</v>
      </c>
      <c r="AU37" s="40"/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8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37">
        <v>0</v>
      </c>
      <c r="BW37" s="38">
        <v>0</v>
      </c>
      <c r="BX37" s="38">
        <v>0</v>
      </c>
      <c r="BZ37" s="37">
        <v>0</v>
      </c>
      <c r="CA37" s="37">
        <v>0</v>
      </c>
      <c r="CB37" s="37">
        <v>0</v>
      </c>
      <c r="CC37" s="37">
        <v>100000</v>
      </c>
      <c r="CD37" s="37">
        <v>0</v>
      </c>
      <c r="CE37" s="37">
        <v>0</v>
      </c>
      <c r="CF37" s="37">
        <v>0</v>
      </c>
      <c r="CG37" s="38">
        <v>100000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8">
        <v>0</v>
      </c>
      <c r="CO37" s="38">
        <v>100000</v>
      </c>
      <c r="CP37" s="41"/>
      <c r="CQ37" s="42">
        <v>100000</v>
      </c>
    </row>
    <row r="38" spans="1:95" customFormat="1" x14ac:dyDescent="0.2">
      <c r="A38" s="209">
        <v>43133</v>
      </c>
      <c r="B38" s="33" t="s">
        <v>74</v>
      </c>
      <c r="C38" s="33" t="s">
        <v>71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1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7" t="s">
        <v>45</v>
      </c>
      <c r="R38" s="37">
        <v>0</v>
      </c>
      <c r="S38" s="37">
        <v>0</v>
      </c>
      <c r="T38" s="37">
        <v>400000</v>
      </c>
      <c r="U38" s="37">
        <v>0</v>
      </c>
      <c r="V38" s="37">
        <v>500000</v>
      </c>
      <c r="W38" s="37">
        <v>0</v>
      </c>
      <c r="X38" s="37">
        <v>80000</v>
      </c>
      <c r="Y38" s="37">
        <v>0</v>
      </c>
      <c r="Z38" s="37">
        <v>30000</v>
      </c>
      <c r="AA38" s="37">
        <v>0</v>
      </c>
      <c r="AB38" s="37">
        <v>20000</v>
      </c>
      <c r="AC38" s="37">
        <v>0</v>
      </c>
      <c r="AD38" s="37">
        <v>14000</v>
      </c>
      <c r="AE38" s="37">
        <v>0</v>
      </c>
      <c r="AF38" s="37">
        <v>0</v>
      </c>
      <c r="AG38" s="38">
        <v>1044000</v>
      </c>
      <c r="AH38" s="37">
        <v>0</v>
      </c>
      <c r="AI38" s="37">
        <v>1500</v>
      </c>
      <c r="AJ38" s="37">
        <v>0</v>
      </c>
      <c r="AK38" s="37">
        <v>0</v>
      </c>
      <c r="AL38" s="37">
        <v>875</v>
      </c>
      <c r="AM38" s="37">
        <v>0</v>
      </c>
      <c r="AN38" s="37">
        <v>600</v>
      </c>
      <c r="AO38" s="37">
        <v>0</v>
      </c>
      <c r="AP38" s="37">
        <v>200</v>
      </c>
      <c r="AQ38" s="37">
        <v>0</v>
      </c>
      <c r="AR38" s="37">
        <v>0</v>
      </c>
      <c r="AS38" s="38">
        <v>3175</v>
      </c>
      <c r="AT38" s="38">
        <v>1047175</v>
      </c>
      <c r="AU38" s="40"/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8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0</v>
      </c>
      <c r="BQ38" s="37">
        <v>0</v>
      </c>
      <c r="BR38" s="37">
        <v>0</v>
      </c>
      <c r="BS38" s="37">
        <v>0</v>
      </c>
      <c r="BT38" s="37">
        <v>0</v>
      </c>
      <c r="BU38" s="37">
        <v>0</v>
      </c>
      <c r="BV38" s="37">
        <v>0</v>
      </c>
      <c r="BW38" s="38">
        <v>0</v>
      </c>
      <c r="BX38" s="38">
        <v>0</v>
      </c>
      <c r="BZ38" s="37">
        <v>400000</v>
      </c>
      <c r="CA38" s="37">
        <v>500000</v>
      </c>
      <c r="CB38" s="37">
        <v>80000</v>
      </c>
      <c r="CC38" s="37">
        <v>30000</v>
      </c>
      <c r="CD38" s="37">
        <v>20000</v>
      </c>
      <c r="CE38" s="37">
        <v>14000</v>
      </c>
      <c r="CF38" s="37">
        <v>0</v>
      </c>
      <c r="CG38" s="38">
        <v>1044000</v>
      </c>
      <c r="CH38" s="37">
        <v>1500</v>
      </c>
      <c r="CI38" s="37">
        <v>875</v>
      </c>
      <c r="CJ38" s="37">
        <v>600</v>
      </c>
      <c r="CK38" s="37">
        <v>200</v>
      </c>
      <c r="CL38" s="37">
        <v>0</v>
      </c>
      <c r="CM38" s="37">
        <v>0</v>
      </c>
      <c r="CN38" s="38">
        <v>3175</v>
      </c>
      <c r="CO38" s="38">
        <v>1047175</v>
      </c>
      <c r="CP38" s="41"/>
      <c r="CQ38" s="42">
        <v>1047175</v>
      </c>
    </row>
    <row r="39" spans="1:95" customFormat="1" x14ac:dyDescent="0.2">
      <c r="A39" s="209">
        <v>43133</v>
      </c>
      <c r="B39" s="33" t="s">
        <v>75</v>
      </c>
      <c r="C39" s="33" t="s">
        <v>76</v>
      </c>
      <c r="D39" s="43">
        <v>0</v>
      </c>
      <c r="E39" s="43">
        <v>0</v>
      </c>
      <c r="F39" s="43">
        <v>1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7" t="s">
        <v>67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40000</v>
      </c>
      <c r="Y39" s="37">
        <v>0</v>
      </c>
      <c r="Z39" s="37">
        <v>20000</v>
      </c>
      <c r="AA39" s="37">
        <v>0</v>
      </c>
      <c r="AB39" s="37">
        <v>10000</v>
      </c>
      <c r="AC39" s="37">
        <v>0</v>
      </c>
      <c r="AD39" s="37">
        <v>8000</v>
      </c>
      <c r="AE39" s="37">
        <v>0</v>
      </c>
      <c r="AF39" s="37">
        <v>0</v>
      </c>
      <c r="AG39" s="38">
        <v>78000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100</v>
      </c>
      <c r="AQ39" s="37">
        <v>0</v>
      </c>
      <c r="AR39" s="37">
        <v>0</v>
      </c>
      <c r="AS39" s="38">
        <v>100</v>
      </c>
      <c r="AT39" s="38">
        <v>78100</v>
      </c>
      <c r="AU39" s="40"/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8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8">
        <v>0</v>
      </c>
      <c r="BX39" s="38">
        <v>0</v>
      </c>
      <c r="BZ39" s="37">
        <v>0</v>
      </c>
      <c r="CA39" s="37">
        <v>0</v>
      </c>
      <c r="CB39" s="37">
        <v>40000</v>
      </c>
      <c r="CC39" s="37">
        <v>20000</v>
      </c>
      <c r="CD39" s="37">
        <v>10000</v>
      </c>
      <c r="CE39" s="37">
        <v>8000</v>
      </c>
      <c r="CF39" s="37">
        <v>0</v>
      </c>
      <c r="CG39" s="38">
        <v>78000</v>
      </c>
      <c r="CH39" s="37">
        <v>0</v>
      </c>
      <c r="CI39" s="37">
        <v>0</v>
      </c>
      <c r="CJ39" s="37">
        <v>0</v>
      </c>
      <c r="CK39" s="37">
        <v>100</v>
      </c>
      <c r="CL39" s="37">
        <v>0</v>
      </c>
      <c r="CM39" s="37">
        <v>0</v>
      </c>
      <c r="CN39" s="38">
        <v>100</v>
      </c>
      <c r="CO39" s="38">
        <v>78100</v>
      </c>
      <c r="CP39" s="41"/>
      <c r="CQ39" s="42">
        <v>78100</v>
      </c>
    </row>
    <row r="40" spans="1:95" customFormat="1" x14ac:dyDescent="0.2">
      <c r="A40" s="209">
        <v>43136</v>
      </c>
      <c r="B40" s="33" t="s">
        <v>55</v>
      </c>
      <c r="C40" s="33" t="s">
        <v>56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7">
        <v>0</v>
      </c>
      <c r="R40" s="37">
        <v>0</v>
      </c>
      <c r="S40" s="37">
        <v>0</v>
      </c>
      <c r="T40" s="37">
        <v>4000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400</v>
      </c>
      <c r="AA40" s="37">
        <v>0</v>
      </c>
      <c r="AB40" s="37">
        <v>200</v>
      </c>
      <c r="AC40" s="37">
        <v>0</v>
      </c>
      <c r="AD40" s="37">
        <v>80</v>
      </c>
      <c r="AE40" s="37">
        <v>0</v>
      </c>
      <c r="AF40" s="37">
        <v>40</v>
      </c>
      <c r="AG40" s="38">
        <v>4720</v>
      </c>
      <c r="AH40" s="37">
        <v>0</v>
      </c>
      <c r="AI40" s="37">
        <v>10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8">
        <v>10</v>
      </c>
      <c r="AT40" s="38">
        <v>4730</v>
      </c>
      <c r="AU40" s="40"/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8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8">
        <v>0</v>
      </c>
      <c r="BX40" s="38">
        <v>0</v>
      </c>
      <c r="BZ40" s="37">
        <v>4000</v>
      </c>
      <c r="CA40" s="37">
        <v>0</v>
      </c>
      <c r="CB40" s="37">
        <v>0</v>
      </c>
      <c r="CC40" s="37">
        <v>400</v>
      </c>
      <c r="CD40" s="37">
        <v>200</v>
      </c>
      <c r="CE40" s="37">
        <v>80</v>
      </c>
      <c r="CF40" s="37">
        <v>40</v>
      </c>
      <c r="CG40" s="38">
        <v>4720</v>
      </c>
      <c r="CH40" s="37">
        <v>10</v>
      </c>
      <c r="CI40" s="37">
        <v>0</v>
      </c>
      <c r="CJ40" s="37">
        <v>0</v>
      </c>
      <c r="CK40" s="37">
        <v>0</v>
      </c>
      <c r="CL40" s="37">
        <v>0</v>
      </c>
      <c r="CM40" s="37">
        <v>0</v>
      </c>
      <c r="CN40" s="38">
        <v>10</v>
      </c>
      <c r="CO40" s="38">
        <v>4730</v>
      </c>
      <c r="CP40" s="41"/>
      <c r="CQ40" s="56">
        <v>4730</v>
      </c>
    </row>
    <row r="41" spans="1:95" customFormat="1" x14ac:dyDescent="0.2">
      <c r="A41" s="209">
        <v>43136</v>
      </c>
      <c r="B41" s="33" t="s">
        <v>77</v>
      </c>
      <c r="C41" s="33" t="s">
        <v>78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1</v>
      </c>
      <c r="L41" s="43">
        <v>0</v>
      </c>
      <c r="M41" s="43">
        <v>0</v>
      </c>
      <c r="N41" s="43">
        <v>0</v>
      </c>
      <c r="O41" s="43">
        <v>0</v>
      </c>
      <c r="P41" s="47" t="s">
        <v>45</v>
      </c>
      <c r="R41" s="37">
        <v>0</v>
      </c>
      <c r="S41" s="37">
        <v>0</v>
      </c>
      <c r="T41" s="37">
        <v>1000000</v>
      </c>
      <c r="U41" s="37">
        <v>0</v>
      </c>
      <c r="V41" s="37">
        <v>800000</v>
      </c>
      <c r="W41" s="37">
        <v>0</v>
      </c>
      <c r="X41" s="37">
        <v>0</v>
      </c>
      <c r="Y41" s="37">
        <v>0</v>
      </c>
      <c r="Z41" s="37">
        <v>100000</v>
      </c>
      <c r="AA41" s="37">
        <v>0</v>
      </c>
      <c r="AB41" s="37">
        <v>60000</v>
      </c>
      <c r="AC41" s="37">
        <v>0</v>
      </c>
      <c r="AD41" s="37">
        <v>0</v>
      </c>
      <c r="AE41" s="37">
        <v>0</v>
      </c>
      <c r="AF41" s="37">
        <v>0</v>
      </c>
      <c r="AG41" s="38">
        <v>1960000</v>
      </c>
      <c r="AH41" s="37">
        <v>0</v>
      </c>
      <c r="AI41" s="37">
        <v>1000</v>
      </c>
      <c r="AJ41" s="37">
        <v>0</v>
      </c>
      <c r="AK41" s="37">
        <v>0</v>
      </c>
      <c r="AL41" s="37">
        <v>750</v>
      </c>
      <c r="AM41" s="37">
        <v>0</v>
      </c>
      <c r="AN41" s="37">
        <v>400</v>
      </c>
      <c r="AO41" s="37">
        <v>0</v>
      </c>
      <c r="AP41" s="37">
        <v>200</v>
      </c>
      <c r="AQ41" s="37">
        <v>0</v>
      </c>
      <c r="AR41" s="37">
        <v>0</v>
      </c>
      <c r="AS41" s="38">
        <v>2350</v>
      </c>
      <c r="AT41" s="38">
        <v>1962350</v>
      </c>
      <c r="AU41" s="40"/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8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8">
        <v>0</v>
      </c>
      <c r="BX41" s="38">
        <v>0</v>
      </c>
      <c r="BZ41" s="37">
        <v>1000000</v>
      </c>
      <c r="CA41" s="37">
        <v>800000</v>
      </c>
      <c r="CB41" s="37">
        <v>0</v>
      </c>
      <c r="CC41" s="37">
        <v>100000</v>
      </c>
      <c r="CD41" s="37">
        <v>60000</v>
      </c>
      <c r="CE41" s="37">
        <v>0</v>
      </c>
      <c r="CF41" s="37">
        <v>0</v>
      </c>
      <c r="CG41" s="38">
        <v>1960000</v>
      </c>
      <c r="CH41" s="37">
        <v>1000</v>
      </c>
      <c r="CI41" s="37">
        <v>750</v>
      </c>
      <c r="CJ41" s="37">
        <v>400</v>
      </c>
      <c r="CK41" s="37">
        <v>200</v>
      </c>
      <c r="CL41" s="37">
        <v>0</v>
      </c>
      <c r="CM41" s="37">
        <v>0</v>
      </c>
      <c r="CN41" s="38">
        <v>2350</v>
      </c>
      <c r="CO41" s="38">
        <v>1962350</v>
      </c>
      <c r="CP41" s="41"/>
      <c r="CQ41" s="42">
        <v>1962350</v>
      </c>
    </row>
    <row r="42" spans="1:95" customFormat="1" x14ac:dyDescent="0.2">
      <c r="A42" s="209">
        <v>43137</v>
      </c>
      <c r="B42" s="33" t="s">
        <v>79</v>
      </c>
      <c r="C42" s="33" t="s">
        <v>76</v>
      </c>
      <c r="D42" s="43">
        <v>0</v>
      </c>
      <c r="E42" s="43">
        <v>1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7" t="s">
        <v>45</v>
      </c>
      <c r="R42" s="37">
        <v>0</v>
      </c>
      <c r="S42" s="37">
        <v>0</v>
      </c>
      <c r="T42" s="37">
        <v>400000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20000</v>
      </c>
      <c r="AA42" s="37">
        <v>0</v>
      </c>
      <c r="AB42" s="37">
        <v>10000</v>
      </c>
      <c r="AC42" s="37">
        <v>0</v>
      </c>
      <c r="AD42" s="37">
        <v>8000</v>
      </c>
      <c r="AE42" s="37">
        <v>0</v>
      </c>
      <c r="AF42" s="37">
        <v>0</v>
      </c>
      <c r="AG42" s="38">
        <v>438000</v>
      </c>
      <c r="AH42" s="37">
        <v>0</v>
      </c>
      <c r="AI42" s="37">
        <v>500</v>
      </c>
      <c r="AJ42" s="37">
        <v>0</v>
      </c>
      <c r="AK42" s="37">
        <v>0</v>
      </c>
      <c r="AL42" s="37">
        <v>250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8">
        <v>750</v>
      </c>
      <c r="AT42" s="38">
        <v>438750</v>
      </c>
      <c r="AU42" s="40"/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8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8">
        <v>0</v>
      </c>
      <c r="BX42" s="38">
        <v>0</v>
      </c>
      <c r="BZ42" s="37">
        <v>400000</v>
      </c>
      <c r="CA42" s="37">
        <v>0</v>
      </c>
      <c r="CB42" s="37">
        <v>0</v>
      </c>
      <c r="CC42" s="37">
        <v>20000</v>
      </c>
      <c r="CD42" s="37">
        <v>10000</v>
      </c>
      <c r="CE42" s="37">
        <v>8000</v>
      </c>
      <c r="CF42" s="37">
        <v>0</v>
      </c>
      <c r="CG42" s="38">
        <v>438000</v>
      </c>
      <c r="CH42" s="37">
        <v>500</v>
      </c>
      <c r="CI42" s="37">
        <v>250</v>
      </c>
      <c r="CJ42" s="37">
        <v>0</v>
      </c>
      <c r="CK42" s="37">
        <v>0</v>
      </c>
      <c r="CL42" s="37">
        <v>0</v>
      </c>
      <c r="CM42" s="37">
        <v>0</v>
      </c>
      <c r="CN42" s="38">
        <v>750</v>
      </c>
      <c r="CO42" s="38">
        <v>438750</v>
      </c>
      <c r="CP42" s="41"/>
      <c r="CQ42" s="42">
        <v>438750</v>
      </c>
    </row>
    <row r="43" spans="1:95" customFormat="1" x14ac:dyDescent="0.2">
      <c r="A43" s="209">
        <v>43138</v>
      </c>
      <c r="B43" s="33" t="s">
        <v>72</v>
      </c>
      <c r="C43" s="33" t="s">
        <v>80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1</v>
      </c>
      <c r="L43" s="43">
        <v>0</v>
      </c>
      <c r="M43" s="43">
        <v>0</v>
      </c>
      <c r="N43" s="43">
        <v>0</v>
      </c>
      <c r="O43" s="43">
        <v>0</v>
      </c>
      <c r="P43" s="47" t="s">
        <v>45</v>
      </c>
      <c r="R43" s="37">
        <v>0</v>
      </c>
      <c r="S43" s="37">
        <v>0</v>
      </c>
      <c r="T43" s="37">
        <v>600000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8000</v>
      </c>
      <c r="AE43" s="37">
        <v>0</v>
      </c>
      <c r="AF43" s="37">
        <v>5000</v>
      </c>
      <c r="AG43" s="38">
        <v>613000</v>
      </c>
      <c r="AH43" s="37">
        <v>0</v>
      </c>
      <c r="AI43" s="37">
        <v>2500</v>
      </c>
      <c r="AJ43" s="37">
        <v>0</v>
      </c>
      <c r="AK43" s="37">
        <v>0</v>
      </c>
      <c r="AL43" s="37">
        <v>1750</v>
      </c>
      <c r="AM43" s="37">
        <v>1000</v>
      </c>
      <c r="AN43" s="37">
        <v>0</v>
      </c>
      <c r="AO43" s="37">
        <v>0</v>
      </c>
      <c r="AP43" s="37">
        <v>300</v>
      </c>
      <c r="AQ43" s="37">
        <v>0</v>
      </c>
      <c r="AR43" s="37">
        <v>0</v>
      </c>
      <c r="AS43" s="38">
        <v>5550</v>
      </c>
      <c r="AT43" s="38">
        <v>618550</v>
      </c>
      <c r="AU43" s="40"/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8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8">
        <v>0</v>
      </c>
      <c r="BX43" s="38">
        <v>0</v>
      </c>
      <c r="BZ43" s="37">
        <v>600000</v>
      </c>
      <c r="CA43" s="37">
        <v>0</v>
      </c>
      <c r="CB43" s="37">
        <v>0</v>
      </c>
      <c r="CC43" s="37">
        <v>0</v>
      </c>
      <c r="CD43" s="37">
        <v>0</v>
      </c>
      <c r="CE43" s="37">
        <v>8000</v>
      </c>
      <c r="CF43" s="37">
        <v>5000</v>
      </c>
      <c r="CG43" s="38">
        <v>613000</v>
      </c>
      <c r="CH43" s="37">
        <v>2500</v>
      </c>
      <c r="CI43" s="37">
        <v>1750</v>
      </c>
      <c r="CJ43" s="37">
        <v>1000</v>
      </c>
      <c r="CK43" s="37">
        <v>300</v>
      </c>
      <c r="CL43" s="37">
        <v>0</v>
      </c>
      <c r="CM43" s="37">
        <v>0</v>
      </c>
      <c r="CN43" s="38">
        <v>5550</v>
      </c>
      <c r="CO43" s="38">
        <v>618550</v>
      </c>
      <c r="CP43" s="41"/>
      <c r="CQ43" s="42">
        <v>618550</v>
      </c>
    </row>
    <row r="44" spans="1:95" customFormat="1" x14ac:dyDescent="0.2">
      <c r="A44" s="209">
        <v>43139</v>
      </c>
      <c r="B44" s="33" t="s">
        <v>70</v>
      </c>
      <c r="C44" s="33" t="s">
        <v>63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1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7" t="s">
        <v>45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80000</v>
      </c>
      <c r="AA44" s="37">
        <v>0</v>
      </c>
      <c r="AB44" s="37">
        <v>15000</v>
      </c>
      <c r="AC44" s="37">
        <v>0</v>
      </c>
      <c r="AD44" s="37">
        <v>0</v>
      </c>
      <c r="AE44" s="37">
        <v>0</v>
      </c>
      <c r="AF44" s="37">
        <v>0</v>
      </c>
      <c r="AG44" s="38">
        <v>95000</v>
      </c>
      <c r="AH44" s="37">
        <v>0</v>
      </c>
      <c r="AI44" s="37">
        <v>3500</v>
      </c>
      <c r="AJ44" s="37">
        <v>0</v>
      </c>
      <c r="AK44" s="37">
        <v>0</v>
      </c>
      <c r="AL44" s="37">
        <v>1750</v>
      </c>
      <c r="AM44" s="37">
        <v>1300</v>
      </c>
      <c r="AN44" s="37">
        <v>0</v>
      </c>
      <c r="AO44" s="37">
        <v>0</v>
      </c>
      <c r="AP44" s="37">
        <v>700</v>
      </c>
      <c r="AQ44" s="37">
        <v>0</v>
      </c>
      <c r="AR44" s="37">
        <v>0</v>
      </c>
      <c r="AS44" s="38">
        <v>7250</v>
      </c>
      <c r="AT44" s="38">
        <v>102250</v>
      </c>
      <c r="AU44" s="40"/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8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8">
        <v>0</v>
      </c>
      <c r="BX44" s="38">
        <v>0</v>
      </c>
      <c r="BZ44" s="37">
        <v>0</v>
      </c>
      <c r="CA44" s="37">
        <v>0</v>
      </c>
      <c r="CB44" s="37">
        <v>0</v>
      </c>
      <c r="CC44" s="37">
        <v>80000</v>
      </c>
      <c r="CD44" s="37">
        <v>15000</v>
      </c>
      <c r="CE44" s="37">
        <v>0</v>
      </c>
      <c r="CF44" s="37">
        <v>0</v>
      </c>
      <c r="CG44" s="38">
        <v>95000</v>
      </c>
      <c r="CH44" s="37">
        <v>3500</v>
      </c>
      <c r="CI44" s="37">
        <v>1750</v>
      </c>
      <c r="CJ44" s="37">
        <v>1300</v>
      </c>
      <c r="CK44" s="37">
        <v>700</v>
      </c>
      <c r="CL44" s="37">
        <v>0</v>
      </c>
      <c r="CM44" s="37">
        <v>0</v>
      </c>
      <c r="CN44" s="38">
        <v>7250</v>
      </c>
      <c r="CO44" s="38">
        <v>102250</v>
      </c>
      <c r="CP44" s="41"/>
      <c r="CQ44" s="42">
        <v>102250</v>
      </c>
    </row>
    <row r="45" spans="1:95" customFormat="1" x14ac:dyDescent="0.2">
      <c r="A45" s="209">
        <v>43139</v>
      </c>
      <c r="B45" s="33" t="s">
        <v>81</v>
      </c>
      <c r="C45" s="33" t="s">
        <v>82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1</v>
      </c>
      <c r="L45" s="43">
        <v>0</v>
      </c>
      <c r="M45" s="43">
        <v>0</v>
      </c>
      <c r="N45" s="43">
        <v>0</v>
      </c>
      <c r="O45" s="43">
        <v>0</v>
      </c>
      <c r="P45" s="47" t="s">
        <v>45</v>
      </c>
      <c r="R45" s="37">
        <v>0</v>
      </c>
      <c r="S45" s="37">
        <v>0</v>
      </c>
      <c r="T45" s="37">
        <v>600000</v>
      </c>
      <c r="U45" s="37">
        <v>0</v>
      </c>
      <c r="V45" s="37">
        <v>200000</v>
      </c>
      <c r="W45" s="37">
        <v>120000</v>
      </c>
      <c r="X45" s="37">
        <v>0</v>
      </c>
      <c r="Y45" s="37">
        <v>0</v>
      </c>
      <c r="Z45" s="37">
        <v>80000</v>
      </c>
      <c r="AA45" s="37">
        <v>0</v>
      </c>
      <c r="AB45" s="37">
        <v>50000</v>
      </c>
      <c r="AC45" s="37">
        <v>0</v>
      </c>
      <c r="AD45" s="37">
        <v>20000</v>
      </c>
      <c r="AE45" s="37">
        <v>0</v>
      </c>
      <c r="AF45" s="37">
        <v>2000</v>
      </c>
      <c r="AG45" s="57">
        <v>1072000</v>
      </c>
      <c r="AH45" s="37">
        <v>0</v>
      </c>
      <c r="AI45" s="37">
        <v>1500</v>
      </c>
      <c r="AJ45" s="37">
        <v>0</v>
      </c>
      <c r="AK45" s="37">
        <v>0</v>
      </c>
      <c r="AL45" s="37">
        <v>750</v>
      </c>
      <c r="AM45" s="37">
        <v>400</v>
      </c>
      <c r="AN45" s="37">
        <v>0</v>
      </c>
      <c r="AO45" s="37">
        <v>0</v>
      </c>
      <c r="AP45" s="37">
        <v>200</v>
      </c>
      <c r="AQ45" s="37">
        <v>0</v>
      </c>
      <c r="AR45" s="37">
        <v>0</v>
      </c>
      <c r="AS45" s="57">
        <v>2850</v>
      </c>
      <c r="AT45" s="57">
        <v>1074850</v>
      </c>
      <c r="AU45" s="45"/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8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8">
        <v>0</v>
      </c>
      <c r="BX45" s="57">
        <v>0</v>
      </c>
      <c r="BZ45" s="37">
        <v>600000</v>
      </c>
      <c r="CA45" s="37">
        <v>200000</v>
      </c>
      <c r="CB45" s="37">
        <v>120000</v>
      </c>
      <c r="CC45" s="37">
        <v>80000</v>
      </c>
      <c r="CD45" s="37">
        <v>50000</v>
      </c>
      <c r="CE45" s="37">
        <v>20000</v>
      </c>
      <c r="CF45" s="37">
        <v>2000</v>
      </c>
      <c r="CG45" s="38">
        <v>1072000</v>
      </c>
      <c r="CH45" s="37">
        <v>1500</v>
      </c>
      <c r="CI45" s="37">
        <v>750</v>
      </c>
      <c r="CJ45" s="37">
        <v>400</v>
      </c>
      <c r="CK45" s="37">
        <v>200</v>
      </c>
      <c r="CL45" s="37">
        <v>0</v>
      </c>
      <c r="CM45" s="37">
        <v>0</v>
      </c>
      <c r="CN45" s="38">
        <v>2850</v>
      </c>
      <c r="CO45" s="57">
        <v>1074850</v>
      </c>
      <c r="CP45" s="58"/>
      <c r="CQ45" s="42">
        <v>1074850</v>
      </c>
    </row>
    <row r="46" spans="1:95" customFormat="1" x14ac:dyDescent="0.2">
      <c r="A46" s="209">
        <v>43139</v>
      </c>
      <c r="B46" s="33" t="s">
        <v>83</v>
      </c>
      <c r="C46" s="33" t="s">
        <v>76</v>
      </c>
      <c r="D46" s="43">
        <v>0</v>
      </c>
      <c r="E46" s="43">
        <v>1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7" t="s">
        <v>45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40000</v>
      </c>
      <c r="X46" s="37">
        <v>0</v>
      </c>
      <c r="Y46" s="37">
        <v>0</v>
      </c>
      <c r="Z46" s="37">
        <v>40000</v>
      </c>
      <c r="AA46" s="37">
        <v>0</v>
      </c>
      <c r="AB46" s="37">
        <v>20000</v>
      </c>
      <c r="AC46" s="37">
        <v>0</v>
      </c>
      <c r="AD46" s="37">
        <v>12000</v>
      </c>
      <c r="AE46" s="37">
        <v>0</v>
      </c>
      <c r="AF46" s="37">
        <v>0</v>
      </c>
      <c r="AG46" s="57">
        <v>112000</v>
      </c>
      <c r="AH46" s="37">
        <v>0</v>
      </c>
      <c r="AI46" s="37">
        <v>0</v>
      </c>
      <c r="AJ46" s="37">
        <v>0</v>
      </c>
      <c r="AK46" s="37">
        <v>0</v>
      </c>
      <c r="AL46" s="37">
        <v>250</v>
      </c>
      <c r="AM46" s="37">
        <v>0</v>
      </c>
      <c r="AN46" s="37">
        <v>200</v>
      </c>
      <c r="AO46" s="37">
        <v>0</v>
      </c>
      <c r="AP46" s="37">
        <v>0</v>
      </c>
      <c r="AQ46" s="37">
        <v>0</v>
      </c>
      <c r="AR46" s="37">
        <v>0</v>
      </c>
      <c r="AS46" s="57">
        <v>450</v>
      </c>
      <c r="AT46" s="57">
        <v>112450</v>
      </c>
      <c r="AU46" s="45"/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5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37">
        <v>0</v>
      </c>
      <c r="BW46" s="57">
        <v>0</v>
      </c>
      <c r="BX46" s="57">
        <v>0</v>
      </c>
      <c r="BZ46" s="37">
        <v>0</v>
      </c>
      <c r="CA46" s="37">
        <v>0</v>
      </c>
      <c r="CB46" s="37">
        <v>40000</v>
      </c>
      <c r="CC46" s="37">
        <v>40000</v>
      </c>
      <c r="CD46" s="37">
        <v>20000</v>
      </c>
      <c r="CE46" s="37">
        <v>12000</v>
      </c>
      <c r="CF46" s="37">
        <v>0</v>
      </c>
      <c r="CG46" s="57">
        <v>112000</v>
      </c>
      <c r="CH46" s="37">
        <v>0</v>
      </c>
      <c r="CI46" s="37">
        <v>250</v>
      </c>
      <c r="CJ46" s="37">
        <v>200</v>
      </c>
      <c r="CK46" s="37">
        <v>0</v>
      </c>
      <c r="CL46" s="37">
        <v>0</v>
      </c>
      <c r="CM46" s="37">
        <v>0</v>
      </c>
      <c r="CN46" s="57">
        <v>450</v>
      </c>
      <c r="CO46" s="57">
        <v>112450</v>
      </c>
      <c r="CP46" s="58"/>
      <c r="CQ46" s="42">
        <v>112450</v>
      </c>
    </row>
    <row r="47" spans="1:95" customFormat="1" x14ac:dyDescent="0.2">
      <c r="A47" s="209">
        <v>43139</v>
      </c>
      <c r="B47" s="33" t="s">
        <v>53</v>
      </c>
      <c r="C47" s="33" t="s">
        <v>54</v>
      </c>
      <c r="D47" s="43">
        <v>1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7" t="s">
        <v>45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8">
        <v>0</v>
      </c>
      <c r="AH47" s="37">
        <v>0</v>
      </c>
      <c r="AI47" s="37">
        <v>2500</v>
      </c>
      <c r="AJ47" s="37">
        <v>0</v>
      </c>
      <c r="AK47" s="37">
        <v>0</v>
      </c>
      <c r="AL47" s="37">
        <v>1875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8">
        <v>4375</v>
      </c>
      <c r="AT47" s="38">
        <v>4375</v>
      </c>
      <c r="AU47" s="40"/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8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0</v>
      </c>
      <c r="BQ47" s="37">
        <v>0</v>
      </c>
      <c r="BR47" s="37">
        <v>0</v>
      </c>
      <c r="BS47" s="37">
        <v>0</v>
      </c>
      <c r="BT47" s="37">
        <v>0</v>
      </c>
      <c r="BU47" s="37">
        <v>0</v>
      </c>
      <c r="BV47" s="37">
        <v>0</v>
      </c>
      <c r="BW47" s="38">
        <v>0</v>
      </c>
      <c r="BX47" s="38">
        <v>0</v>
      </c>
      <c r="BZ47" s="37">
        <v>0</v>
      </c>
      <c r="CA47" s="37">
        <v>0</v>
      </c>
      <c r="CB47" s="37">
        <v>0</v>
      </c>
      <c r="CC47" s="37">
        <v>0</v>
      </c>
      <c r="CD47" s="37">
        <v>0</v>
      </c>
      <c r="CE47" s="37">
        <v>0</v>
      </c>
      <c r="CF47" s="37">
        <v>0</v>
      </c>
      <c r="CG47" s="38">
        <v>0</v>
      </c>
      <c r="CH47" s="37">
        <v>2500</v>
      </c>
      <c r="CI47" s="37">
        <v>1875</v>
      </c>
      <c r="CJ47" s="37">
        <v>0</v>
      </c>
      <c r="CK47" s="37">
        <v>0</v>
      </c>
      <c r="CL47" s="37">
        <v>0</v>
      </c>
      <c r="CM47" s="37">
        <v>0</v>
      </c>
      <c r="CN47" s="38">
        <v>4375</v>
      </c>
      <c r="CO47" s="38">
        <v>4375</v>
      </c>
      <c r="CP47" s="41"/>
      <c r="CQ47" s="42">
        <v>4375</v>
      </c>
    </row>
    <row r="48" spans="1:95" customFormat="1" x14ac:dyDescent="0.2">
      <c r="A48" s="209">
        <v>43143</v>
      </c>
      <c r="B48" s="33" t="s">
        <v>55</v>
      </c>
      <c r="C48" s="33" t="s">
        <v>56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7">
        <v>0</v>
      </c>
      <c r="R48" s="37">
        <v>0</v>
      </c>
      <c r="S48" s="37">
        <v>0</v>
      </c>
      <c r="T48" s="37">
        <v>4000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400</v>
      </c>
      <c r="AA48" s="37">
        <v>0</v>
      </c>
      <c r="AB48" s="37">
        <v>200</v>
      </c>
      <c r="AC48" s="37">
        <v>0</v>
      </c>
      <c r="AD48" s="37">
        <v>80</v>
      </c>
      <c r="AE48" s="37">
        <v>0</v>
      </c>
      <c r="AF48" s="37">
        <v>40</v>
      </c>
      <c r="AG48" s="38">
        <v>4720</v>
      </c>
      <c r="AH48" s="37">
        <v>0</v>
      </c>
      <c r="AI48" s="37">
        <v>10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8">
        <v>10</v>
      </c>
      <c r="AT48" s="38">
        <v>4730</v>
      </c>
      <c r="AU48" s="40"/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8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8">
        <v>0</v>
      </c>
      <c r="BX48" s="38">
        <v>0</v>
      </c>
      <c r="BZ48" s="37">
        <v>4000</v>
      </c>
      <c r="CA48" s="37">
        <v>0</v>
      </c>
      <c r="CB48" s="37">
        <v>0</v>
      </c>
      <c r="CC48" s="37">
        <v>400</v>
      </c>
      <c r="CD48" s="37">
        <v>200</v>
      </c>
      <c r="CE48" s="37">
        <v>80</v>
      </c>
      <c r="CF48" s="37">
        <v>40</v>
      </c>
      <c r="CG48" s="38">
        <v>4720</v>
      </c>
      <c r="CH48" s="37">
        <v>10</v>
      </c>
      <c r="CI48" s="37">
        <v>0</v>
      </c>
      <c r="CJ48" s="37">
        <v>0</v>
      </c>
      <c r="CK48" s="37">
        <v>0</v>
      </c>
      <c r="CL48" s="37">
        <v>0</v>
      </c>
      <c r="CM48" s="37">
        <v>0</v>
      </c>
      <c r="CN48" s="38">
        <v>10</v>
      </c>
      <c r="CO48" s="38">
        <v>4730</v>
      </c>
      <c r="CP48" s="41"/>
      <c r="CQ48" s="42">
        <v>4730</v>
      </c>
    </row>
    <row r="49" spans="1:95" customFormat="1" x14ac:dyDescent="0.2">
      <c r="A49" s="209">
        <v>43143</v>
      </c>
      <c r="B49" s="33" t="s">
        <v>53</v>
      </c>
      <c r="C49" s="33" t="s">
        <v>84</v>
      </c>
      <c r="D49" s="43">
        <v>0</v>
      </c>
      <c r="E49" s="43">
        <v>1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7" t="s">
        <v>45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8">
        <v>0</v>
      </c>
      <c r="AH49" s="37">
        <v>0</v>
      </c>
      <c r="AI49" s="37">
        <v>2500</v>
      </c>
      <c r="AJ49" s="37">
        <v>0</v>
      </c>
      <c r="AK49" s="37">
        <v>0</v>
      </c>
      <c r="AL49" s="37">
        <v>1875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8">
        <v>4375</v>
      </c>
      <c r="AT49" s="38">
        <v>4375</v>
      </c>
      <c r="AU49" s="40"/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8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37">
        <v>0</v>
      </c>
      <c r="BW49" s="38">
        <v>0</v>
      </c>
      <c r="BX49" s="38">
        <v>0</v>
      </c>
      <c r="BZ49" s="37"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8">
        <v>0</v>
      </c>
      <c r="CH49" s="37">
        <v>2500</v>
      </c>
      <c r="CI49" s="37">
        <v>1875</v>
      </c>
      <c r="CJ49" s="37">
        <v>0</v>
      </c>
      <c r="CK49" s="37">
        <v>0</v>
      </c>
      <c r="CL49" s="37">
        <v>0</v>
      </c>
      <c r="CM49" s="37">
        <v>0</v>
      </c>
      <c r="CN49" s="38">
        <v>4375</v>
      </c>
      <c r="CO49" s="38">
        <v>4375</v>
      </c>
      <c r="CP49" s="41"/>
      <c r="CQ49" s="42">
        <v>4375</v>
      </c>
    </row>
    <row r="50" spans="1:95" customFormat="1" x14ac:dyDescent="0.2">
      <c r="A50" s="209">
        <v>43143</v>
      </c>
      <c r="B50" s="33" t="s">
        <v>53</v>
      </c>
      <c r="C50" s="33" t="s">
        <v>54</v>
      </c>
      <c r="D50" s="43">
        <v>1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7" t="s">
        <v>45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100000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8">
        <v>100000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8">
        <v>0</v>
      </c>
      <c r="AT50" s="38">
        <v>100000</v>
      </c>
      <c r="AU50" s="40"/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8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37">
        <v>0</v>
      </c>
      <c r="BW50" s="38">
        <v>0</v>
      </c>
      <c r="BX50" s="38">
        <v>0</v>
      </c>
      <c r="BZ50" s="37">
        <v>0</v>
      </c>
      <c r="CA50" s="37">
        <v>0</v>
      </c>
      <c r="CB50" s="37">
        <v>0</v>
      </c>
      <c r="CC50" s="37">
        <v>100000</v>
      </c>
      <c r="CD50" s="37">
        <v>0</v>
      </c>
      <c r="CE50" s="37">
        <v>0</v>
      </c>
      <c r="CF50" s="37">
        <v>0</v>
      </c>
      <c r="CG50" s="38">
        <v>100000</v>
      </c>
      <c r="CH50" s="37">
        <v>0</v>
      </c>
      <c r="CI50" s="37">
        <v>0</v>
      </c>
      <c r="CJ50" s="37">
        <v>0</v>
      </c>
      <c r="CK50" s="37">
        <v>0</v>
      </c>
      <c r="CL50" s="37">
        <v>0</v>
      </c>
      <c r="CM50" s="37">
        <v>0</v>
      </c>
      <c r="CN50" s="38">
        <v>0</v>
      </c>
      <c r="CO50" s="38">
        <v>100000</v>
      </c>
      <c r="CP50" s="41"/>
      <c r="CQ50" s="42">
        <v>100000</v>
      </c>
    </row>
    <row r="51" spans="1:95" customFormat="1" x14ac:dyDescent="0.2">
      <c r="A51" s="209">
        <v>43144</v>
      </c>
      <c r="B51" s="33" t="s">
        <v>53</v>
      </c>
      <c r="C51" s="33" t="s">
        <v>84</v>
      </c>
      <c r="D51" s="43">
        <v>0</v>
      </c>
      <c r="E51" s="43">
        <v>1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7" t="s">
        <v>45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57">
        <v>0</v>
      </c>
      <c r="AH51" s="37">
        <v>0</v>
      </c>
      <c r="AI51" s="37">
        <v>3750</v>
      </c>
      <c r="AJ51" s="37">
        <v>0</v>
      </c>
      <c r="AK51" s="37">
        <v>0</v>
      </c>
      <c r="AL51" s="37">
        <v>1250</v>
      </c>
      <c r="AM51" s="37">
        <v>1000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57">
        <v>6000</v>
      </c>
      <c r="AT51" s="57">
        <v>6000</v>
      </c>
      <c r="AU51" s="45"/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5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37">
        <v>0</v>
      </c>
      <c r="BW51" s="57">
        <v>0</v>
      </c>
      <c r="BX51" s="57">
        <v>0</v>
      </c>
      <c r="BZ51" s="37">
        <v>0</v>
      </c>
      <c r="CA51" s="37">
        <v>0</v>
      </c>
      <c r="CB51" s="37">
        <v>0</v>
      </c>
      <c r="CC51" s="37">
        <v>0</v>
      </c>
      <c r="CD51" s="37">
        <v>0</v>
      </c>
      <c r="CE51" s="37">
        <v>0</v>
      </c>
      <c r="CF51" s="37">
        <v>0</v>
      </c>
      <c r="CG51" s="57">
        <v>0</v>
      </c>
      <c r="CH51" s="37">
        <v>3750</v>
      </c>
      <c r="CI51" s="37">
        <v>1250</v>
      </c>
      <c r="CJ51" s="37">
        <v>1000</v>
      </c>
      <c r="CK51" s="37">
        <v>0</v>
      </c>
      <c r="CL51" s="37">
        <v>0</v>
      </c>
      <c r="CM51" s="37">
        <v>0</v>
      </c>
      <c r="CN51" s="57">
        <v>6000</v>
      </c>
      <c r="CO51" s="57">
        <v>6000</v>
      </c>
      <c r="CP51" s="58"/>
      <c r="CQ51" s="42">
        <v>6000</v>
      </c>
    </row>
    <row r="52" spans="1:95" customFormat="1" x14ac:dyDescent="0.2">
      <c r="A52" s="209">
        <v>43145</v>
      </c>
      <c r="B52" s="33" t="s">
        <v>53</v>
      </c>
      <c r="C52" s="33" t="s">
        <v>57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7">
        <v>0</v>
      </c>
      <c r="R52" s="37">
        <v>0</v>
      </c>
      <c r="S52" s="37">
        <v>0</v>
      </c>
      <c r="T52" s="37">
        <v>8000</v>
      </c>
      <c r="U52" s="37">
        <v>0</v>
      </c>
      <c r="V52" s="37">
        <v>2000</v>
      </c>
      <c r="W52" s="37">
        <v>0</v>
      </c>
      <c r="X52" s="37">
        <v>0</v>
      </c>
      <c r="Y52" s="37">
        <v>0</v>
      </c>
      <c r="Z52" s="37">
        <v>800</v>
      </c>
      <c r="AA52" s="37">
        <v>0</v>
      </c>
      <c r="AB52" s="37">
        <v>400</v>
      </c>
      <c r="AC52" s="37">
        <v>0</v>
      </c>
      <c r="AD52" s="37">
        <v>160</v>
      </c>
      <c r="AE52" s="37">
        <v>0</v>
      </c>
      <c r="AF52" s="37">
        <v>60</v>
      </c>
      <c r="AG52" s="57">
        <v>11420</v>
      </c>
      <c r="AH52" s="37">
        <v>0</v>
      </c>
      <c r="AI52" s="37">
        <v>20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57">
        <v>20</v>
      </c>
      <c r="AT52" s="57">
        <v>11440</v>
      </c>
      <c r="AU52" s="45"/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5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57">
        <v>0</v>
      </c>
      <c r="BX52" s="57">
        <v>0</v>
      </c>
      <c r="BZ52" s="37">
        <v>8000</v>
      </c>
      <c r="CA52" s="37">
        <v>2000</v>
      </c>
      <c r="CB52" s="37">
        <v>0</v>
      </c>
      <c r="CC52" s="37">
        <v>800</v>
      </c>
      <c r="CD52" s="37">
        <v>400</v>
      </c>
      <c r="CE52" s="37">
        <v>160</v>
      </c>
      <c r="CF52" s="37">
        <v>60</v>
      </c>
      <c r="CG52" s="57">
        <v>11420</v>
      </c>
      <c r="CH52" s="37">
        <v>20</v>
      </c>
      <c r="CI52" s="37">
        <v>0</v>
      </c>
      <c r="CJ52" s="37">
        <v>0</v>
      </c>
      <c r="CK52" s="37">
        <v>0</v>
      </c>
      <c r="CL52" s="37">
        <v>0</v>
      </c>
      <c r="CM52" s="37">
        <v>0</v>
      </c>
      <c r="CN52" s="57">
        <v>20</v>
      </c>
      <c r="CO52" s="57">
        <v>11440</v>
      </c>
      <c r="CP52" s="58"/>
      <c r="CQ52" s="42">
        <v>11440</v>
      </c>
    </row>
    <row r="53" spans="1:95" customFormat="1" x14ac:dyDescent="0.2">
      <c r="A53" s="209">
        <v>43145</v>
      </c>
      <c r="B53" s="33" t="s">
        <v>85</v>
      </c>
      <c r="C53" s="33" t="s">
        <v>76</v>
      </c>
      <c r="D53" s="43">
        <v>0</v>
      </c>
      <c r="E53" s="43">
        <v>0</v>
      </c>
      <c r="F53" s="43">
        <v>1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7" t="s">
        <v>67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80000</v>
      </c>
      <c r="X53" s="37">
        <v>0</v>
      </c>
      <c r="Y53" s="37">
        <v>0</v>
      </c>
      <c r="Z53" s="37">
        <v>40000</v>
      </c>
      <c r="AA53" s="37">
        <v>0</v>
      </c>
      <c r="AB53" s="37">
        <v>50000</v>
      </c>
      <c r="AC53" s="37">
        <v>0</v>
      </c>
      <c r="AD53" s="37">
        <v>0</v>
      </c>
      <c r="AE53" s="37">
        <v>0</v>
      </c>
      <c r="AF53" s="37">
        <v>2000</v>
      </c>
      <c r="AG53" s="57">
        <v>172000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200</v>
      </c>
      <c r="AN53" s="37">
        <v>0</v>
      </c>
      <c r="AO53" s="37">
        <v>0</v>
      </c>
      <c r="AP53" s="37">
        <v>100</v>
      </c>
      <c r="AQ53" s="37">
        <v>0</v>
      </c>
      <c r="AR53" s="37">
        <v>0</v>
      </c>
      <c r="AS53" s="57">
        <v>300</v>
      </c>
      <c r="AT53" s="57">
        <v>172300</v>
      </c>
      <c r="AU53" s="45"/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5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57">
        <v>0</v>
      </c>
      <c r="BX53" s="57">
        <v>0</v>
      </c>
      <c r="BZ53" s="37">
        <v>0</v>
      </c>
      <c r="CA53" s="37">
        <v>0</v>
      </c>
      <c r="CB53" s="37">
        <v>80000</v>
      </c>
      <c r="CC53" s="37">
        <v>40000</v>
      </c>
      <c r="CD53" s="37">
        <v>50000</v>
      </c>
      <c r="CE53" s="37">
        <v>0</v>
      </c>
      <c r="CF53" s="37">
        <v>2000</v>
      </c>
      <c r="CG53" s="57">
        <v>172000</v>
      </c>
      <c r="CH53" s="37">
        <v>0</v>
      </c>
      <c r="CI53" s="37">
        <v>0</v>
      </c>
      <c r="CJ53" s="37">
        <v>200</v>
      </c>
      <c r="CK53" s="37">
        <v>100</v>
      </c>
      <c r="CL53" s="37">
        <v>0</v>
      </c>
      <c r="CM53" s="37">
        <v>0</v>
      </c>
      <c r="CN53" s="57">
        <v>300</v>
      </c>
      <c r="CO53" s="57">
        <v>172300</v>
      </c>
      <c r="CP53" s="58"/>
      <c r="CQ53" s="42">
        <v>172300</v>
      </c>
    </row>
    <row r="54" spans="1:95" customFormat="1" x14ac:dyDescent="0.2">
      <c r="A54" s="209">
        <v>43146</v>
      </c>
      <c r="B54" s="33" t="s">
        <v>86</v>
      </c>
      <c r="C54" s="33" t="s">
        <v>87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1</v>
      </c>
      <c r="L54" s="43"/>
      <c r="M54" s="43"/>
      <c r="N54" s="43">
        <v>0</v>
      </c>
      <c r="O54" s="43">
        <v>0</v>
      </c>
      <c r="P54" s="47" t="s">
        <v>45</v>
      </c>
      <c r="R54" s="37">
        <v>0</v>
      </c>
      <c r="S54" s="37">
        <v>0</v>
      </c>
      <c r="T54" s="37">
        <v>1600000</v>
      </c>
      <c r="U54" s="37">
        <v>0</v>
      </c>
      <c r="V54" s="37">
        <v>900000</v>
      </c>
      <c r="W54" s="37">
        <v>40000</v>
      </c>
      <c r="X54" s="37">
        <v>0</v>
      </c>
      <c r="Y54" s="37">
        <v>0</v>
      </c>
      <c r="Z54" s="37">
        <v>20000</v>
      </c>
      <c r="AA54" s="37">
        <v>0</v>
      </c>
      <c r="AB54" s="37">
        <v>10000</v>
      </c>
      <c r="AC54" s="37">
        <v>0</v>
      </c>
      <c r="AD54" s="37">
        <v>8000</v>
      </c>
      <c r="AE54" s="37">
        <v>0</v>
      </c>
      <c r="AF54" s="37">
        <v>0</v>
      </c>
      <c r="AG54" s="57">
        <v>2578000</v>
      </c>
      <c r="AH54" s="37">
        <v>0</v>
      </c>
      <c r="AI54" s="37">
        <v>1000</v>
      </c>
      <c r="AJ54" s="37">
        <v>0</v>
      </c>
      <c r="AK54" s="37">
        <v>0</v>
      </c>
      <c r="AL54" s="37">
        <v>1375</v>
      </c>
      <c r="AM54" s="37">
        <v>400</v>
      </c>
      <c r="AN54" s="37">
        <v>0</v>
      </c>
      <c r="AO54" s="37">
        <v>0</v>
      </c>
      <c r="AP54" s="37">
        <v>150</v>
      </c>
      <c r="AQ54" s="37">
        <v>0</v>
      </c>
      <c r="AR54" s="37">
        <v>0</v>
      </c>
      <c r="AS54" s="57">
        <v>2925</v>
      </c>
      <c r="AT54" s="57">
        <v>2580925</v>
      </c>
      <c r="AU54" s="40"/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8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8">
        <v>0</v>
      </c>
      <c r="BX54" s="38">
        <v>0</v>
      </c>
      <c r="BZ54" s="37">
        <v>1600000</v>
      </c>
      <c r="CA54" s="37">
        <v>900000</v>
      </c>
      <c r="CB54" s="37">
        <v>40000</v>
      </c>
      <c r="CC54" s="37">
        <v>20000</v>
      </c>
      <c r="CD54" s="37">
        <v>10000</v>
      </c>
      <c r="CE54" s="37">
        <v>8000</v>
      </c>
      <c r="CF54" s="37">
        <v>0</v>
      </c>
      <c r="CG54" s="38">
        <v>2578000</v>
      </c>
      <c r="CH54" s="37">
        <v>1000</v>
      </c>
      <c r="CI54" s="37">
        <v>1375</v>
      </c>
      <c r="CJ54" s="37">
        <v>400</v>
      </c>
      <c r="CK54" s="37">
        <v>150</v>
      </c>
      <c r="CL54" s="37">
        <v>0</v>
      </c>
      <c r="CM54" s="37">
        <v>0</v>
      </c>
      <c r="CN54" s="38">
        <v>2925</v>
      </c>
      <c r="CO54" s="38">
        <v>2580925</v>
      </c>
      <c r="CP54" s="41"/>
      <c r="CQ54" s="42">
        <v>2580925</v>
      </c>
    </row>
    <row r="55" spans="1:95" customFormat="1" x14ac:dyDescent="0.2">
      <c r="A55" s="209">
        <v>43150</v>
      </c>
      <c r="B55" s="33" t="s">
        <v>55</v>
      </c>
      <c r="C55" s="33" t="s">
        <v>56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400</v>
      </c>
      <c r="AA55" s="37">
        <v>0</v>
      </c>
      <c r="AB55" s="37">
        <v>200</v>
      </c>
      <c r="AC55" s="37">
        <v>0</v>
      </c>
      <c r="AD55" s="37">
        <v>80</v>
      </c>
      <c r="AE55" s="37">
        <v>0</v>
      </c>
      <c r="AF55" s="37">
        <v>40</v>
      </c>
      <c r="AG55" s="38">
        <v>720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8">
        <v>0</v>
      </c>
      <c r="AT55" s="38">
        <v>720</v>
      </c>
      <c r="AU55" s="40"/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8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37">
        <v>0</v>
      </c>
      <c r="BW55" s="38">
        <v>0</v>
      </c>
      <c r="BX55" s="38">
        <v>0</v>
      </c>
      <c r="BZ55" s="37">
        <v>0</v>
      </c>
      <c r="CA55" s="37">
        <v>0</v>
      </c>
      <c r="CB55" s="37">
        <v>0</v>
      </c>
      <c r="CC55" s="37">
        <v>400</v>
      </c>
      <c r="CD55" s="37">
        <v>200</v>
      </c>
      <c r="CE55" s="37">
        <v>80</v>
      </c>
      <c r="CF55" s="37">
        <v>40</v>
      </c>
      <c r="CG55" s="38">
        <v>720</v>
      </c>
      <c r="CH55" s="37">
        <v>0</v>
      </c>
      <c r="CI55" s="37">
        <v>0</v>
      </c>
      <c r="CJ55" s="37">
        <v>0</v>
      </c>
      <c r="CK55" s="37">
        <v>0</v>
      </c>
      <c r="CL55" s="37">
        <v>0</v>
      </c>
      <c r="CM55" s="37">
        <v>0</v>
      </c>
      <c r="CN55" s="38">
        <v>0</v>
      </c>
      <c r="CO55" s="38">
        <v>720</v>
      </c>
      <c r="CP55" s="41"/>
      <c r="CQ55" s="42">
        <v>720</v>
      </c>
    </row>
    <row r="56" spans="1:95" customFormat="1" x14ac:dyDescent="0.2">
      <c r="A56" s="209">
        <v>43150</v>
      </c>
      <c r="B56" s="33" t="s">
        <v>53</v>
      </c>
      <c r="C56" s="33" t="s">
        <v>57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7">
        <v>0</v>
      </c>
      <c r="R56" s="37">
        <v>0</v>
      </c>
      <c r="S56" s="37">
        <v>0</v>
      </c>
      <c r="T56" s="37">
        <v>4000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400</v>
      </c>
      <c r="AA56" s="37">
        <v>0</v>
      </c>
      <c r="AB56" s="37">
        <v>200</v>
      </c>
      <c r="AC56" s="37">
        <v>0</v>
      </c>
      <c r="AD56" s="37">
        <v>80</v>
      </c>
      <c r="AE56" s="37">
        <v>0</v>
      </c>
      <c r="AF56" s="37">
        <v>40</v>
      </c>
      <c r="AG56" s="38">
        <v>4720</v>
      </c>
      <c r="AH56" s="37">
        <v>0</v>
      </c>
      <c r="AI56" s="37">
        <v>10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8">
        <v>10</v>
      </c>
      <c r="AT56" s="38">
        <v>4730</v>
      </c>
      <c r="AU56" s="40"/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8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37">
        <v>0</v>
      </c>
      <c r="BW56" s="38">
        <v>0</v>
      </c>
      <c r="BX56" s="38">
        <v>0</v>
      </c>
      <c r="BZ56" s="37">
        <v>4000</v>
      </c>
      <c r="CA56" s="37">
        <v>0</v>
      </c>
      <c r="CB56" s="37">
        <v>0</v>
      </c>
      <c r="CC56" s="37">
        <v>400</v>
      </c>
      <c r="CD56" s="37">
        <v>200</v>
      </c>
      <c r="CE56" s="37">
        <v>80</v>
      </c>
      <c r="CF56" s="37">
        <v>40</v>
      </c>
      <c r="CG56" s="38">
        <v>4720</v>
      </c>
      <c r="CH56" s="37">
        <v>10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8">
        <v>10</v>
      </c>
      <c r="CO56" s="38">
        <v>4730</v>
      </c>
      <c r="CP56" s="41"/>
      <c r="CQ56" s="42">
        <v>4730</v>
      </c>
    </row>
    <row r="57" spans="1:95" customFormat="1" x14ac:dyDescent="0.2">
      <c r="A57" s="209">
        <v>43151</v>
      </c>
      <c r="B57" s="33" t="s">
        <v>60</v>
      </c>
      <c r="C57" s="33" t="s">
        <v>61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1</v>
      </c>
      <c r="O57" s="43">
        <v>0</v>
      </c>
      <c r="P57" s="47" t="s">
        <v>88</v>
      </c>
      <c r="R57" s="37">
        <v>0</v>
      </c>
      <c r="S57" s="37">
        <v>0</v>
      </c>
      <c r="T57" s="37">
        <v>400000</v>
      </c>
      <c r="U57" s="37">
        <v>0</v>
      </c>
      <c r="V57" s="37">
        <v>500000</v>
      </c>
      <c r="W57" s="37">
        <v>0</v>
      </c>
      <c r="X57" s="37">
        <v>0</v>
      </c>
      <c r="Y57" s="37">
        <v>0</v>
      </c>
      <c r="Z57" s="37">
        <v>120000</v>
      </c>
      <c r="AA57" s="37">
        <v>0</v>
      </c>
      <c r="AB57" s="37">
        <v>40000</v>
      </c>
      <c r="AC57" s="37">
        <v>0</v>
      </c>
      <c r="AD57" s="37">
        <v>24000</v>
      </c>
      <c r="AE57" s="37">
        <v>0</v>
      </c>
      <c r="AF57" s="37">
        <v>0</v>
      </c>
      <c r="AG57" s="38">
        <v>1084000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600</v>
      </c>
      <c r="AO57" s="37">
        <v>0</v>
      </c>
      <c r="AP57" s="37">
        <v>200</v>
      </c>
      <c r="AQ57" s="37">
        <v>0</v>
      </c>
      <c r="AR57" s="37">
        <v>0</v>
      </c>
      <c r="AS57" s="38">
        <v>800</v>
      </c>
      <c r="AT57" s="38">
        <v>1084800</v>
      </c>
      <c r="AU57" s="40"/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8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0</v>
      </c>
      <c r="BW57" s="38">
        <v>0</v>
      </c>
      <c r="BX57" s="38">
        <v>0</v>
      </c>
      <c r="BZ57" s="37">
        <v>400000</v>
      </c>
      <c r="CA57" s="37">
        <v>500000</v>
      </c>
      <c r="CB57" s="37">
        <v>0</v>
      </c>
      <c r="CC57" s="37">
        <v>120000</v>
      </c>
      <c r="CD57" s="37">
        <v>40000</v>
      </c>
      <c r="CE57" s="37">
        <v>24000</v>
      </c>
      <c r="CF57" s="37">
        <v>0</v>
      </c>
      <c r="CG57" s="38">
        <v>1084000</v>
      </c>
      <c r="CH57" s="37">
        <v>0</v>
      </c>
      <c r="CI57" s="37">
        <v>0</v>
      </c>
      <c r="CJ57" s="37">
        <v>600</v>
      </c>
      <c r="CK57" s="37">
        <v>200</v>
      </c>
      <c r="CL57" s="37">
        <v>0</v>
      </c>
      <c r="CM57" s="37">
        <v>0</v>
      </c>
      <c r="CN57" s="38">
        <v>800</v>
      </c>
      <c r="CO57" s="38">
        <v>1084800</v>
      </c>
      <c r="CP57" s="41"/>
      <c r="CQ57" s="42">
        <v>1084800</v>
      </c>
    </row>
    <row r="58" spans="1:95" customFormat="1" x14ac:dyDescent="0.2">
      <c r="A58" s="209">
        <v>43151</v>
      </c>
      <c r="B58" s="33" t="s">
        <v>55</v>
      </c>
      <c r="C58" s="33" t="s">
        <v>56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7">
        <v>0</v>
      </c>
      <c r="R58" s="37">
        <v>0</v>
      </c>
      <c r="S58" s="37">
        <v>0</v>
      </c>
      <c r="T58" s="37">
        <v>4000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8">
        <v>4000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8">
        <v>0</v>
      </c>
      <c r="AT58" s="38">
        <v>4000</v>
      </c>
      <c r="AU58" s="40"/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8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8">
        <v>0</v>
      </c>
      <c r="BX58" s="38">
        <v>0</v>
      </c>
      <c r="BZ58" s="37">
        <v>4000</v>
      </c>
      <c r="CA58" s="37">
        <v>0</v>
      </c>
      <c r="CB58" s="37">
        <v>0</v>
      </c>
      <c r="CC58" s="37">
        <v>0</v>
      </c>
      <c r="CD58" s="37">
        <v>0</v>
      </c>
      <c r="CE58" s="37">
        <v>0</v>
      </c>
      <c r="CF58" s="37">
        <v>0</v>
      </c>
      <c r="CG58" s="38">
        <v>4000</v>
      </c>
      <c r="CH58" s="37">
        <v>0</v>
      </c>
      <c r="CI58" s="37">
        <v>0</v>
      </c>
      <c r="CJ58" s="37">
        <v>0</v>
      </c>
      <c r="CK58" s="37">
        <v>0</v>
      </c>
      <c r="CL58" s="37">
        <v>0</v>
      </c>
      <c r="CM58" s="37">
        <v>0</v>
      </c>
      <c r="CN58" s="38">
        <v>0</v>
      </c>
      <c r="CO58" s="38">
        <v>4000</v>
      </c>
      <c r="CP58" s="41"/>
      <c r="CQ58" s="42">
        <v>4000</v>
      </c>
    </row>
    <row r="59" spans="1:95" customFormat="1" x14ac:dyDescent="0.2">
      <c r="A59" s="209">
        <v>43151</v>
      </c>
      <c r="B59" s="33" t="s">
        <v>53</v>
      </c>
      <c r="C59" s="33" t="s">
        <v>84</v>
      </c>
      <c r="D59" s="43">
        <v>0</v>
      </c>
      <c r="E59" s="43">
        <v>1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7" t="s">
        <v>45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8">
        <v>0</v>
      </c>
      <c r="AH59" s="37">
        <v>0</v>
      </c>
      <c r="AI59" s="37">
        <v>0</v>
      </c>
      <c r="AJ59" s="37">
        <v>375</v>
      </c>
      <c r="AK59" s="37">
        <v>0</v>
      </c>
      <c r="AL59" s="37">
        <v>1500</v>
      </c>
      <c r="AM59" s="37">
        <v>0</v>
      </c>
      <c r="AN59" s="37">
        <v>0</v>
      </c>
      <c r="AO59" s="37">
        <v>0</v>
      </c>
      <c r="AP59" s="37">
        <v>500</v>
      </c>
      <c r="AQ59" s="37">
        <v>0</v>
      </c>
      <c r="AR59" s="37">
        <v>0</v>
      </c>
      <c r="AS59" s="38">
        <v>2375</v>
      </c>
      <c r="AT59" s="38">
        <v>2375</v>
      </c>
      <c r="AU59" s="40"/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8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8">
        <v>0</v>
      </c>
      <c r="BX59" s="38">
        <v>0</v>
      </c>
      <c r="BZ59" s="37">
        <v>0</v>
      </c>
      <c r="CA59" s="37">
        <v>0</v>
      </c>
      <c r="CB59" s="37">
        <v>0</v>
      </c>
      <c r="CC59" s="37">
        <v>0</v>
      </c>
      <c r="CD59" s="37">
        <v>0</v>
      </c>
      <c r="CE59" s="37">
        <v>0</v>
      </c>
      <c r="CF59" s="37">
        <v>0</v>
      </c>
      <c r="CG59" s="38">
        <v>0</v>
      </c>
      <c r="CH59" s="37">
        <v>0</v>
      </c>
      <c r="CI59" s="37">
        <v>1875</v>
      </c>
      <c r="CJ59" s="37">
        <v>0</v>
      </c>
      <c r="CK59" s="37">
        <v>500</v>
      </c>
      <c r="CL59" s="37">
        <v>0</v>
      </c>
      <c r="CM59" s="37">
        <v>0</v>
      </c>
      <c r="CN59" s="38">
        <v>2375</v>
      </c>
      <c r="CO59" s="38">
        <v>2375</v>
      </c>
      <c r="CP59" s="41"/>
      <c r="CQ59" s="42">
        <v>2375</v>
      </c>
    </row>
    <row r="60" spans="1:95" customFormat="1" x14ac:dyDescent="0.2">
      <c r="A60" s="209">
        <v>0</v>
      </c>
      <c r="B60" s="33">
        <v>0</v>
      </c>
      <c r="C60" s="3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8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8">
        <v>0</v>
      </c>
      <c r="AT60" s="38">
        <v>0</v>
      </c>
      <c r="AU60" s="40"/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8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8">
        <v>0</v>
      </c>
      <c r="BX60" s="38">
        <v>0</v>
      </c>
      <c r="BZ60" s="37">
        <v>0</v>
      </c>
      <c r="CA60" s="37">
        <v>0</v>
      </c>
      <c r="CB60" s="37">
        <v>0</v>
      </c>
      <c r="CC60" s="37">
        <v>0</v>
      </c>
      <c r="CD60" s="37">
        <v>0</v>
      </c>
      <c r="CE60" s="37">
        <v>0</v>
      </c>
      <c r="CF60" s="37">
        <v>0</v>
      </c>
      <c r="CG60" s="38">
        <v>0</v>
      </c>
      <c r="CH60" s="37">
        <v>0</v>
      </c>
      <c r="CI60" s="37">
        <v>0</v>
      </c>
      <c r="CJ60" s="37">
        <v>0</v>
      </c>
      <c r="CK60" s="37">
        <v>0</v>
      </c>
      <c r="CL60" s="37">
        <v>0</v>
      </c>
      <c r="CM60" s="37">
        <v>0</v>
      </c>
      <c r="CN60" s="38">
        <v>0</v>
      </c>
      <c r="CO60" s="38">
        <v>0</v>
      </c>
      <c r="CP60" s="41"/>
      <c r="CQ60" s="42">
        <v>0</v>
      </c>
    </row>
    <row r="61" spans="1:95" customFormat="1" x14ac:dyDescent="0.2">
      <c r="A61" s="209">
        <v>43152</v>
      </c>
      <c r="B61" s="33" t="s">
        <v>68</v>
      </c>
      <c r="C61" s="33" t="s">
        <v>89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1</v>
      </c>
      <c r="O61" s="43">
        <v>0</v>
      </c>
      <c r="P61" s="47" t="s">
        <v>88</v>
      </c>
      <c r="R61" s="37">
        <v>0</v>
      </c>
      <c r="S61" s="37">
        <v>0</v>
      </c>
      <c r="T61" s="37">
        <v>600000</v>
      </c>
      <c r="U61" s="37">
        <v>0</v>
      </c>
      <c r="V61" s="37">
        <v>300000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50000</v>
      </c>
      <c r="AC61" s="37">
        <v>0</v>
      </c>
      <c r="AD61" s="37">
        <v>12000</v>
      </c>
      <c r="AE61" s="37">
        <v>0</v>
      </c>
      <c r="AF61" s="37">
        <v>4000</v>
      </c>
      <c r="AG61" s="38">
        <v>966000</v>
      </c>
      <c r="AH61" s="37">
        <v>0</v>
      </c>
      <c r="AI61" s="37">
        <v>2500</v>
      </c>
      <c r="AJ61" s="37">
        <v>0</v>
      </c>
      <c r="AK61" s="37">
        <v>0</v>
      </c>
      <c r="AL61" s="37">
        <v>1000</v>
      </c>
      <c r="AM61" s="37">
        <v>0</v>
      </c>
      <c r="AN61" s="37">
        <v>200</v>
      </c>
      <c r="AO61" s="37">
        <v>0</v>
      </c>
      <c r="AP61" s="37">
        <v>200</v>
      </c>
      <c r="AQ61" s="37">
        <v>0</v>
      </c>
      <c r="AR61" s="37">
        <v>0</v>
      </c>
      <c r="AS61" s="38">
        <v>3900</v>
      </c>
      <c r="AT61" s="38">
        <v>969900</v>
      </c>
      <c r="AU61" s="40"/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8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8">
        <v>0</v>
      </c>
      <c r="BX61" s="38">
        <v>0</v>
      </c>
      <c r="BZ61" s="37">
        <v>600000</v>
      </c>
      <c r="CA61" s="37">
        <v>300000</v>
      </c>
      <c r="CB61" s="37">
        <v>0</v>
      </c>
      <c r="CC61" s="37">
        <v>0</v>
      </c>
      <c r="CD61" s="37">
        <v>50000</v>
      </c>
      <c r="CE61" s="37">
        <v>12000</v>
      </c>
      <c r="CF61" s="37">
        <v>4000</v>
      </c>
      <c r="CG61" s="38">
        <v>966000</v>
      </c>
      <c r="CH61" s="37">
        <v>2500</v>
      </c>
      <c r="CI61" s="37">
        <v>1000</v>
      </c>
      <c r="CJ61" s="37">
        <v>200</v>
      </c>
      <c r="CK61" s="37">
        <v>200</v>
      </c>
      <c r="CL61" s="37">
        <v>0</v>
      </c>
      <c r="CM61" s="37">
        <v>0</v>
      </c>
      <c r="CN61" s="38">
        <v>3900</v>
      </c>
      <c r="CO61" s="38">
        <v>969900</v>
      </c>
      <c r="CP61" s="41"/>
      <c r="CQ61" s="42">
        <v>969900</v>
      </c>
    </row>
    <row r="62" spans="1:95" customFormat="1" x14ac:dyDescent="0.2">
      <c r="A62" s="209">
        <v>43153</v>
      </c>
      <c r="B62" s="33" t="s">
        <v>85</v>
      </c>
      <c r="C62" s="33" t="s">
        <v>76</v>
      </c>
      <c r="D62" s="43">
        <v>0</v>
      </c>
      <c r="E62" s="43">
        <v>1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7" t="s">
        <v>45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60000</v>
      </c>
      <c r="AA62" s="37">
        <v>0</v>
      </c>
      <c r="AB62" s="37">
        <v>35000</v>
      </c>
      <c r="AC62" s="37">
        <v>0</v>
      </c>
      <c r="AD62" s="37">
        <v>24000</v>
      </c>
      <c r="AE62" s="37">
        <v>0</v>
      </c>
      <c r="AF62" s="37">
        <v>0</v>
      </c>
      <c r="AG62" s="38">
        <v>119000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8">
        <v>0</v>
      </c>
      <c r="AT62" s="38">
        <v>119000</v>
      </c>
      <c r="AU62" s="40"/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8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  <c r="BU62" s="37">
        <v>0</v>
      </c>
      <c r="BV62" s="37">
        <v>0</v>
      </c>
      <c r="BW62" s="38">
        <v>0</v>
      </c>
      <c r="BX62" s="38">
        <v>0</v>
      </c>
      <c r="BZ62" s="37">
        <v>0</v>
      </c>
      <c r="CA62" s="37">
        <v>0</v>
      </c>
      <c r="CB62" s="37">
        <v>0</v>
      </c>
      <c r="CC62" s="37">
        <v>60000</v>
      </c>
      <c r="CD62" s="37">
        <v>35000</v>
      </c>
      <c r="CE62" s="37">
        <v>24000</v>
      </c>
      <c r="CF62" s="37">
        <v>0</v>
      </c>
      <c r="CG62" s="38">
        <v>119000</v>
      </c>
      <c r="CH62" s="37">
        <v>0</v>
      </c>
      <c r="CI62" s="37">
        <v>0</v>
      </c>
      <c r="CJ62" s="37">
        <v>0</v>
      </c>
      <c r="CK62" s="37">
        <v>0</v>
      </c>
      <c r="CL62" s="37">
        <v>0</v>
      </c>
      <c r="CM62" s="37">
        <v>0</v>
      </c>
      <c r="CN62" s="38">
        <v>0</v>
      </c>
      <c r="CO62" s="38">
        <v>119000</v>
      </c>
      <c r="CP62" s="41"/>
      <c r="CQ62" s="42">
        <v>119000</v>
      </c>
    </row>
    <row r="63" spans="1:95" customFormat="1" x14ac:dyDescent="0.2">
      <c r="A63" s="209">
        <v>43153</v>
      </c>
      <c r="B63" s="33" t="s">
        <v>64</v>
      </c>
      <c r="C63" s="33" t="s">
        <v>65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1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7" t="s">
        <v>45</v>
      </c>
      <c r="R63" s="37">
        <v>0</v>
      </c>
      <c r="S63" s="37">
        <v>0</v>
      </c>
      <c r="T63" s="37">
        <v>200000</v>
      </c>
      <c r="U63" s="37">
        <v>0</v>
      </c>
      <c r="V63" s="37">
        <v>100000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2000</v>
      </c>
      <c r="AG63" s="38">
        <v>302000</v>
      </c>
      <c r="AH63" s="37">
        <v>0</v>
      </c>
      <c r="AI63" s="37">
        <v>1500</v>
      </c>
      <c r="AJ63" s="37">
        <v>0</v>
      </c>
      <c r="AK63" s="37">
        <v>0</v>
      </c>
      <c r="AL63" s="37">
        <v>250</v>
      </c>
      <c r="AM63" s="37">
        <v>200</v>
      </c>
      <c r="AN63" s="37">
        <v>0</v>
      </c>
      <c r="AO63" s="37">
        <v>0</v>
      </c>
      <c r="AP63" s="37">
        <v>200</v>
      </c>
      <c r="AQ63" s="37">
        <v>0</v>
      </c>
      <c r="AR63" s="37">
        <v>0</v>
      </c>
      <c r="AS63" s="38">
        <v>2150</v>
      </c>
      <c r="AT63" s="38">
        <v>304150</v>
      </c>
      <c r="AU63" s="45"/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57">
        <v>0</v>
      </c>
      <c r="BL63" s="37">
        <v>0</v>
      </c>
      <c r="BM63" s="37">
        <v>0</v>
      </c>
      <c r="BN63" s="37">
        <v>0</v>
      </c>
      <c r="BO63" s="37">
        <v>0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37">
        <v>0</v>
      </c>
      <c r="BW63" s="57">
        <v>0</v>
      </c>
      <c r="BX63" s="57">
        <v>0</v>
      </c>
      <c r="BZ63" s="37">
        <v>200000</v>
      </c>
      <c r="CA63" s="37">
        <v>100000</v>
      </c>
      <c r="CB63" s="37">
        <v>0</v>
      </c>
      <c r="CC63" s="37">
        <v>0</v>
      </c>
      <c r="CD63" s="37">
        <v>0</v>
      </c>
      <c r="CE63" s="37">
        <v>0</v>
      </c>
      <c r="CF63" s="37">
        <v>2000</v>
      </c>
      <c r="CG63" s="57">
        <v>302000</v>
      </c>
      <c r="CH63" s="37">
        <v>1500</v>
      </c>
      <c r="CI63" s="37">
        <v>250</v>
      </c>
      <c r="CJ63" s="37">
        <v>200</v>
      </c>
      <c r="CK63" s="37">
        <v>200</v>
      </c>
      <c r="CL63" s="37">
        <v>0</v>
      </c>
      <c r="CM63" s="37">
        <v>0</v>
      </c>
      <c r="CN63" s="57">
        <v>2150</v>
      </c>
      <c r="CO63" s="57">
        <v>304150</v>
      </c>
      <c r="CP63" s="58"/>
      <c r="CQ63" s="42">
        <v>304150</v>
      </c>
    </row>
    <row r="64" spans="1:95" customFormat="1" x14ac:dyDescent="0.2">
      <c r="A64" s="209">
        <v>43153</v>
      </c>
      <c r="B64" s="33" t="s">
        <v>66</v>
      </c>
      <c r="C64" s="33" t="s">
        <v>65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1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7" t="s">
        <v>88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200000</v>
      </c>
      <c r="X64" s="37">
        <v>0</v>
      </c>
      <c r="Y64" s="37">
        <v>0</v>
      </c>
      <c r="Z64" s="37">
        <v>210000</v>
      </c>
      <c r="AA64" s="37">
        <v>0</v>
      </c>
      <c r="AB64" s="37">
        <v>80000</v>
      </c>
      <c r="AC64" s="37">
        <v>0</v>
      </c>
      <c r="AD64" s="37">
        <v>44000</v>
      </c>
      <c r="AE64" s="37">
        <v>0</v>
      </c>
      <c r="AF64" s="37">
        <v>0</v>
      </c>
      <c r="AG64" s="38">
        <v>534000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800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8">
        <v>800</v>
      </c>
      <c r="AT64" s="38">
        <v>534800</v>
      </c>
      <c r="AU64" s="40"/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8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8">
        <v>0</v>
      </c>
      <c r="BX64" s="38">
        <v>0</v>
      </c>
      <c r="BZ64" s="37">
        <v>0</v>
      </c>
      <c r="CA64" s="37">
        <v>0</v>
      </c>
      <c r="CB64" s="37">
        <v>200000</v>
      </c>
      <c r="CC64" s="37">
        <v>210000</v>
      </c>
      <c r="CD64" s="37">
        <v>80000</v>
      </c>
      <c r="CE64" s="37">
        <v>44000</v>
      </c>
      <c r="CF64" s="37">
        <v>0</v>
      </c>
      <c r="CG64" s="38">
        <v>534000</v>
      </c>
      <c r="CH64" s="37">
        <v>0</v>
      </c>
      <c r="CI64" s="37">
        <v>0</v>
      </c>
      <c r="CJ64" s="37">
        <v>800</v>
      </c>
      <c r="CK64" s="37">
        <v>0</v>
      </c>
      <c r="CL64" s="37">
        <v>0</v>
      </c>
      <c r="CM64" s="37">
        <v>0</v>
      </c>
      <c r="CN64" s="38">
        <v>800</v>
      </c>
      <c r="CO64" s="38">
        <v>534800</v>
      </c>
      <c r="CP64" s="41"/>
      <c r="CQ64" s="42">
        <v>534800</v>
      </c>
    </row>
    <row r="65" spans="1:95" customFormat="1" x14ac:dyDescent="0.2">
      <c r="A65" s="209">
        <v>43154</v>
      </c>
      <c r="B65" s="33" t="s">
        <v>62</v>
      </c>
      <c r="C65" s="33" t="s">
        <v>90</v>
      </c>
      <c r="D65" s="43">
        <v>0</v>
      </c>
      <c r="E65" s="43">
        <v>1</v>
      </c>
      <c r="F65" s="43">
        <v>0</v>
      </c>
      <c r="G65" s="43">
        <v>0</v>
      </c>
      <c r="H65" s="43">
        <v>0</v>
      </c>
      <c r="I65" s="43">
        <v>1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7" t="s">
        <v>45</v>
      </c>
      <c r="R65" s="37">
        <v>0</v>
      </c>
      <c r="S65" s="37">
        <v>0</v>
      </c>
      <c r="T65" s="37">
        <v>200000</v>
      </c>
      <c r="U65" s="37">
        <v>0</v>
      </c>
      <c r="V65" s="37">
        <v>100000</v>
      </c>
      <c r="W65" s="37">
        <v>40000</v>
      </c>
      <c r="X65" s="37">
        <v>0</v>
      </c>
      <c r="Y65" s="37">
        <v>0</v>
      </c>
      <c r="Z65" s="37">
        <v>60000</v>
      </c>
      <c r="AA65" s="37">
        <v>0</v>
      </c>
      <c r="AB65" s="37">
        <v>30000</v>
      </c>
      <c r="AC65" s="37">
        <v>0</v>
      </c>
      <c r="AD65" s="37">
        <v>16000</v>
      </c>
      <c r="AE65" s="37">
        <v>0</v>
      </c>
      <c r="AF65" s="37">
        <v>4000</v>
      </c>
      <c r="AG65" s="57">
        <v>450000</v>
      </c>
      <c r="AH65" s="37">
        <v>0</v>
      </c>
      <c r="AI65" s="37">
        <v>1000</v>
      </c>
      <c r="AJ65" s="37">
        <v>0</v>
      </c>
      <c r="AK65" s="37">
        <v>0</v>
      </c>
      <c r="AL65" s="37">
        <v>750</v>
      </c>
      <c r="AM65" s="37">
        <v>400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57">
        <v>2150</v>
      </c>
      <c r="AT65" s="57">
        <v>452150</v>
      </c>
      <c r="AU65" s="45"/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5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37">
        <v>0</v>
      </c>
      <c r="BW65" s="57">
        <v>0</v>
      </c>
      <c r="BX65" s="57">
        <v>0</v>
      </c>
      <c r="BZ65" s="37">
        <v>200000</v>
      </c>
      <c r="CA65" s="37">
        <v>100000</v>
      </c>
      <c r="CB65" s="37">
        <v>40000</v>
      </c>
      <c r="CC65" s="37">
        <v>60000</v>
      </c>
      <c r="CD65" s="37">
        <v>30000</v>
      </c>
      <c r="CE65" s="37">
        <v>16000</v>
      </c>
      <c r="CF65" s="37">
        <v>4000</v>
      </c>
      <c r="CG65" s="57">
        <v>450000</v>
      </c>
      <c r="CH65" s="37">
        <v>1000</v>
      </c>
      <c r="CI65" s="37">
        <v>750</v>
      </c>
      <c r="CJ65" s="37">
        <v>400</v>
      </c>
      <c r="CK65" s="37">
        <v>0</v>
      </c>
      <c r="CL65" s="37">
        <v>0</v>
      </c>
      <c r="CM65" s="37">
        <v>0</v>
      </c>
      <c r="CN65" s="57">
        <v>2150</v>
      </c>
      <c r="CO65" s="57">
        <v>452150</v>
      </c>
      <c r="CP65" s="58"/>
      <c r="CQ65" s="42">
        <v>452150</v>
      </c>
    </row>
    <row r="66" spans="1:95" customFormat="1" x14ac:dyDescent="0.2">
      <c r="A66" s="209">
        <v>43157</v>
      </c>
      <c r="B66" s="33" t="s">
        <v>55</v>
      </c>
      <c r="C66" s="33" t="s">
        <v>56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200</v>
      </c>
      <c r="AC66" s="37">
        <v>0</v>
      </c>
      <c r="AD66" s="37">
        <v>80</v>
      </c>
      <c r="AE66" s="37">
        <v>0</v>
      </c>
      <c r="AF66" s="37">
        <v>40</v>
      </c>
      <c r="AG66" s="57">
        <v>320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57">
        <v>0</v>
      </c>
      <c r="AT66" s="57">
        <v>320</v>
      </c>
      <c r="AU66" s="45"/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5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37">
        <v>0</v>
      </c>
      <c r="BW66" s="57">
        <v>0</v>
      </c>
      <c r="BX66" s="57">
        <v>0</v>
      </c>
      <c r="BZ66" s="37">
        <v>0</v>
      </c>
      <c r="CA66" s="37">
        <v>0</v>
      </c>
      <c r="CB66" s="37">
        <v>0</v>
      </c>
      <c r="CC66" s="37">
        <v>0</v>
      </c>
      <c r="CD66" s="37">
        <v>200</v>
      </c>
      <c r="CE66" s="37">
        <v>80</v>
      </c>
      <c r="CF66" s="37">
        <v>40</v>
      </c>
      <c r="CG66" s="57">
        <v>320</v>
      </c>
      <c r="CH66" s="37">
        <v>0</v>
      </c>
      <c r="CI66" s="37">
        <v>0</v>
      </c>
      <c r="CJ66" s="37">
        <v>0</v>
      </c>
      <c r="CK66" s="37">
        <v>0</v>
      </c>
      <c r="CL66" s="37">
        <v>0</v>
      </c>
      <c r="CM66" s="37">
        <v>0</v>
      </c>
      <c r="CN66" s="57">
        <v>0</v>
      </c>
      <c r="CO66" s="57">
        <v>320</v>
      </c>
      <c r="CP66" s="58"/>
      <c r="CQ66" s="42">
        <v>320</v>
      </c>
    </row>
    <row r="67" spans="1:95" customFormat="1" x14ac:dyDescent="0.2">
      <c r="A67" s="209">
        <v>43157</v>
      </c>
      <c r="B67" s="33" t="s">
        <v>91</v>
      </c>
      <c r="C67" s="33" t="s">
        <v>92</v>
      </c>
      <c r="D67" s="43">
        <v>0</v>
      </c>
      <c r="E67" s="43">
        <v>1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7" t="s">
        <v>45</v>
      </c>
      <c r="R67" s="37">
        <v>0</v>
      </c>
      <c r="S67" s="37">
        <v>0</v>
      </c>
      <c r="T67" s="37">
        <v>100000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1000</v>
      </c>
      <c r="AG67" s="57">
        <v>101000</v>
      </c>
      <c r="AH67" s="37">
        <v>0</v>
      </c>
      <c r="AI67" s="37">
        <v>300</v>
      </c>
      <c r="AJ67" s="37">
        <v>0</v>
      </c>
      <c r="AK67" s="37">
        <v>0</v>
      </c>
      <c r="AL67" s="37">
        <v>125</v>
      </c>
      <c r="AM67" s="37">
        <v>0</v>
      </c>
      <c r="AN67" s="37">
        <v>50</v>
      </c>
      <c r="AO67" s="37">
        <v>0</v>
      </c>
      <c r="AP67" s="37">
        <v>15</v>
      </c>
      <c r="AQ67" s="37">
        <v>0</v>
      </c>
      <c r="AR67" s="37">
        <v>0</v>
      </c>
      <c r="AS67" s="57">
        <v>490</v>
      </c>
      <c r="AT67" s="57">
        <v>101490</v>
      </c>
      <c r="AU67" s="45"/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5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  <c r="BQ67" s="37">
        <v>0</v>
      </c>
      <c r="BR67" s="37">
        <v>0</v>
      </c>
      <c r="BS67" s="37">
        <v>0</v>
      </c>
      <c r="BT67" s="37">
        <v>0</v>
      </c>
      <c r="BU67" s="37">
        <v>0</v>
      </c>
      <c r="BV67" s="37">
        <v>0</v>
      </c>
      <c r="BW67" s="57">
        <v>0</v>
      </c>
      <c r="BX67" s="57">
        <v>0</v>
      </c>
      <c r="BZ67" s="37">
        <v>100000</v>
      </c>
      <c r="CA67" s="37">
        <v>0</v>
      </c>
      <c r="CB67" s="37">
        <v>0</v>
      </c>
      <c r="CC67" s="37">
        <v>0</v>
      </c>
      <c r="CD67" s="37">
        <v>0</v>
      </c>
      <c r="CE67" s="37">
        <v>0</v>
      </c>
      <c r="CF67" s="37">
        <v>1000</v>
      </c>
      <c r="CG67" s="57">
        <v>101000</v>
      </c>
      <c r="CH67" s="37">
        <v>300</v>
      </c>
      <c r="CI67" s="37">
        <v>125</v>
      </c>
      <c r="CJ67" s="37">
        <v>50</v>
      </c>
      <c r="CK67" s="37">
        <v>15</v>
      </c>
      <c r="CL67" s="37">
        <v>0</v>
      </c>
      <c r="CM67" s="37">
        <v>0</v>
      </c>
      <c r="CN67" s="57">
        <v>490</v>
      </c>
      <c r="CO67" s="57">
        <v>101490</v>
      </c>
      <c r="CP67" s="58"/>
      <c r="CQ67" s="42">
        <v>101490</v>
      </c>
    </row>
    <row r="68" spans="1:95" customFormat="1" x14ac:dyDescent="0.2">
      <c r="A68" s="209">
        <v>43158</v>
      </c>
      <c r="B68" s="33" t="s">
        <v>55</v>
      </c>
      <c r="C68" s="33" t="s">
        <v>56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7">
        <v>0</v>
      </c>
      <c r="R68" s="37">
        <v>0</v>
      </c>
      <c r="S68" s="37">
        <v>0</v>
      </c>
      <c r="T68" s="37">
        <v>19.7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151.97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8">
        <v>171.67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8">
        <v>0</v>
      </c>
      <c r="AT68" s="38">
        <v>171.67</v>
      </c>
      <c r="AU68" s="40"/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8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8">
        <v>0</v>
      </c>
      <c r="BX68" s="38">
        <v>0</v>
      </c>
      <c r="BZ68" s="37">
        <v>19.7</v>
      </c>
      <c r="CA68" s="37">
        <v>0</v>
      </c>
      <c r="CB68" s="37">
        <v>0</v>
      </c>
      <c r="CC68" s="37">
        <v>151.97</v>
      </c>
      <c r="CD68" s="37">
        <v>0</v>
      </c>
      <c r="CE68" s="37">
        <v>0</v>
      </c>
      <c r="CF68" s="37">
        <v>0</v>
      </c>
      <c r="CG68" s="38">
        <v>171.67</v>
      </c>
      <c r="CH68" s="37">
        <v>0</v>
      </c>
      <c r="CI68" s="37">
        <v>0</v>
      </c>
      <c r="CJ68" s="37">
        <v>0</v>
      </c>
      <c r="CK68" s="37">
        <v>0</v>
      </c>
      <c r="CL68" s="37">
        <v>0</v>
      </c>
      <c r="CM68" s="37">
        <v>0</v>
      </c>
      <c r="CN68" s="38">
        <v>0</v>
      </c>
      <c r="CO68" s="38">
        <v>171.67</v>
      </c>
      <c r="CP68" s="41"/>
      <c r="CQ68" s="42">
        <v>171.67</v>
      </c>
    </row>
    <row r="69" spans="1:95" customFormat="1" x14ac:dyDescent="0.2">
      <c r="A69" s="209">
        <v>43158</v>
      </c>
      <c r="B69" s="33" t="s">
        <v>68</v>
      </c>
      <c r="C69" s="33" t="s">
        <v>93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1</v>
      </c>
      <c r="O69" s="43">
        <v>0</v>
      </c>
      <c r="P69" s="47" t="s">
        <v>45</v>
      </c>
      <c r="R69" s="37">
        <v>0</v>
      </c>
      <c r="S69" s="37">
        <v>0</v>
      </c>
      <c r="T69" s="37">
        <v>200000</v>
      </c>
      <c r="U69" s="37">
        <v>0</v>
      </c>
      <c r="V69" s="37">
        <v>200000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30000</v>
      </c>
      <c r="AC69" s="37">
        <v>0</v>
      </c>
      <c r="AD69" s="37">
        <v>28000</v>
      </c>
      <c r="AE69" s="37">
        <v>0</v>
      </c>
      <c r="AF69" s="37">
        <v>2000</v>
      </c>
      <c r="AG69" s="57">
        <v>460000</v>
      </c>
      <c r="AH69" s="37">
        <v>0</v>
      </c>
      <c r="AI69" s="37">
        <v>500</v>
      </c>
      <c r="AJ69" s="37">
        <v>0</v>
      </c>
      <c r="AK69" s="37">
        <v>0</v>
      </c>
      <c r="AL69" s="37">
        <v>1750</v>
      </c>
      <c r="AM69" s="37">
        <v>400</v>
      </c>
      <c r="AN69" s="37">
        <v>0</v>
      </c>
      <c r="AO69" s="37">
        <v>0</v>
      </c>
      <c r="AP69" s="37">
        <v>400</v>
      </c>
      <c r="AQ69" s="37">
        <v>0</v>
      </c>
      <c r="AR69" s="37">
        <v>0</v>
      </c>
      <c r="AS69" s="57">
        <v>3050</v>
      </c>
      <c r="AT69" s="57">
        <v>463050</v>
      </c>
      <c r="AU69" s="45"/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5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57">
        <v>0</v>
      </c>
      <c r="BX69" s="57">
        <v>0</v>
      </c>
      <c r="BZ69" s="37">
        <v>200000</v>
      </c>
      <c r="CA69" s="37">
        <v>200000</v>
      </c>
      <c r="CB69" s="37">
        <v>0</v>
      </c>
      <c r="CC69" s="37">
        <v>0</v>
      </c>
      <c r="CD69" s="37">
        <v>30000</v>
      </c>
      <c r="CE69" s="37">
        <v>28000</v>
      </c>
      <c r="CF69" s="37">
        <v>2000</v>
      </c>
      <c r="CG69" s="57">
        <v>460000</v>
      </c>
      <c r="CH69" s="37">
        <v>500</v>
      </c>
      <c r="CI69" s="37">
        <v>1750</v>
      </c>
      <c r="CJ69" s="37">
        <v>400</v>
      </c>
      <c r="CK69" s="37">
        <v>400</v>
      </c>
      <c r="CL69" s="37">
        <v>0</v>
      </c>
      <c r="CM69" s="37">
        <v>0</v>
      </c>
      <c r="CN69" s="57">
        <v>3050</v>
      </c>
      <c r="CO69" s="57">
        <v>463050</v>
      </c>
      <c r="CP69" s="58"/>
      <c r="CQ69" s="42">
        <v>463050</v>
      </c>
    </row>
    <row r="70" spans="1:95" customFormat="1" x14ac:dyDescent="0.2">
      <c r="A70" s="209">
        <v>43159</v>
      </c>
      <c r="B70" s="33" t="s">
        <v>53</v>
      </c>
      <c r="C70" s="33" t="s">
        <v>84</v>
      </c>
      <c r="D70" s="43">
        <v>0</v>
      </c>
      <c r="E70" s="43">
        <v>1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7" t="s">
        <v>45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57">
        <v>0</v>
      </c>
      <c r="AH70" s="37">
        <v>0</v>
      </c>
      <c r="AI70" s="37">
        <v>2500</v>
      </c>
      <c r="AJ70" s="37">
        <v>0</v>
      </c>
      <c r="AK70" s="37">
        <v>0</v>
      </c>
      <c r="AL70" s="37">
        <v>1250</v>
      </c>
      <c r="AM70" s="37">
        <v>0</v>
      </c>
      <c r="AN70" s="37">
        <v>0</v>
      </c>
      <c r="AO70" s="37">
        <v>0</v>
      </c>
      <c r="AP70" s="37">
        <v>250</v>
      </c>
      <c r="AQ70" s="37">
        <v>0</v>
      </c>
      <c r="AR70" s="37">
        <v>0</v>
      </c>
      <c r="AS70" s="57">
        <v>4000</v>
      </c>
      <c r="AT70" s="57">
        <v>4000</v>
      </c>
      <c r="AU70" s="45"/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57">
        <v>0</v>
      </c>
      <c r="BL70" s="37">
        <v>0</v>
      </c>
      <c r="BM70" s="37">
        <v>0</v>
      </c>
      <c r="BN70" s="37">
        <v>0</v>
      </c>
      <c r="BO70" s="37">
        <v>0</v>
      </c>
      <c r="BP70" s="37">
        <v>0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37">
        <v>0</v>
      </c>
      <c r="BW70" s="57">
        <v>0</v>
      </c>
      <c r="BX70" s="57">
        <v>0</v>
      </c>
      <c r="BZ70" s="37">
        <v>0</v>
      </c>
      <c r="CA70" s="37">
        <v>0</v>
      </c>
      <c r="CB70" s="37">
        <v>0</v>
      </c>
      <c r="CC70" s="37">
        <v>0</v>
      </c>
      <c r="CD70" s="37">
        <v>0</v>
      </c>
      <c r="CE70" s="37">
        <v>0</v>
      </c>
      <c r="CF70" s="37">
        <v>0</v>
      </c>
      <c r="CG70" s="57">
        <v>0</v>
      </c>
      <c r="CH70" s="37">
        <v>2500</v>
      </c>
      <c r="CI70" s="37">
        <v>1250</v>
      </c>
      <c r="CJ70" s="37">
        <v>0</v>
      </c>
      <c r="CK70" s="37">
        <v>250</v>
      </c>
      <c r="CL70" s="37">
        <v>0</v>
      </c>
      <c r="CM70" s="37">
        <v>0</v>
      </c>
      <c r="CN70" s="57">
        <v>4000</v>
      </c>
      <c r="CO70" s="57">
        <v>4000</v>
      </c>
      <c r="CP70" s="58"/>
      <c r="CQ70" s="42">
        <v>4000</v>
      </c>
    </row>
    <row r="71" spans="1:95" customFormat="1" x14ac:dyDescent="0.2">
      <c r="A71" s="209">
        <v>43164</v>
      </c>
      <c r="B71" s="33" t="s">
        <v>55</v>
      </c>
      <c r="C71" s="33" t="s">
        <v>56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200</v>
      </c>
      <c r="AC71" s="37">
        <v>0</v>
      </c>
      <c r="AD71" s="37">
        <v>80</v>
      </c>
      <c r="AE71" s="37">
        <v>0</v>
      </c>
      <c r="AF71" s="37">
        <v>0</v>
      </c>
      <c r="AG71" s="57">
        <v>280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57">
        <v>0</v>
      </c>
      <c r="AT71" s="57">
        <v>280</v>
      </c>
      <c r="AU71" s="45"/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37">
        <v>0</v>
      </c>
      <c r="BD71" s="37">
        <v>0</v>
      </c>
      <c r="BE71" s="37">
        <v>0</v>
      </c>
      <c r="BF71" s="37">
        <v>0</v>
      </c>
      <c r="BG71" s="37">
        <v>0</v>
      </c>
      <c r="BH71" s="37">
        <v>0</v>
      </c>
      <c r="BI71" s="37">
        <v>0</v>
      </c>
      <c r="BJ71" s="37">
        <v>0</v>
      </c>
      <c r="BK71" s="57">
        <v>0</v>
      </c>
      <c r="BL71" s="37">
        <v>0</v>
      </c>
      <c r="BM71" s="37">
        <v>0</v>
      </c>
      <c r="BN71" s="37">
        <v>0</v>
      </c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37">
        <v>0</v>
      </c>
      <c r="BW71" s="57">
        <v>0</v>
      </c>
      <c r="BX71" s="57">
        <v>0</v>
      </c>
      <c r="BZ71" s="37">
        <v>0</v>
      </c>
      <c r="CA71" s="37">
        <v>0</v>
      </c>
      <c r="CB71" s="37">
        <v>0</v>
      </c>
      <c r="CC71" s="37">
        <v>0</v>
      </c>
      <c r="CD71" s="37">
        <v>200</v>
      </c>
      <c r="CE71" s="37">
        <v>80</v>
      </c>
      <c r="CF71" s="37">
        <v>0</v>
      </c>
      <c r="CG71" s="57">
        <v>280</v>
      </c>
      <c r="CH71" s="37">
        <v>0</v>
      </c>
      <c r="CI71" s="37">
        <v>0</v>
      </c>
      <c r="CJ71" s="37">
        <v>0</v>
      </c>
      <c r="CK71" s="37">
        <v>0</v>
      </c>
      <c r="CL71" s="37">
        <v>0</v>
      </c>
      <c r="CM71" s="37">
        <v>0</v>
      </c>
      <c r="CN71" s="57">
        <v>0</v>
      </c>
      <c r="CO71" s="57">
        <v>280</v>
      </c>
      <c r="CP71" s="58"/>
      <c r="CQ71" s="42">
        <v>280</v>
      </c>
    </row>
    <row r="72" spans="1:95" customFormat="1" x14ac:dyDescent="0.2">
      <c r="A72" s="209">
        <v>43164</v>
      </c>
      <c r="B72" s="33" t="s">
        <v>53</v>
      </c>
      <c r="C72" s="33" t="s">
        <v>54</v>
      </c>
      <c r="D72" s="43">
        <v>1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7" t="s">
        <v>45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200</v>
      </c>
      <c r="AA72" s="37">
        <v>0</v>
      </c>
      <c r="AB72" s="37">
        <v>30200</v>
      </c>
      <c r="AC72" s="37">
        <v>0</v>
      </c>
      <c r="AD72" s="37">
        <v>38080</v>
      </c>
      <c r="AE72" s="37">
        <v>0</v>
      </c>
      <c r="AF72" s="37">
        <v>40</v>
      </c>
      <c r="AG72" s="57">
        <v>68520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57">
        <v>0</v>
      </c>
      <c r="AT72" s="57">
        <v>68520</v>
      </c>
      <c r="AU72" s="45"/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57">
        <v>0</v>
      </c>
      <c r="BL72" s="37">
        <v>0</v>
      </c>
      <c r="BM72" s="37">
        <v>0</v>
      </c>
      <c r="BN72" s="37">
        <v>0</v>
      </c>
      <c r="BO72" s="37">
        <v>0</v>
      </c>
      <c r="BP72" s="37">
        <v>0</v>
      </c>
      <c r="BQ72" s="37">
        <v>0</v>
      </c>
      <c r="BR72" s="37">
        <v>0</v>
      </c>
      <c r="BS72" s="37">
        <v>0</v>
      </c>
      <c r="BT72" s="37">
        <v>0</v>
      </c>
      <c r="BU72" s="37">
        <v>0</v>
      </c>
      <c r="BV72" s="37">
        <v>0</v>
      </c>
      <c r="BW72" s="57">
        <v>0</v>
      </c>
      <c r="BX72" s="57">
        <v>0</v>
      </c>
      <c r="BZ72" s="37">
        <v>0</v>
      </c>
      <c r="CA72" s="37">
        <v>0</v>
      </c>
      <c r="CB72" s="37">
        <v>0</v>
      </c>
      <c r="CC72" s="37">
        <v>200</v>
      </c>
      <c r="CD72" s="37">
        <v>30200</v>
      </c>
      <c r="CE72" s="37">
        <v>38080</v>
      </c>
      <c r="CF72" s="37">
        <v>40</v>
      </c>
      <c r="CG72" s="57">
        <v>68520</v>
      </c>
      <c r="CH72" s="37">
        <v>0</v>
      </c>
      <c r="CI72" s="37">
        <v>0</v>
      </c>
      <c r="CJ72" s="37">
        <v>0</v>
      </c>
      <c r="CK72" s="37">
        <v>0</v>
      </c>
      <c r="CL72" s="37">
        <v>0</v>
      </c>
      <c r="CM72" s="37">
        <v>0</v>
      </c>
      <c r="CN72" s="57">
        <v>0</v>
      </c>
      <c r="CO72" s="57">
        <v>68520</v>
      </c>
      <c r="CP72" s="58"/>
      <c r="CQ72" s="42">
        <v>68520</v>
      </c>
    </row>
    <row r="73" spans="1:95" customFormat="1" x14ac:dyDescent="0.2">
      <c r="A73" s="209">
        <v>43165</v>
      </c>
      <c r="B73" s="33" t="s">
        <v>55</v>
      </c>
      <c r="C73" s="33" t="s">
        <v>56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200</v>
      </c>
      <c r="AC73" s="37">
        <v>0</v>
      </c>
      <c r="AD73" s="37">
        <v>80</v>
      </c>
      <c r="AE73" s="37">
        <v>0</v>
      </c>
      <c r="AF73" s="37">
        <v>0</v>
      </c>
      <c r="AG73" s="57">
        <v>280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0</v>
      </c>
      <c r="AR73" s="37">
        <v>0</v>
      </c>
      <c r="AS73" s="57">
        <v>0</v>
      </c>
      <c r="AT73" s="57">
        <v>280</v>
      </c>
      <c r="AU73" s="45"/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37">
        <v>0</v>
      </c>
      <c r="BD73" s="37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0</v>
      </c>
      <c r="BK73" s="5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0</v>
      </c>
      <c r="BQ73" s="37">
        <v>0</v>
      </c>
      <c r="BR73" s="37">
        <v>0</v>
      </c>
      <c r="BS73" s="37">
        <v>0</v>
      </c>
      <c r="BT73" s="37">
        <v>0</v>
      </c>
      <c r="BU73" s="37">
        <v>0</v>
      </c>
      <c r="BV73" s="37">
        <v>0</v>
      </c>
      <c r="BW73" s="57">
        <v>0</v>
      </c>
      <c r="BX73" s="57">
        <v>0</v>
      </c>
      <c r="BZ73" s="37">
        <v>0</v>
      </c>
      <c r="CA73" s="37">
        <v>0</v>
      </c>
      <c r="CB73" s="37">
        <v>0</v>
      </c>
      <c r="CC73" s="37">
        <v>0</v>
      </c>
      <c r="CD73" s="37">
        <v>200</v>
      </c>
      <c r="CE73" s="37">
        <v>80</v>
      </c>
      <c r="CF73" s="37">
        <v>0</v>
      </c>
      <c r="CG73" s="57">
        <v>280</v>
      </c>
      <c r="CH73" s="37">
        <v>0</v>
      </c>
      <c r="CI73" s="37">
        <v>0</v>
      </c>
      <c r="CJ73" s="37">
        <v>0</v>
      </c>
      <c r="CK73" s="37">
        <v>0</v>
      </c>
      <c r="CL73" s="37">
        <v>0</v>
      </c>
      <c r="CM73" s="37">
        <v>0</v>
      </c>
      <c r="CN73" s="57">
        <v>0</v>
      </c>
      <c r="CO73" s="57">
        <v>280</v>
      </c>
      <c r="CP73" s="58"/>
      <c r="CQ73" s="42">
        <v>280</v>
      </c>
    </row>
    <row r="74" spans="1:95" customFormat="1" x14ac:dyDescent="0.2">
      <c r="A74" s="209">
        <v>43165</v>
      </c>
      <c r="B74" s="33" t="s">
        <v>53</v>
      </c>
      <c r="C74" s="33" t="s">
        <v>84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57">
        <v>0</v>
      </c>
      <c r="AH74" s="37">
        <v>3000</v>
      </c>
      <c r="AI74" s="37">
        <v>750</v>
      </c>
      <c r="AJ74" s="37">
        <v>0</v>
      </c>
      <c r="AK74" s="37">
        <v>0</v>
      </c>
      <c r="AL74" s="37">
        <v>2500</v>
      </c>
      <c r="AM74" s="37">
        <v>758</v>
      </c>
      <c r="AN74" s="37">
        <v>0</v>
      </c>
      <c r="AO74" s="37">
        <v>0</v>
      </c>
      <c r="AP74" s="37">
        <v>271</v>
      </c>
      <c r="AQ74" s="37">
        <v>0</v>
      </c>
      <c r="AR74" s="37">
        <v>0</v>
      </c>
      <c r="AS74" s="57">
        <v>7279</v>
      </c>
      <c r="AT74" s="57">
        <v>7279</v>
      </c>
      <c r="AU74" s="45"/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37">
        <v>0</v>
      </c>
      <c r="BD74" s="37">
        <v>0</v>
      </c>
      <c r="BE74" s="37">
        <v>0</v>
      </c>
      <c r="BF74" s="37">
        <v>0</v>
      </c>
      <c r="BG74" s="37">
        <v>0</v>
      </c>
      <c r="BH74" s="37">
        <v>0</v>
      </c>
      <c r="BI74" s="37">
        <v>0</v>
      </c>
      <c r="BJ74" s="37">
        <v>0</v>
      </c>
      <c r="BK74" s="57">
        <v>0</v>
      </c>
      <c r="BL74" s="37">
        <v>0</v>
      </c>
      <c r="BM74" s="37">
        <v>0</v>
      </c>
      <c r="BN74" s="37">
        <v>0</v>
      </c>
      <c r="BO74" s="37">
        <v>0</v>
      </c>
      <c r="BP74" s="37">
        <v>0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57">
        <v>0</v>
      </c>
      <c r="BX74" s="57">
        <v>0</v>
      </c>
      <c r="BZ74" s="37">
        <v>0</v>
      </c>
      <c r="CA74" s="37">
        <v>0</v>
      </c>
      <c r="CB74" s="37">
        <v>0</v>
      </c>
      <c r="CC74" s="37">
        <v>0</v>
      </c>
      <c r="CD74" s="37">
        <v>0</v>
      </c>
      <c r="CE74" s="37">
        <v>0</v>
      </c>
      <c r="CF74" s="37">
        <v>0</v>
      </c>
      <c r="CG74" s="57">
        <v>0</v>
      </c>
      <c r="CH74" s="37">
        <v>3750</v>
      </c>
      <c r="CI74" s="37">
        <v>2500</v>
      </c>
      <c r="CJ74" s="37">
        <v>758</v>
      </c>
      <c r="CK74" s="37">
        <v>271</v>
      </c>
      <c r="CL74" s="37">
        <v>0</v>
      </c>
      <c r="CM74" s="37">
        <v>0</v>
      </c>
      <c r="CN74" s="57">
        <v>7279</v>
      </c>
      <c r="CO74" s="57">
        <v>7279</v>
      </c>
      <c r="CP74" s="58"/>
      <c r="CQ74" s="42">
        <v>7279</v>
      </c>
    </row>
    <row r="75" spans="1:95" customFormat="1" x14ac:dyDescent="0.2">
      <c r="A75" s="209">
        <v>43165</v>
      </c>
      <c r="B75" s="33" t="s">
        <v>81</v>
      </c>
      <c r="C75" s="33" t="s">
        <v>94</v>
      </c>
      <c r="D75" s="43">
        <v>0</v>
      </c>
      <c r="E75" s="43">
        <v>1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1</v>
      </c>
      <c r="L75" s="43">
        <v>0</v>
      </c>
      <c r="M75" s="43">
        <v>0</v>
      </c>
      <c r="N75" s="43">
        <v>0</v>
      </c>
      <c r="O75" s="43">
        <v>0</v>
      </c>
      <c r="P75" s="47" t="s">
        <v>45</v>
      </c>
      <c r="R75" s="37">
        <v>0</v>
      </c>
      <c r="S75" s="37">
        <v>0</v>
      </c>
      <c r="T75" s="37">
        <v>400000</v>
      </c>
      <c r="U75" s="37">
        <v>0</v>
      </c>
      <c r="V75" s="37">
        <v>400000</v>
      </c>
      <c r="W75" s="37">
        <v>0</v>
      </c>
      <c r="X75" s="37">
        <v>0</v>
      </c>
      <c r="Y75" s="37">
        <v>0</v>
      </c>
      <c r="Z75" s="37">
        <v>20000</v>
      </c>
      <c r="AA75" s="37">
        <v>0</v>
      </c>
      <c r="AB75" s="37">
        <v>20000</v>
      </c>
      <c r="AC75" s="37">
        <v>0</v>
      </c>
      <c r="AD75" s="37">
        <v>12000</v>
      </c>
      <c r="AE75" s="37">
        <v>0</v>
      </c>
      <c r="AF75" s="37">
        <v>2000</v>
      </c>
      <c r="AG75" s="57">
        <v>854000</v>
      </c>
      <c r="AH75" s="37">
        <v>0</v>
      </c>
      <c r="AI75" s="37">
        <v>2000</v>
      </c>
      <c r="AJ75" s="37">
        <v>0</v>
      </c>
      <c r="AK75" s="37">
        <v>0</v>
      </c>
      <c r="AL75" s="37">
        <v>750</v>
      </c>
      <c r="AM75" s="37">
        <v>0</v>
      </c>
      <c r="AN75" s="37">
        <v>0</v>
      </c>
      <c r="AO75" s="37">
        <v>0</v>
      </c>
      <c r="AP75" s="37">
        <v>200</v>
      </c>
      <c r="AQ75" s="37">
        <v>0</v>
      </c>
      <c r="AR75" s="37">
        <v>0</v>
      </c>
      <c r="AS75" s="57">
        <v>2950</v>
      </c>
      <c r="AT75" s="57">
        <v>856950</v>
      </c>
      <c r="AU75" s="45"/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0</v>
      </c>
      <c r="BH75" s="37">
        <v>0</v>
      </c>
      <c r="BI75" s="37">
        <v>0</v>
      </c>
      <c r="BJ75" s="37">
        <v>0</v>
      </c>
      <c r="BK75" s="57">
        <v>0</v>
      </c>
      <c r="BL75" s="37">
        <v>0</v>
      </c>
      <c r="BM75" s="37">
        <v>0</v>
      </c>
      <c r="BN75" s="37">
        <v>0</v>
      </c>
      <c r="BO75" s="37">
        <v>0</v>
      </c>
      <c r="BP75" s="37">
        <v>0</v>
      </c>
      <c r="BQ75" s="37">
        <v>0</v>
      </c>
      <c r="BR75" s="37">
        <v>0</v>
      </c>
      <c r="BS75" s="37">
        <v>0</v>
      </c>
      <c r="BT75" s="37">
        <v>0</v>
      </c>
      <c r="BU75" s="37">
        <v>0</v>
      </c>
      <c r="BV75" s="37">
        <v>0</v>
      </c>
      <c r="BW75" s="57">
        <v>0</v>
      </c>
      <c r="BX75" s="57">
        <v>0</v>
      </c>
      <c r="BZ75" s="37">
        <v>400000</v>
      </c>
      <c r="CA75" s="37">
        <v>400000</v>
      </c>
      <c r="CB75" s="37">
        <v>0</v>
      </c>
      <c r="CC75" s="37">
        <v>20000</v>
      </c>
      <c r="CD75" s="37">
        <v>20000</v>
      </c>
      <c r="CE75" s="37">
        <v>12000</v>
      </c>
      <c r="CF75" s="37">
        <v>2000</v>
      </c>
      <c r="CG75" s="57">
        <v>854000</v>
      </c>
      <c r="CH75" s="37">
        <v>2000</v>
      </c>
      <c r="CI75" s="37">
        <v>750</v>
      </c>
      <c r="CJ75" s="37">
        <v>0</v>
      </c>
      <c r="CK75" s="37">
        <v>200</v>
      </c>
      <c r="CL75" s="37">
        <v>0</v>
      </c>
      <c r="CM75" s="37">
        <v>0</v>
      </c>
      <c r="CN75" s="57">
        <v>2950</v>
      </c>
      <c r="CO75" s="57">
        <v>856950</v>
      </c>
      <c r="CP75" s="58"/>
      <c r="CQ75" s="42">
        <v>856950</v>
      </c>
    </row>
    <row r="76" spans="1:95" customFormat="1" x14ac:dyDescent="0.2">
      <c r="A76" s="209">
        <v>43167</v>
      </c>
      <c r="B76" s="33" t="s">
        <v>53</v>
      </c>
      <c r="C76" s="33" t="s">
        <v>54</v>
      </c>
      <c r="D76" s="43">
        <v>1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7" t="s">
        <v>45</v>
      </c>
      <c r="R76" s="37">
        <v>0</v>
      </c>
      <c r="S76" s="37">
        <v>0</v>
      </c>
      <c r="T76" s="37">
        <v>0</v>
      </c>
      <c r="U76" s="37">
        <v>0</v>
      </c>
      <c r="V76" s="37">
        <v>600000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57">
        <v>600000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57">
        <v>0</v>
      </c>
      <c r="AT76" s="57">
        <v>600000</v>
      </c>
      <c r="AU76" s="45"/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5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57">
        <v>0</v>
      </c>
      <c r="BX76" s="57">
        <v>0</v>
      </c>
      <c r="BZ76" s="37">
        <v>0</v>
      </c>
      <c r="CA76" s="37">
        <v>600000</v>
      </c>
      <c r="CB76" s="37">
        <v>0</v>
      </c>
      <c r="CC76" s="37">
        <v>0</v>
      </c>
      <c r="CD76" s="37">
        <v>0</v>
      </c>
      <c r="CE76" s="37">
        <v>0</v>
      </c>
      <c r="CF76" s="37">
        <v>0</v>
      </c>
      <c r="CG76" s="57">
        <v>600000</v>
      </c>
      <c r="CH76" s="37">
        <v>0</v>
      </c>
      <c r="CI76" s="37">
        <v>0</v>
      </c>
      <c r="CJ76" s="37">
        <v>0</v>
      </c>
      <c r="CK76" s="37">
        <v>0</v>
      </c>
      <c r="CL76" s="37">
        <v>0</v>
      </c>
      <c r="CM76" s="37">
        <v>0</v>
      </c>
      <c r="CN76" s="57">
        <v>0</v>
      </c>
      <c r="CO76" s="57">
        <v>600000</v>
      </c>
      <c r="CP76" s="58"/>
      <c r="CQ76" s="42">
        <v>600000</v>
      </c>
    </row>
    <row r="77" spans="1:95" customFormat="1" x14ac:dyDescent="0.2">
      <c r="A77" s="209">
        <v>43168</v>
      </c>
      <c r="B77" s="33" t="s">
        <v>70</v>
      </c>
      <c r="C77" s="33" t="s">
        <v>95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1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7" t="s">
        <v>45</v>
      </c>
      <c r="R77" s="37">
        <v>0</v>
      </c>
      <c r="S77" s="37">
        <v>0</v>
      </c>
      <c r="T77" s="37">
        <v>400000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60000</v>
      </c>
      <c r="AC77" s="37">
        <v>0</v>
      </c>
      <c r="AD77" s="37">
        <v>20000</v>
      </c>
      <c r="AE77" s="37">
        <v>0</v>
      </c>
      <c r="AF77" s="37">
        <v>5000</v>
      </c>
      <c r="AG77" s="57">
        <v>485000</v>
      </c>
      <c r="AH77" s="37">
        <v>0</v>
      </c>
      <c r="AI77" s="37">
        <v>3750</v>
      </c>
      <c r="AJ77" s="37">
        <v>0</v>
      </c>
      <c r="AK77" s="37">
        <v>0</v>
      </c>
      <c r="AL77" s="37">
        <v>2500</v>
      </c>
      <c r="AM77" s="37">
        <v>0</v>
      </c>
      <c r="AN77" s="37">
        <v>0</v>
      </c>
      <c r="AO77" s="37">
        <v>0</v>
      </c>
      <c r="AP77" s="37">
        <v>0</v>
      </c>
      <c r="AQ77" s="37">
        <v>0</v>
      </c>
      <c r="AR77" s="37">
        <v>0</v>
      </c>
      <c r="AS77" s="57">
        <v>6250</v>
      </c>
      <c r="AT77" s="57">
        <v>491250</v>
      </c>
      <c r="AU77" s="45"/>
      <c r="AV77" s="37">
        <v>0</v>
      </c>
      <c r="AW77" s="37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37">
        <v>0</v>
      </c>
      <c r="BD77" s="37">
        <v>0</v>
      </c>
      <c r="BE77" s="37">
        <v>0</v>
      </c>
      <c r="BF77" s="37">
        <v>0</v>
      </c>
      <c r="BG77" s="37">
        <v>0</v>
      </c>
      <c r="BH77" s="37">
        <v>0</v>
      </c>
      <c r="BI77" s="37">
        <v>0</v>
      </c>
      <c r="BJ77" s="37">
        <v>0</v>
      </c>
      <c r="BK77" s="57">
        <v>0</v>
      </c>
      <c r="BL77" s="37">
        <v>0</v>
      </c>
      <c r="BM77" s="37">
        <v>0</v>
      </c>
      <c r="BN77" s="37">
        <v>0</v>
      </c>
      <c r="BO77" s="37">
        <v>0</v>
      </c>
      <c r="BP77" s="37">
        <v>0</v>
      </c>
      <c r="BQ77" s="37">
        <v>0</v>
      </c>
      <c r="BR77" s="37">
        <v>0</v>
      </c>
      <c r="BS77" s="37">
        <v>0</v>
      </c>
      <c r="BT77" s="37">
        <v>0</v>
      </c>
      <c r="BU77" s="37">
        <v>0</v>
      </c>
      <c r="BV77" s="37">
        <v>0</v>
      </c>
      <c r="BW77" s="57">
        <v>0</v>
      </c>
      <c r="BX77" s="57">
        <v>0</v>
      </c>
      <c r="BZ77" s="37">
        <v>400000</v>
      </c>
      <c r="CA77" s="37">
        <v>0</v>
      </c>
      <c r="CB77" s="37">
        <v>0</v>
      </c>
      <c r="CC77" s="37">
        <v>0</v>
      </c>
      <c r="CD77" s="37">
        <v>60000</v>
      </c>
      <c r="CE77" s="37">
        <v>20000</v>
      </c>
      <c r="CF77" s="37">
        <v>5000</v>
      </c>
      <c r="CG77" s="57">
        <v>485000</v>
      </c>
      <c r="CH77" s="37">
        <v>3750</v>
      </c>
      <c r="CI77" s="37">
        <v>2500</v>
      </c>
      <c r="CJ77" s="37">
        <v>0</v>
      </c>
      <c r="CK77" s="37">
        <v>0</v>
      </c>
      <c r="CL77" s="37">
        <v>0</v>
      </c>
      <c r="CM77" s="37">
        <v>0</v>
      </c>
      <c r="CN77" s="57">
        <v>6250</v>
      </c>
      <c r="CO77" s="57">
        <v>491250</v>
      </c>
      <c r="CP77" s="58"/>
      <c r="CQ77" s="42">
        <v>491250</v>
      </c>
    </row>
    <row r="78" spans="1:95" customFormat="1" x14ac:dyDescent="0.2">
      <c r="A78" s="209">
        <v>43168</v>
      </c>
      <c r="B78" s="33" t="s">
        <v>77</v>
      </c>
      <c r="C78" s="33" t="s">
        <v>82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1</v>
      </c>
      <c r="L78" s="43">
        <v>0</v>
      </c>
      <c r="M78" s="43">
        <v>0</v>
      </c>
      <c r="N78" s="43">
        <v>0</v>
      </c>
      <c r="O78" s="43">
        <v>0</v>
      </c>
      <c r="P78" s="47" t="s">
        <v>45</v>
      </c>
      <c r="R78" s="37">
        <v>0</v>
      </c>
      <c r="S78" s="37">
        <v>0</v>
      </c>
      <c r="T78" s="37">
        <v>400000</v>
      </c>
      <c r="U78" s="37">
        <v>0</v>
      </c>
      <c r="V78" s="37">
        <v>500000</v>
      </c>
      <c r="W78" s="37">
        <v>120000</v>
      </c>
      <c r="X78" s="37">
        <v>0</v>
      </c>
      <c r="Y78" s="37">
        <v>0</v>
      </c>
      <c r="Z78" s="37">
        <v>40000</v>
      </c>
      <c r="AA78" s="37">
        <v>0</v>
      </c>
      <c r="AB78" s="37">
        <v>30000</v>
      </c>
      <c r="AC78" s="37">
        <v>0</v>
      </c>
      <c r="AD78" s="37">
        <v>28000</v>
      </c>
      <c r="AE78" s="37">
        <v>0</v>
      </c>
      <c r="AF78" s="37">
        <v>4000</v>
      </c>
      <c r="AG78" s="57">
        <v>1122000</v>
      </c>
      <c r="AH78" s="37">
        <v>0</v>
      </c>
      <c r="AI78" s="37">
        <v>1000</v>
      </c>
      <c r="AJ78" s="37">
        <v>0</v>
      </c>
      <c r="AK78" s="37">
        <v>0</v>
      </c>
      <c r="AL78" s="37">
        <v>1000</v>
      </c>
      <c r="AM78" s="37">
        <v>200</v>
      </c>
      <c r="AN78" s="37">
        <v>0</v>
      </c>
      <c r="AO78" s="37">
        <v>0</v>
      </c>
      <c r="AP78" s="37">
        <v>200</v>
      </c>
      <c r="AQ78" s="37">
        <v>0</v>
      </c>
      <c r="AR78" s="37">
        <v>0</v>
      </c>
      <c r="AS78" s="57">
        <v>2400</v>
      </c>
      <c r="AT78" s="57">
        <v>1124400</v>
      </c>
      <c r="AU78" s="45"/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37">
        <v>0</v>
      </c>
      <c r="BD78" s="37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57">
        <v>0</v>
      </c>
      <c r="BL78" s="37">
        <v>0</v>
      </c>
      <c r="BM78" s="37">
        <v>0</v>
      </c>
      <c r="BN78" s="37">
        <v>0</v>
      </c>
      <c r="BO78" s="37">
        <v>0</v>
      </c>
      <c r="BP78" s="37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57">
        <v>0</v>
      </c>
      <c r="BX78" s="57">
        <v>0</v>
      </c>
      <c r="BZ78" s="37">
        <v>400000</v>
      </c>
      <c r="CA78" s="37">
        <v>500000</v>
      </c>
      <c r="CB78" s="37">
        <v>120000</v>
      </c>
      <c r="CC78" s="37">
        <v>40000</v>
      </c>
      <c r="CD78" s="37">
        <v>30000</v>
      </c>
      <c r="CE78" s="37">
        <v>28000</v>
      </c>
      <c r="CF78" s="37">
        <v>4000</v>
      </c>
      <c r="CG78" s="57">
        <v>1122000</v>
      </c>
      <c r="CH78" s="37">
        <v>1000</v>
      </c>
      <c r="CI78" s="37">
        <v>1000</v>
      </c>
      <c r="CJ78" s="37">
        <v>200</v>
      </c>
      <c r="CK78" s="37">
        <v>200</v>
      </c>
      <c r="CL78" s="37">
        <v>0</v>
      </c>
      <c r="CM78" s="37">
        <v>0</v>
      </c>
      <c r="CN78" s="57">
        <v>2400</v>
      </c>
      <c r="CO78" s="57">
        <v>1124400</v>
      </c>
      <c r="CP78" s="58"/>
      <c r="CQ78" s="42">
        <v>1124400</v>
      </c>
    </row>
    <row r="79" spans="1:95" customFormat="1" x14ac:dyDescent="0.2">
      <c r="A79" s="209">
        <v>43168</v>
      </c>
      <c r="B79" s="33" t="s">
        <v>62</v>
      </c>
      <c r="C79" s="33" t="s">
        <v>95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1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7" t="s">
        <v>45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80000</v>
      </c>
      <c r="AA79" s="37">
        <v>0</v>
      </c>
      <c r="AB79" s="37">
        <v>60000</v>
      </c>
      <c r="AC79" s="37">
        <v>0</v>
      </c>
      <c r="AD79" s="37">
        <v>40000</v>
      </c>
      <c r="AE79" s="37">
        <v>0</v>
      </c>
      <c r="AF79" s="37">
        <v>4000</v>
      </c>
      <c r="AG79" s="57">
        <v>184000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57">
        <v>0</v>
      </c>
      <c r="AT79" s="57">
        <v>184000</v>
      </c>
      <c r="AU79" s="45"/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0</v>
      </c>
      <c r="BH79" s="37">
        <v>0</v>
      </c>
      <c r="BI79" s="37">
        <v>0</v>
      </c>
      <c r="BJ79" s="37">
        <v>0</v>
      </c>
      <c r="BK79" s="57">
        <v>0</v>
      </c>
      <c r="BL79" s="37">
        <v>0</v>
      </c>
      <c r="BM79" s="37">
        <v>0</v>
      </c>
      <c r="BN79" s="37">
        <v>0</v>
      </c>
      <c r="BO79" s="37">
        <v>0</v>
      </c>
      <c r="BP79" s="37">
        <v>0</v>
      </c>
      <c r="BQ79" s="37">
        <v>0</v>
      </c>
      <c r="BR79" s="37">
        <v>0</v>
      </c>
      <c r="BS79" s="37">
        <v>0</v>
      </c>
      <c r="BT79" s="37">
        <v>0</v>
      </c>
      <c r="BU79" s="37">
        <v>0</v>
      </c>
      <c r="BV79" s="37">
        <v>0</v>
      </c>
      <c r="BW79" s="57">
        <v>0</v>
      </c>
      <c r="BX79" s="57">
        <v>0</v>
      </c>
      <c r="BZ79" s="37">
        <v>0</v>
      </c>
      <c r="CA79" s="37">
        <v>0</v>
      </c>
      <c r="CB79" s="37">
        <v>0</v>
      </c>
      <c r="CC79" s="37">
        <v>80000</v>
      </c>
      <c r="CD79" s="37">
        <v>60000</v>
      </c>
      <c r="CE79" s="37">
        <v>40000</v>
      </c>
      <c r="CF79" s="37">
        <v>4000</v>
      </c>
      <c r="CG79" s="57">
        <v>184000</v>
      </c>
      <c r="CH79" s="37">
        <v>0</v>
      </c>
      <c r="CI79" s="37">
        <v>0</v>
      </c>
      <c r="CJ79" s="37">
        <v>0</v>
      </c>
      <c r="CK79" s="37">
        <v>0</v>
      </c>
      <c r="CL79" s="37">
        <v>0</v>
      </c>
      <c r="CM79" s="37">
        <v>0</v>
      </c>
      <c r="CN79" s="57">
        <v>0</v>
      </c>
      <c r="CO79" s="57">
        <v>184000</v>
      </c>
      <c r="CP79" s="58"/>
      <c r="CQ79" s="42">
        <v>184000</v>
      </c>
    </row>
    <row r="80" spans="1:95" customFormat="1" x14ac:dyDescent="0.2">
      <c r="A80" s="209">
        <v>43171</v>
      </c>
      <c r="B80" s="33" t="s">
        <v>55</v>
      </c>
      <c r="C80" s="33" t="s">
        <v>56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400</v>
      </c>
      <c r="AC80" s="37">
        <v>0</v>
      </c>
      <c r="AD80" s="37">
        <v>160</v>
      </c>
      <c r="AE80" s="37">
        <v>0</v>
      </c>
      <c r="AF80" s="37">
        <v>0</v>
      </c>
      <c r="AG80" s="57">
        <v>560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57">
        <v>0</v>
      </c>
      <c r="AT80" s="57">
        <v>560</v>
      </c>
      <c r="AU80" s="45"/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57">
        <v>0</v>
      </c>
      <c r="BL80" s="37">
        <v>0</v>
      </c>
      <c r="BM80" s="37">
        <v>0</v>
      </c>
      <c r="BN80" s="37">
        <v>0</v>
      </c>
      <c r="BO80" s="37">
        <v>0</v>
      </c>
      <c r="BP80" s="37">
        <v>0</v>
      </c>
      <c r="BQ80" s="3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57">
        <v>0</v>
      </c>
      <c r="BX80" s="5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400</v>
      </c>
      <c r="CE80" s="37">
        <v>160</v>
      </c>
      <c r="CF80" s="37">
        <v>0</v>
      </c>
      <c r="CG80" s="57">
        <v>560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57">
        <v>0</v>
      </c>
      <c r="CO80" s="57">
        <v>560</v>
      </c>
      <c r="CP80" s="58"/>
      <c r="CQ80" s="42">
        <v>560</v>
      </c>
    </row>
    <row r="81" spans="1:95" customFormat="1" x14ac:dyDescent="0.2">
      <c r="A81" s="209">
        <v>43167</v>
      </c>
      <c r="B81" s="33" t="s">
        <v>53</v>
      </c>
      <c r="C81" s="33" t="s">
        <v>96</v>
      </c>
      <c r="D81" s="43">
        <v>0</v>
      </c>
      <c r="E81" s="43">
        <v>1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7" t="s">
        <v>45</v>
      </c>
      <c r="R81" s="37">
        <v>0</v>
      </c>
      <c r="S81" s="37">
        <v>1200000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57">
        <v>1200000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37">
        <v>0</v>
      </c>
      <c r="AS81" s="57">
        <v>0</v>
      </c>
      <c r="AT81" s="57">
        <v>1200000</v>
      </c>
      <c r="AU81" s="45"/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5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57">
        <v>0</v>
      </c>
      <c r="BX81" s="57">
        <v>0</v>
      </c>
      <c r="BZ81" s="37">
        <v>1200000</v>
      </c>
      <c r="CA81" s="37">
        <v>0</v>
      </c>
      <c r="CB81" s="37">
        <v>0</v>
      </c>
      <c r="CC81" s="37">
        <v>0</v>
      </c>
      <c r="CD81" s="37">
        <v>0</v>
      </c>
      <c r="CE81" s="37">
        <v>0</v>
      </c>
      <c r="CF81" s="37">
        <v>0</v>
      </c>
      <c r="CG81" s="57">
        <v>1200000</v>
      </c>
      <c r="CH81" s="37">
        <v>0</v>
      </c>
      <c r="CI81" s="37">
        <v>0</v>
      </c>
      <c r="CJ81" s="37">
        <v>0</v>
      </c>
      <c r="CK81" s="37">
        <v>0</v>
      </c>
      <c r="CL81" s="37">
        <v>0</v>
      </c>
      <c r="CM81" s="37">
        <v>0</v>
      </c>
      <c r="CN81" s="57">
        <v>0</v>
      </c>
      <c r="CO81" s="57">
        <v>1200000</v>
      </c>
      <c r="CP81" s="58"/>
      <c r="CQ81" s="42">
        <v>1200000</v>
      </c>
    </row>
    <row r="82" spans="1:95" customFormat="1" x14ac:dyDescent="0.2">
      <c r="A82" s="209">
        <v>43172</v>
      </c>
      <c r="B82" s="33" t="s">
        <v>55</v>
      </c>
      <c r="C82" s="33" t="s">
        <v>56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80</v>
      </c>
      <c r="AG82" s="57">
        <v>80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57">
        <v>0</v>
      </c>
      <c r="AT82" s="57">
        <v>80</v>
      </c>
      <c r="AU82" s="45"/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57">
        <v>0</v>
      </c>
      <c r="BL82" s="37">
        <v>0</v>
      </c>
      <c r="BM82" s="37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57">
        <v>0</v>
      </c>
      <c r="BX82" s="5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80</v>
      </c>
      <c r="CG82" s="57">
        <v>80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0</v>
      </c>
      <c r="CN82" s="57">
        <v>0</v>
      </c>
      <c r="CO82" s="57">
        <v>80</v>
      </c>
      <c r="CP82" s="58"/>
      <c r="CQ82" s="42">
        <v>80</v>
      </c>
    </row>
    <row r="83" spans="1:95" customFormat="1" x14ac:dyDescent="0.2">
      <c r="A83" s="209">
        <v>43172</v>
      </c>
      <c r="B83" s="33" t="s">
        <v>85</v>
      </c>
      <c r="C83" s="33" t="s">
        <v>76</v>
      </c>
      <c r="D83" s="43">
        <v>0</v>
      </c>
      <c r="E83" s="43">
        <v>1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7" t="s">
        <v>45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80000</v>
      </c>
      <c r="X83" s="37">
        <v>0</v>
      </c>
      <c r="Y83" s="37">
        <v>0</v>
      </c>
      <c r="Z83" s="37">
        <v>80000</v>
      </c>
      <c r="AA83" s="37">
        <v>0</v>
      </c>
      <c r="AB83" s="37">
        <v>50000</v>
      </c>
      <c r="AC83" s="37">
        <v>0</v>
      </c>
      <c r="AD83" s="37">
        <v>0</v>
      </c>
      <c r="AE83" s="37">
        <v>0</v>
      </c>
      <c r="AF83" s="37">
        <v>3000</v>
      </c>
      <c r="AG83" s="57">
        <v>213000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0</v>
      </c>
      <c r="AR83" s="37">
        <v>0</v>
      </c>
      <c r="AS83" s="57">
        <v>0</v>
      </c>
      <c r="AT83" s="57">
        <v>213000</v>
      </c>
      <c r="AU83" s="45"/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37">
        <v>0</v>
      </c>
      <c r="BD83" s="37">
        <v>0</v>
      </c>
      <c r="BE83" s="37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5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57">
        <v>0</v>
      </c>
      <c r="BX83" s="57">
        <v>0</v>
      </c>
      <c r="BZ83" s="37">
        <v>0</v>
      </c>
      <c r="CA83" s="37">
        <v>0</v>
      </c>
      <c r="CB83" s="37">
        <v>80000</v>
      </c>
      <c r="CC83" s="37">
        <v>80000</v>
      </c>
      <c r="CD83" s="37">
        <v>50000</v>
      </c>
      <c r="CE83" s="37">
        <v>0</v>
      </c>
      <c r="CF83" s="37">
        <v>3000</v>
      </c>
      <c r="CG83" s="57">
        <v>213000</v>
      </c>
      <c r="CH83" s="37">
        <v>0</v>
      </c>
      <c r="CI83" s="37">
        <v>0</v>
      </c>
      <c r="CJ83" s="37">
        <v>0</v>
      </c>
      <c r="CK83" s="37">
        <v>0</v>
      </c>
      <c r="CL83" s="37">
        <v>0</v>
      </c>
      <c r="CM83" s="37">
        <v>0</v>
      </c>
      <c r="CN83" s="57">
        <v>0</v>
      </c>
      <c r="CO83" s="57">
        <v>213000</v>
      </c>
      <c r="CP83" s="58"/>
      <c r="CQ83" s="42">
        <v>213000</v>
      </c>
    </row>
    <row r="84" spans="1:95" customFormat="1" x14ac:dyDescent="0.2">
      <c r="A84" s="209">
        <v>43172</v>
      </c>
      <c r="B84" s="33" t="s">
        <v>53</v>
      </c>
      <c r="C84" s="33" t="s">
        <v>54</v>
      </c>
      <c r="D84" s="43">
        <v>1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7" t="s">
        <v>45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5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3125</v>
      </c>
      <c r="AM84" s="37">
        <v>0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57">
        <v>3125</v>
      </c>
      <c r="AT84" s="57">
        <v>3125</v>
      </c>
      <c r="AU84" s="45"/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0</v>
      </c>
      <c r="BH84" s="37">
        <v>0</v>
      </c>
      <c r="BI84" s="37">
        <v>0</v>
      </c>
      <c r="BJ84" s="37">
        <v>0</v>
      </c>
      <c r="BK84" s="57">
        <v>0</v>
      </c>
      <c r="BL84" s="37">
        <v>0</v>
      </c>
      <c r="BM84" s="37">
        <v>0</v>
      </c>
      <c r="BN84" s="37">
        <v>0</v>
      </c>
      <c r="BO84" s="37">
        <v>0</v>
      </c>
      <c r="BP84" s="37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37">
        <v>0</v>
      </c>
      <c r="BW84" s="57">
        <v>0</v>
      </c>
      <c r="BX84" s="57">
        <v>0</v>
      </c>
      <c r="BZ84" s="37">
        <v>0</v>
      </c>
      <c r="CA84" s="37">
        <v>0</v>
      </c>
      <c r="CB84" s="37">
        <v>0</v>
      </c>
      <c r="CC84" s="37">
        <v>0</v>
      </c>
      <c r="CD84" s="37">
        <v>0</v>
      </c>
      <c r="CE84" s="37">
        <v>0</v>
      </c>
      <c r="CF84" s="37">
        <v>0</v>
      </c>
      <c r="CG84" s="57">
        <v>0</v>
      </c>
      <c r="CH84" s="37">
        <v>0</v>
      </c>
      <c r="CI84" s="37">
        <v>3125</v>
      </c>
      <c r="CJ84" s="37">
        <v>0</v>
      </c>
      <c r="CK84" s="37">
        <v>0</v>
      </c>
      <c r="CL84" s="37">
        <v>0</v>
      </c>
      <c r="CM84" s="37">
        <v>0</v>
      </c>
      <c r="CN84" s="57">
        <v>3125</v>
      </c>
      <c r="CO84" s="57">
        <v>3125</v>
      </c>
      <c r="CP84" s="58"/>
      <c r="CQ84" s="42">
        <v>3125</v>
      </c>
    </row>
    <row r="85" spans="1:95" customFormat="1" x14ac:dyDescent="0.2">
      <c r="A85" s="209">
        <v>43173</v>
      </c>
      <c r="B85" s="33" t="s">
        <v>53</v>
      </c>
      <c r="C85" s="33" t="s">
        <v>54</v>
      </c>
      <c r="D85" s="43">
        <v>1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57">
        <v>0</v>
      </c>
      <c r="AH85" s="37">
        <v>0</v>
      </c>
      <c r="AI85" s="37">
        <v>2500</v>
      </c>
      <c r="AJ85" s="37">
        <v>0</v>
      </c>
      <c r="AK85" s="37">
        <v>0</v>
      </c>
      <c r="AL85" s="37">
        <v>0</v>
      </c>
      <c r="AM85" s="37">
        <v>400</v>
      </c>
      <c r="AN85" s="37">
        <v>50</v>
      </c>
      <c r="AO85" s="37">
        <v>0</v>
      </c>
      <c r="AP85" s="37">
        <v>200</v>
      </c>
      <c r="AQ85" s="37">
        <v>0</v>
      </c>
      <c r="AR85" s="37">
        <v>0</v>
      </c>
      <c r="AS85" s="57">
        <v>3150</v>
      </c>
      <c r="AT85" s="57">
        <v>3150</v>
      </c>
      <c r="AU85" s="45"/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57">
        <v>0</v>
      </c>
      <c r="BL85" s="37">
        <v>0</v>
      </c>
      <c r="BM85" s="37">
        <v>0</v>
      </c>
      <c r="BN85" s="37">
        <v>0</v>
      </c>
      <c r="BO85" s="37">
        <v>0</v>
      </c>
      <c r="BP85" s="37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37">
        <v>0</v>
      </c>
      <c r="BW85" s="57">
        <v>0</v>
      </c>
      <c r="BX85" s="57">
        <v>0</v>
      </c>
      <c r="BZ85" s="37">
        <v>0</v>
      </c>
      <c r="CA85" s="37">
        <v>0</v>
      </c>
      <c r="CB85" s="37">
        <v>0</v>
      </c>
      <c r="CC85" s="37">
        <v>0</v>
      </c>
      <c r="CD85" s="37">
        <v>0</v>
      </c>
      <c r="CE85" s="37">
        <v>0</v>
      </c>
      <c r="CF85" s="37">
        <v>0</v>
      </c>
      <c r="CG85" s="57">
        <v>0</v>
      </c>
      <c r="CH85" s="37">
        <v>2500</v>
      </c>
      <c r="CI85" s="37">
        <v>0</v>
      </c>
      <c r="CJ85" s="37">
        <v>450</v>
      </c>
      <c r="CK85" s="37">
        <v>200</v>
      </c>
      <c r="CL85" s="37">
        <v>0</v>
      </c>
      <c r="CM85" s="37">
        <v>0</v>
      </c>
      <c r="CN85" s="57">
        <v>3150</v>
      </c>
      <c r="CO85" s="57">
        <v>3150</v>
      </c>
      <c r="CP85" s="58"/>
      <c r="CQ85" s="42">
        <v>3150</v>
      </c>
    </row>
    <row r="86" spans="1:95" customFormat="1" x14ac:dyDescent="0.2">
      <c r="A86" s="209">
        <v>43174</v>
      </c>
      <c r="B86" s="33" t="s">
        <v>83</v>
      </c>
      <c r="C86" s="33" t="s">
        <v>76</v>
      </c>
      <c r="D86" s="43">
        <v>0</v>
      </c>
      <c r="E86" s="43">
        <v>1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7" t="s">
        <v>45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40000</v>
      </c>
      <c r="X86" s="37">
        <v>0</v>
      </c>
      <c r="Y86" s="37">
        <v>0</v>
      </c>
      <c r="Z86" s="37">
        <v>60000</v>
      </c>
      <c r="AA86" s="37">
        <v>0</v>
      </c>
      <c r="AB86" s="37">
        <v>30000</v>
      </c>
      <c r="AC86" s="37">
        <v>0</v>
      </c>
      <c r="AD86" s="37">
        <v>4000</v>
      </c>
      <c r="AE86" s="37">
        <v>0</v>
      </c>
      <c r="AF86" s="37">
        <v>0</v>
      </c>
      <c r="AG86" s="57">
        <v>134000</v>
      </c>
      <c r="AH86" s="37">
        <v>0</v>
      </c>
      <c r="AI86" s="37">
        <v>0</v>
      </c>
      <c r="AJ86" s="37">
        <v>0</v>
      </c>
      <c r="AK86" s="37">
        <v>0</v>
      </c>
      <c r="AL86" s="37">
        <v>250</v>
      </c>
      <c r="AM86" s="37">
        <v>0</v>
      </c>
      <c r="AN86" s="37">
        <v>0</v>
      </c>
      <c r="AO86" s="37">
        <v>0</v>
      </c>
      <c r="AP86" s="37">
        <v>100</v>
      </c>
      <c r="AQ86" s="37">
        <v>0</v>
      </c>
      <c r="AR86" s="37">
        <v>0</v>
      </c>
      <c r="AS86" s="57">
        <v>350</v>
      </c>
      <c r="AT86" s="57">
        <v>134350</v>
      </c>
      <c r="AU86" s="45"/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5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57">
        <v>0</v>
      </c>
      <c r="BX86" s="57">
        <v>0</v>
      </c>
      <c r="BZ86" s="37">
        <v>0</v>
      </c>
      <c r="CA86" s="37">
        <v>0</v>
      </c>
      <c r="CB86" s="37">
        <v>40000</v>
      </c>
      <c r="CC86" s="37">
        <v>60000</v>
      </c>
      <c r="CD86" s="37">
        <v>30000</v>
      </c>
      <c r="CE86" s="37">
        <v>4000</v>
      </c>
      <c r="CF86" s="37">
        <v>0</v>
      </c>
      <c r="CG86" s="57">
        <v>134000</v>
      </c>
      <c r="CH86" s="37">
        <v>0</v>
      </c>
      <c r="CI86" s="37">
        <v>250</v>
      </c>
      <c r="CJ86" s="37">
        <v>0</v>
      </c>
      <c r="CK86" s="37">
        <v>100</v>
      </c>
      <c r="CL86" s="37">
        <v>0</v>
      </c>
      <c r="CM86" s="37">
        <v>0</v>
      </c>
      <c r="CN86" s="57">
        <v>350</v>
      </c>
      <c r="CO86" s="57">
        <v>134350</v>
      </c>
      <c r="CP86" s="58"/>
      <c r="CQ86" s="42">
        <v>134350</v>
      </c>
    </row>
    <row r="87" spans="1:95" customFormat="1" x14ac:dyDescent="0.2">
      <c r="A87" s="209">
        <v>43174</v>
      </c>
      <c r="B87" s="33" t="s">
        <v>85</v>
      </c>
      <c r="C87" s="33" t="s">
        <v>76</v>
      </c>
      <c r="D87" s="43">
        <v>0</v>
      </c>
      <c r="E87" s="43">
        <v>1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7" t="s">
        <v>45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60000</v>
      </c>
      <c r="AA87" s="37">
        <v>0</v>
      </c>
      <c r="AB87" s="37">
        <v>40000</v>
      </c>
      <c r="AC87" s="37">
        <v>0</v>
      </c>
      <c r="AD87" s="37">
        <v>22000</v>
      </c>
      <c r="AE87" s="37">
        <v>0</v>
      </c>
      <c r="AF87" s="37">
        <v>0</v>
      </c>
      <c r="AG87" s="57">
        <v>122000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57">
        <v>0</v>
      </c>
      <c r="AT87" s="57">
        <v>122000</v>
      </c>
      <c r="AU87" s="45"/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57">
        <v>0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57">
        <v>0</v>
      </c>
      <c r="BX87" s="57">
        <v>0</v>
      </c>
      <c r="BZ87" s="37">
        <v>0</v>
      </c>
      <c r="CA87" s="37">
        <v>0</v>
      </c>
      <c r="CB87" s="37">
        <v>0</v>
      </c>
      <c r="CC87" s="37">
        <v>60000</v>
      </c>
      <c r="CD87" s="37">
        <v>40000</v>
      </c>
      <c r="CE87" s="37">
        <v>22000</v>
      </c>
      <c r="CF87" s="37">
        <v>0</v>
      </c>
      <c r="CG87" s="57">
        <v>122000</v>
      </c>
      <c r="CH87" s="37">
        <v>0</v>
      </c>
      <c r="CI87" s="37">
        <v>0</v>
      </c>
      <c r="CJ87" s="37">
        <v>0</v>
      </c>
      <c r="CK87" s="37">
        <v>0</v>
      </c>
      <c r="CL87" s="37">
        <v>0</v>
      </c>
      <c r="CM87" s="37">
        <v>0</v>
      </c>
      <c r="CN87" s="57">
        <v>0</v>
      </c>
      <c r="CO87" s="57">
        <v>122000</v>
      </c>
      <c r="CP87" s="58"/>
      <c r="CQ87" s="42">
        <v>122000</v>
      </c>
    </row>
    <row r="88" spans="1:95" customFormat="1" x14ac:dyDescent="0.2">
      <c r="A88" s="209">
        <v>43174</v>
      </c>
      <c r="B88" s="33" t="s">
        <v>64</v>
      </c>
      <c r="C88" s="33" t="s">
        <v>65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3">
        <v>1</v>
      </c>
      <c r="J88" s="43">
        <v>0</v>
      </c>
      <c r="K88" s="43">
        <v>0</v>
      </c>
      <c r="L88" s="43"/>
      <c r="M88" s="43"/>
      <c r="N88" s="43">
        <v>0</v>
      </c>
      <c r="O88" s="43">
        <v>0</v>
      </c>
      <c r="P88" s="47" t="s">
        <v>45</v>
      </c>
      <c r="R88" s="37">
        <v>0</v>
      </c>
      <c r="S88" s="37">
        <v>0</v>
      </c>
      <c r="T88" s="37">
        <v>200000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20000</v>
      </c>
      <c r="AA88" s="37">
        <v>0</v>
      </c>
      <c r="AB88" s="37">
        <v>40000</v>
      </c>
      <c r="AC88" s="37">
        <v>0</v>
      </c>
      <c r="AD88" s="37">
        <v>16000</v>
      </c>
      <c r="AE88" s="37">
        <v>0</v>
      </c>
      <c r="AF88" s="37">
        <v>2000</v>
      </c>
      <c r="AG88" s="57">
        <v>278000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57">
        <v>0</v>
      </c>
      <c r="AT88" s="57">
        <v>278000</v>
      </c>
      <c r="AU88" s="45"/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5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57">
        <v>0</v>
      </c>
      <c r="BX88" s="57">
        <v>0</v>
      </c>
      <c r="BZ88" s="37">
        <v>200000</v>
      </c>
      <c r="CA88" s="37">
        <v>0</v>
      </c>
      <c r="CB88" s="37">
        <v>0</v>
      </c>
      <c r="CC88" s="37">
        <v>20000</v>
      </c>
      <c r="CD88" s="37">
        <v>40000</v>
      </c>
      <c r="CE88" s="37">
        <v>16000</v>
      </c>
      <c r="CF88" s="37">
        <v>2000</v>
      </c>
      <c r="CG88" s="57">
        <v>278000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0</v>
      </c>
      <c r="CN88" s="57">
        <v>0</v>
      </c>
      <c r="CO88" s="57">
        <v>278000</v>
      </c>
      <c r="CP88" s="58"/>
      <c r="CQ88" s="42">
        <v>278000</v>
      </c>
    </row>
    <row r="89" spans="1:95" customFormat="1" x14ac:dyDescent="0.2">
      <c r="A89" s="209">
        <v>43174</v>
      </c>
      <c r="B89" s="33" t="s">
        <v>66</v>
      </c>
      <c r="C89" s="33" t="s">
        <v>65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1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7" t="s">
        <v>45</v>
      </c>
      <c r="R89" s="37">
        <v>0</v>
      </c>
      <c r="S89" s="37">
        <v>0</v>
      </c>
      <c r="T89" s="37">
        <v>400000</v>
      </c>
      <c r="U89" s="37">
        <v>0</v>
      </c>
      <c r="V89" s="37">
        <v>300000</v>
      </c>
      <c r="W89" s="37">
        <v>80000</v>
      </c>
      <c r="X89" s="37">
        <v>0</v>
      </c>
      <c r="Y89" s="37">
        <v>0</v>
      </c>
      <c r="Z89" s="37">
        <v>160000</v>
      </c>
      <c r="AA89" s="37">
        <v>0</v>
      </c>
      <c r="AB89" s="37">
        <v>100000</v>
      </c>
      <c r="AC89" s="37">
        <v>0</v>
      </c>
      <c r="AD89" s="37">
        <v>40000</v>
      </c>
      <c r="AE89" s="37">
        <v>0</v>
      </c>
      <c r="AF89" s="37">
        <v>4000</v>
      </c>
      <c r="AG89" s="57">
        <v>1084000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150</v>
      </c>
      <c r="AQ89" s="37">
        <v>0</v>
      </c>
      <c r="AR89" s="37">
        <v>0</v>
      </c>
      <c r="AS89" s="57">
        <v>150</v>
      </c>
      <c r="AT89" s="57">
        <v>1084150</v>
      </c>
      <c r="AU89" s="45"/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5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57">
        <v>0</v>
      </c>
      <c r="BX89" s="57">
        <v>0</v>
      </c>
      <c r="BZ89" s="37">
        <v>400000</v>
      </c>
      <c r="CA89" s="37">
        <v>300000</v>
      </c>
      <c r="CB89" s="37">
        <v>80000</v>
      </c>
      <c r="CC89" s="37">
        <v>160000</v>
      </c>
      <c r="CD89" s="37">
        <v>100000</v>
      </c>
      <c r="CE89" s="37">
        <v>40000</v>
      </c>
      <c r="CF89" s="37">
        <v>4000</v>
      </c>
      <c r="CG89" s="57">
        <v>1084000</v>
      </c>
      <c r="CH89" s="37">
        <v>0</v>
      </c>
      <c r="CI89" s="37">
        <v>0</v>
      </c>
      <c r="CJ89" s="37">
        <v>0</v>
      </c>
      <c r="CK89" s="37">
        <v>150</v>
      </c>
      <c r="CL89" s="37">
        <v>0</v>
      </c>
      <c r="CM89" s="37">
        <v>0</v>
      </c>
      <c r="CN89" s="57">
        <v>150</v>
      </c>
      <c r="CO89" s="57">
        <v>1084150</v>
      </c>
      <c r="CP89" s="58"/>
      <c r="CQ89" s="42">
        <v>1084150</v>
      </c>
    </row>
    <row r="90" spans="1:95" customFormat="1" x14ac:dyDescent="0.2">
      <c r="A90" s="209">
        <v>43175</v>
      </c>
      <c r="B90" s="33" t="s">
        <v>72</v>
      </c>
      <c r="C90" s="33" t="s">
        <v>80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1</v>
      </c>
      <c r="L90" s="43">
        <v>0</v>
      </c>
      <c r="M90" s="43">
        <v>0</v>
      </c>
      <c r="N90" s="43">
        <v>0</v>
      </c>
      <c r="O90" s="43">
        <v>0</v>
      </c>
      <c r="P90" s="47" t="s">
        <v>45</v>
      </c>
      <c r="R90" s="37">
        <v>0</v>
      </c>
      <c r="S90" s="37">
        <v>0</v>
      </c>
      <c r="T90" s="37">
        <v>200000</v>
      </c>
      <c r="U90" s="37">
        <v>0</v>
      </c>
      <c r="V90" s="37">
        <v>200000</v>
      </c>
      <c r="W90" s="37">
        <v>220000</v>
      </c>
      <c r="X90" s="37">
        <v>0</v>
      </c>
      <c r="Y90" s="37">
        <v>0</v>
      </c>
      <c r="Z90" s="37">
        <v>110000</v>
      </c>
      <c r="AA90" s="37">
        <v>0</v>
      </c>
      <c r="AB90" s="37">
        <v>25000</v>
      </c>
      <c r="AC90" s="37">
        <v>0</v>
      </c>
      <c r="AD90" s="37">
        <v>24000</v>
      </c>
      <c r="AE90" s="37">
        <v>0</v>
      </c>
      <c r="AF90" s="37">
        <v>0</v>
      </c>
      <c r="AG90" s="57">
        <v>779000</v>
      </c>
      <c r="AH90" s="37">
        <v>0</v>
      </c>
      <c r="AI90" s="37">
        <v>2500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57">
        <v>2500</v>
      </c>
      <c r="AT90" s="57">
        <v>781500</v>
      </c>
      <c r="AU90" s="45"/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57">
        <v>0</v>
      </c>
      <c r="BL90" s="37">
        <v>0</v>
      </c>
      <c r="BM90" s="37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57">
        <v>0</v>
      </c>
      <c r="BX90" s="57">
        <v>0</v>
      </c>
      <c r="BZ90" s="37">
        <v>200000</v>
      </c>
      <c r="CA90" s="37">
        <v>200000</v>
      </c>
      <c r="CB90" s="37">
        <v>220000</v>
      </c>
      <c r="CC90" s="37">
        <v>110000</v>
      </c>
      <c r="CD90" s="37">
        <v>25000</v>
      </c>
      <c r="CE90" s="37">
        <v>24000</v>
      </c>
      <c r="CF90" s="37">
        <v>0</v>
      </c>
      <c r="CG90" s="57">
        <v>779000</v>
      </c>
      <c r="CH90" s="37">
        <v>2500</v>
      </c>
      <c r="CI90" s="37">
        <v>0</v>
      </c>
      <c r="CJ90" s="37">
        <v>0</v>
      </c>
      <c r="CK90" s="37">
        <v>0</v>
      </c>
      <c r="CL90" s="37">
        <v>0</v>
      </c>
      <c r="CM90" s="37">
        <v>0</v>
      </c>
      <c r="CN90" s="57">
        <v>2500</v>
      </c>
      <c r="CO90" s="57">
        <v>781500</v>
      </c>
      <c r="CP90" s="58"/>
      <c r="CQ90" s="42">
        <v>781500</v>
      </c>
    </row>
    <row r="91" spans="1:95" customFormat="1" x14ac:dyDescent="0.2">
      <c r="A91" s="209">
        <v>43178</v>
      </c>
      <c r="B91" s="33" t="s">
        <v>55</v>
      </c>
      <c r="C91" s="33" t="s">
        <v>56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400</v>
      </c>
      <c r="AC91" s="37">
        <v>0</v>
      </c>
      <c r="AD91" s="37">
        <v>160</v>
      </c>
      <c r="AE91" s="37">
        <v>0</v>
      </c>
      <c r="AF91" s="37">
        <v>74.697000000000003</v>
      </c>
      <c r="AG91" s="57">
        <v>634.697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57">
        <v>0</v>
      </c>
      <c r="AT91" s="57">
        <v>634.697</v>
      </c>
      <c r="AU91" s="45"/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5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57">
        <v>0</v>
      </c>
      <c r="BX91" s="57">
        <v>0</v>
      </c>
      <c r="BZ91" s="37">
        <v>0</v>
      </c>
      <c r="CA91" s="37">
        <v>0</v>
      </c>
      <c r="CB91" s="37">
        <v>0</v>
      </c>
      <c r="CC91" s="37">
        <v>0</v>
      </c>
      <c r="CD91" s="37">
        <v>400</v>
      </c>
      <c r="CE91" s="37">
        <v>160</v>
      </c>
      <c r="CF91" s="37">
        <v>74.697000000000003</v>
      </c>
      <c r="CG91" s="57">
        <v>634.697</v>
      </c>
      <c r="CH91" s="37">
        <v>0</v>
      </c>
      <c r="CI91" s="37">
        <v>0</v>
      </c>
      <c r="CJ91" s="37">
        <v>0</v>
      </c>
      <c r="CK91" s="37">
        <v>0</v>
      </c>
      <c r="CL91" s="37">
        <v>0</v>
      </c>
      <c r="CM91" s="37">
        <v>0</v>
      </c>
      <c r="CN91" s="57">
        <v>0</v>
      </c>
      <c r="CO91" s="57">
        <v>634.697</v>
      </c>
      <c r="CP91" s="58"/>
      <c r="CQ91" s="42">
        <v>634.697</v>
      </c>
    </row>
    <row r="92" spans="1:95" customFormat="1" x14ac:dyDescent="0.2">
      <c r="A92" s="209">
        <v>43178</v>
      </c>
      <c r="B92" s="33" t="s">
        <v>53</v>
      </c>
      <c r="C92" s="33" t="s">
        <v>54</v>
      </c>
      <c r="D92" s="43">
        <v>1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7" t="s">
        <v>45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5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3125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57">
        <v>3125</v>
      </c>
      <c r="AT92" s="57">
        <v>3125</v>
      </c>
      <c r="AU92" s="45"/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5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37">
        <v>0</v>
      </c>
      <c r="BW92" s="57">
        <v>0</v>
      </c>
      <c r="BX92" s="57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57">
        <v>0</v>
      </c>
      <c r="CH92" s="37">
        <v>0</v>
      </c>
      <c r="CI92" s="37">
        <v>3125</v>
      </c>
      <c r="CJ92" s="37">
        <v>0</v>
      </c>
      <c r="CK92" s="37">
        <v>0</v>
      </c>
      <c r="CL92" s="37">
        <v>0</v>
      </c>
      <c r="CM92" s="37">
        <v>0</v>
      </c>
      <c r="CN92" s="57">
        <v>3125</v>
      </c>
      <c r="CO92" s="57">
        <v>3125</v>
      </c>
      <c r="CP92" s="58"/>
      <c r="CQ92" s="42">
        <v>3125</v>
      </c>
    </row>
    <row r="93" spans="1:95" customFormat="1" x14ac:dyDescent="0.2">
      <c r="A93" s="209">
        <v>43179</v>
      </c>
      <c r="B93" s="33" t="s">
        <v>68</v>
      </c>
      <c r="C93" s="33" t="s">
        <v>97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1</v>
      </c>
      <c r="O93" s="43">
        <v>0</v>
      </c>
      <c r="P93" s="47" t="s">
        <v>88</v>
      </c>
      <c r="R93" s="37">
        <v>0</v>
      </c>
      <c r="S93" s="37">
        <v>0</v>
      </c>
      <c r="T93" s="37">
        <v>0</v>
      </c>
      <c r="U93" s="37">
        <v>0</v>
      </c>
      <c r="V93" s="37">
        <v>200000</v>
      </c>
      <c r="W93" s="37">
        <v>0</v>
      </c>
      <c r="X93" s="37">
        <v>0</v>
      </c>
      <c r="Y93" s="37">
        <v>0</v>
      </c>
      <c r="Z93" s="37">
        <v>100000</v>
      </c>
      <c r="AA93" s="37">
        <v>0</v>
      </c>
      <c r="AB93" s="37">
        <v>60000</v>
      </c>
      <c r="AC93" s="37">
        <v>0</v>
      </c>
      <c r="AD93" s="37">
        <v>36000</v>
      </c>
      <c r="AE93" s="37">
        <v>0</v>
      </c>
      <c r="AF93" s="37">
        <v>4000</v>
      </c>
      <c r="AG93" s="57">
        <v>400000</v>
      </c>
      <c r="AH93" s="37">
        <v>0</v>
      </c>
      <c r="AI93" s="37">
        <v>1000</v>
      </c>
      <c r="AJ93" s="37">
        <v>0</v>
      </c>
      <c r="AK93" s="37">
        <v>0</v>
      </c>
      <c r="AL93" s="37">
        <v>500</v>
      </c>
      <c r="AM93" s="37">
        <v>0</v>
      </c>
      <c r="AN93" s="37">
        <v>0</v>
      </c>
      <c r="AO93" s="37">
        <v>0</v>
      </c>
      <c r="AP93" s="37">
        <v>200</v>
      </c>
      <c r="AQ93" s="37">
        <v>0</v>
      </c>
      <c r="AR93" s="37">
        <v>0</v>
      </c>
      <c r="AS93" s="57">
        <v>1700</v>
      </c>
      <c r="AT93" s="57">
        <v>401700</v>
      </c>
      <c r="AU93" s="45"/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5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57">
        <v>0</v>
      </c>
      <c r="BX93" s="57">
        <v>0</v>
      </c>
      <c r="BZ93" s="37">
        <v>0</v>
      </c>
      <c r="CA93" s="37">
        <v>200000</v>
      </c>
      <c r="CB93" s="37">
        <v>0</v>
      </c>
      <c r="CC93" s="37">
        <v>100000</v>
      </c>
      <c r="CD93" s="37">
        <v>60000</v>
      </c>
      <c r="CE93" s="37">
        <v>36000</v>
      </c>
      <c r="CF93" s="37">
        <v>4000</v>
      </c>
      <c r="CG93" s="57">
        <v>400000</v>
      </c>
      <c r="CH93" s="37">
        <v>1000</v>
      </c>
      <c r="CI93" s="37">
        <v>500</v>
      </c>
      <c r="CJ93" s="37">
        <v>0</v>
      </c>
      <c r="CK93" s="37">
        <v>200</v>
      </c>
      <c r="CL93" s="37">
        <v>0</v>
      </c>
      <c r="CM93" s="37">
        <v>0</v>
      </c>
      <c r="CN93" s="57">
        <v>1700</v>
      </c>
      <c r="CO93" s="57">
        <v>401700</v>
      </c>
      <c r="CP93" s="58"/>
      <c r="CQ93" s="42">
        <v>401700</v>
      </c>
    </row>
    <row r="94" spans="1:95" customFormat="1" x14ac:dyDescent="0.2">
      <c r="A94" s="209">
        <v>43179</v>
      </c>
      <c r="B94" s="33" t="s">
        <v>79</v>
      </c>
      <c r="C94" s="33" t="s">
        <v>76</v>
      </c>
      <c r="D94" s="43">
        <v>0</v>
      </c>
      <c r="E94" s="43">
        <v>1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7" t="s">
        <v>45</v>
      </c>
      <c r="R94" s="37">
        <v>0</v>
      </c>
      <c r="S94" s="37">
        <v>0</v>
      </c>
      <c r="T94" s="37">
        <v>0</v>
      </c>
      <c r="U94" s="37">
        <v>0</v>
      </c>
      <c r="V94" s="37">
        <v>200000</v>
      </c>
      <c r="W94" s="37">
        <v>0</v>
      </c>
      <c r="X94" s="37">
        <v>0</v>
      </c>
      <c r="Y94" s="37">
        <v>0</v>
      </c>
      <c r="Z94" s="37">
        <v>20000</v>
      </c>
      <c r="AA94" s="37">
        <v>0</v>
      </c>
      <c r="AB94" s="37">
        <v>10000</v>
      </c>
      <c r="AC94" s="37">
        <v>0</v>
      </c>
      <c r="AD94" s="37">
        <v>6000</v>
      </c>
      <c r="AE94" s="37">
        <v>0</v>
      </c>
      <c r="AF94" s="37">
        <v>1000</v>
      </c>
      <c r="AG94" s="57">
        <v>237000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5.0000000000000001E-4</v>
      </c>
      <c r="AS94" s="57">
        <v>5.0000000000000001E-4</v>
      </c>
      <c r="AT94" s="57">
        <v>237000.00049999999</v>
      </c>
      <c r="AU94" s="45"/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0</v>
      </c>
      <c r="BH94" s="37">
        <v>0</v>
      </c>
      <c r="BI94" s="37">
        <v>0</v>
      </c>
      <c r="BJ94" s="37">
        <v>0</v>
      </c>
      <c r="BK94" s="57">
        <v>0</v>
      </c>
      <c r="BL94" s="37">
        <v>0</v>
      </c>
      <c r="BM94" s="37">
        <v>0</v>
      </c>
      <c r="BN94" s="37">
        <v>0</v>
      </c>
      <c r="BO94" s="37">
        <v>0</v>
      </c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37">
        <v>0</v>
      </c>
      <c r="BW94" s="57">
        <v>0</v>
      </c>
      <c r="BX94" s="57">
        <v>0</v>
      </c>
      <c r="BZ94" s="37">
        <v>0</v>
      </c>
      <c r="CA94" s="37">
        <v>200000</v>
      </c>
      <c r="CB94" s="37">
        <v>0</v>
      </c>
      <c r="CC94" s="37">
        <v>20000</v>
      </c>
      <c r="CD94" s="37">
        <v>10000</v>
      </c>
      <c r="CE94" s="37">
        <v>6000</v>
      </c>
      <c r="CF94" s="37">
        <v>1000</v>
      </c>
      <c r="CG94" s="57">
        <v>237000</v>
      </c>
      <c r="CH94" s="37">
        <v>0</v>
      </c>
      <c r="CI94" s="37">
        <v>0</v>
      </c>
      <c r="CJ94" s="37">
        <v>0</v>
      </c>
      <c r="CK94" s="37">
        <v>0</v>
      </c>
      <c r="CL94" s="37">
        <v>0</v>
      </c>
      <c r="CM94" s="37">
        <v>5.0000000000000001E-4</v>
      </c>
      <c r="CN94" s="57">
        <v>5.0000000000000001E-4</v>
      </c>
      <c r="CO94" s="57">
        <v>237000.00049999999</v>
      </c>
      <c r="CP94" s="58"/>
      <c r="CQ94" s="42">
        <v>237000.00049999999</v>
      </c>
    </row>
    <row r="95" spans="1:95" customFormat="1" x14ac:dyDescent="0.2">
      <c r="A95" s="209">
        <v>43179</v>
      </c>
      <c r="B95" s="33" t="s">
        <v>58</v>
      </c>
      <c r="C95" s="33" t="s">
        <v>73</v>
      </c>
      <c r="D95" s="43">
        <v>0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1</v>
      </c>
      <c r="L95" s="43">
        <v>0</v>
      </c>
      <c r="M95" s="43">
        <v>0</v>
      </c>
      <c r="N95" s="43">
        <v>0</v>
      </c>
      <c r="O95" s="43">
        <v>0</v>
      </c>
      <c r="P95" s="47" t="s">
        <v>45</v>
      </c>
      <c r="R95" s="37">
        <v>0</v>
      </c>
      <c r="S95" s="37">
        <v>0</v>
      </c>
      <c r="T95" s="37">
        <v>400000</v>
      </c>
      <c r="U95" s="37">
        <v>0</v>
      </c>
      <c r="V95" s="37">
        <v>200000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3000</v>
      </c>
      <c r="AG95" s="57">
        <v>603000</v>
      </c>
      <c r="AH95" s="37">
        <v>0</v>
      </c>
      <c r="AI95" s="37">
        <v>3250</v>
      </c>
      <c r="AJ95" s="37">
        <v>0</v>
      </c>
      <c r="AK95" s="37">
        <v>0</v>
      </c>
      <c r="AL95" s="37">
        <v>1500</v>
      </c>
      <c r="AM95" s="37">
        <v>200</v>
      </c>
      <c r="AN95" s="37">
        <v>0</v>
      </c>
      <c r="AO95" s="37">
        <v>0</v>
      </c>
      <c r="AP95" s="37">
        <v>300</v>
      </c>
      <c r="AQ95" s="37">
        <v>0</v>
      </c>
      <c r="AR95" s="37">
        <v>5.0000000000000001E-4</v>
      </c>
      <c r="AS95" s="57">
        <v>5250.0005000000001</v>
      </c>
      <c r="AT95" s="57">
        <v>608250.00049999997</v>
      </c>
      <c r="AU95" s="45"/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57">
        <v>0</v>
      </c>
      <c r="BL95" s="37">
        <v>0</v>
      </c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57">
        <v>0</v>
      </c>
      <c r="BX95" s="57">
        <v>0</v>
      </c>
      <c r="BZ95" s="37">
        <v>400000</v>
      </c>
      <c r="CA95" s="37">
        <v>200000</v>
      </c>
      <c r="CB95" s="37">
        <v>0</v>
      </c>
      <c r="CC95" s="37">
        <v>0</v>
      </c>
      <c r="CD95" s="37">
        <v>0</v>
      </c>
      <c r="CE95" s="37">
        <v>0</v>
      </c>
      <c r="CF95" s="37">
        <v>3000</v>
      </c>
      <c r="CG95" s="57">
        <v>603000</v>
      </c>
      <c r="CH95" s="37">
        <v>3250</v>
      </c>
      <c r="CI95" s="37">
        <v>1500</v>
      </c>
      <c r="CJ95" s="37">
        <v>200</v>
      </c>
      <c r="CK95" s="37">
        <v>300</v>
      </c>
      <c r="CL95" s="37">
        <v>0</v>
      </c>
      <c r="CM95" s="37">
        <v>5.0000000000000001E-4</v>
      </c>
      <c r="CN95" s="57">
        <v>5250.0005000000001</v>
      </c>
      <c r="CO95" s="57">
        <v>608250.00049999997</v>
      </c>
      <c r="CP95" s="58"/>
      <c r="CQ95" s="42">
        <v>608250.00049999997</v>
      </c>
    </row>
    <row r="96" spans="1:95" customFormat="1" x14ac:dyDescent="0.2">
      <c r="A96" s="209">
        <v>43180</v>
      </c>
      <c r="B96" s="33" t="s">
        <v>53</v>
      </c>
      <c r="C96" s="33" t="s">
        <v>54</v>
      </c>
      <c r="D96" s="43">
        <v>1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5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1000</v>
      </c>
      <c r="AQ96" s="37">
        <v>0</v>
      </c>
      <c r="AR96" s="37">
        <v>0</v>
      </c>
      <c r="AS96" s="57">
        <v>1000</v>
      </c>
      <c r="AT96" s="57">
        <v>1000</v>
      </c>
      <c r="AU96" s="45"/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57">
        <v>0</v>
      </c>
      <c r="BL96" s="37">
        <v>0</v>
      </c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57">
        <v>0</v>
      </c>
      <c r="BX96" s="57">
        <v>0</v>
      </c>
      <c r="BZ96" s="37">
        <v>0</v>
      </c>
      <c r="CA96" s="37">
        <v>0</v>
      </c>
      <c r="CB96" s="37">
        <v>0</v>
      </c>
      <c r="CC96" s="37">
        <v>0</v>
      </c>
      <c r="CD96" s="37">
        <v>0</v>
      </c>
      <c r="CE96" s="37">
        <v>0</v>
      </c>
      <c r="CF96" s="37">
        <v>0</v>
      </c>
      <c r="CG96" s="57">
        <v>0</v>
      </c>
      <c r="CH96" s="37">
        <v>0</v>
      </c>
      <c r="CI96" s="37">
        <v>0</v>
      </c>
      <c r="CJ96" s="37">
        <v>0</v>
      </c>
      <c r="CK96" s="37">
        <v>1000</v>
      </c>
      <c r="CL96" s="37">
        <v>0</v>
      </c>
      <c r="CM96" s="37">
        <v>0</v>
      </c>
      <c r="CN96" s="57">
        <v>1000</v>
      </c>
      <c r="CO96" s="57">
        <v>1000</v>
      </c>
      <c r="CP96" s="58"/>
      <c r="CQ96" s="42">
        <v>1000</v>
      </c>
    </row>
    <row r="97" spans="1:95" customFormat="1" x14ac:dyDescent="0.2">
      <c r="A97" s="209">
        <v>43181</v>
      </c>
      <c r="B97" s="33" t="s">
        <v>53</v>
      </c>
      <c r="C97" s="33" t="s">
        <v>54</v>
      </c>
      <c r="D97" s="43">
        <v>1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57">
        <v>0</v>
      </c>
      <c r="AH97" s="37">
        <v>0</v>
      </c>
      <c r="AI97" s="37">
        <v>6250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57">
        <v>6250</v>
      </c>
      <c r="AT97" s="57">
        <v>6250</v>
      </c>
      <c r="AU97" s="45"/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5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57">
        <v>0</v>
      </c>
      <c r="BX97" s="5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57">
        <v>0</v>
      </c>
      <c r="CH97" s="37">
        <v>6250</v>
      </c>
      <c r="CI97" s="37">
        <v>0</v>
      </c>
      <c r="CJ97" s="37">
        <v>0</v>
      </c>
      <c r="CK97" s="37">
        <v>0</v>
      </c>
      <c r="CL97" s="37">
        <v>0</v>
      </c>
      <c r="CM97" s="37">
        <v>0</v>
      </c>
      <c r="CN97" s="57">
        <v>6250</v>
      </c>
      <c r="CO97" s="57">
        <v>6250</v>
      </c>
      <c r="CP97" s="58"/>
      <c r="CQ97" s="42">
        <v>6250</v>
      </c>
    </row>
    <row r="98" spans="1:95" customFormat="1" x14ac:dyDescent="0.2">
      <c r="A98" s="209">
        <v>43181</v>
      </c>
      <c r="B98" s="33" t="s">
        <v>83</v>
      </c>
      <c r="C98" s="33" t="s">
        <v>76</v>
      </c>
      <c r="D98" s="43">
        <v>0</v>
      </c>
      <c r="E98" s="43">
        <v>1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7" t="s">
        <v>45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40000</v>
      </c>
      <c r="X98" s="37">
        <v>0</v>
      </c>
      <c r="Y98" s="37">
        <v>0</v>
      </c>
      <c r="Z98" s="37">
        <v>60000</v>
      </c>
      <c r="AA98" s="37">
        <v>0</v>
      </c>
      <c r="AB98" s="37">
        <v>30000</v>
      </c>
      <c r="AC98" s="37">
        <v>0</v>
      </c>
      <c r="AD98" s="37">
        <v>0</v>
      </c>
      <c r="AE98" s="37">
        <v>0</v>
      </c>
      <c r="AF98" s="37">
        <v>0</v>
      </c>
      <c r="AG98" s="57">
        <v>130000</v>
      </c>
      <c r="AH98" s="37">
        <v>0</v>
      </c>
      <c r="AI98" s="37">
        <v>1000</v>
      </c>
      <c r="AJ98" s="37">
        <v>0</v>
      </c>
      <c r="AK98" s="37">
        <v>0</v>
      </c>
      <c r="AL98" s="37">
        <v>250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57">
        <v>1250</v>
      </c>
      <c r="AT98" s="57">
        <v>131250</v>
      </c>
      <c r="AU98" s="45"/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</v>
      </c>
      <c r="BH98" s="37">
        <v>0</v>
      </c>
      <c r="BI98" s="37">
        <v>0</v>
      </c>
      <c r="BJ98" s="37">
        <v>0</v>
      </c>
      <c r="BK98" s="57">
        <v>0</v>
      </c>
      <c r="BL98" s="37">
        <v>0</v>
      </c>
      <c r="BM98" s="37">
        <v>0</v>
      </c>
      <c r="BN98" s="37">
        <v>0</v>
      </c>
      <c r="BO98" s="37">
        <v>0</v>
      </c>
      <c r="BP98" s="37">
        <v>0</v>
      </c>
      <c r="BQ98" s="37">
        <v>0</v>
      </c>
      <c r="BR98" s="37">
        <v>0</v>
      </c>
      <c r="BS98" s="37">
        <v>0</v>
      </c>
      <c r="BT98" s="37">
        <v>0</v>
      </c>
      <c r="BU98" s="37">
        <v>0</v>
      </c>
      <c r="BV98" s="37">
        <v>0</v>
      </c>
      <c r="BW98" s="57">
        <v>0</v>
      </c>
      <c r="BX98" s="57">
        <v>0</v>
      </c>
      <c r="BZ98" s="37">
        <v>0</v>
      </c>
      <c r="CA98" s="37">
        <v>0</v>
      </c>
      <c r="CB98" s="37">
        <v>40000</v>
      </c>
      <c r="CC98" s="37">
        <v>60000</v>
      </c>
      <c r="CD98" s="37">
        <v>30000</v>
      </c>
      <c r="CE98" s="37">
        <v>0</v>
      </c>
      <c r="CF98" s="37">
        <v>0</v>
      </c>
      <c r="CG98" s="57">
        <v>130000</v>
      </c>
      <c r="CH98" s="37">
        <v>1000</v>
      </c>
      <c r="CI98" s="37">
        <v>250</v>
      </c>
      <c r="CJ98" s="37">
        <v>0</v>
      </c>
      <c r="CK98" s="37">
        <v>0</v>
      </c>
      <c r="CL98" s="37">
        <v>0</v>
      </c>
      <c r="CM98" s="37">
        <v>0</v>
      </c>
      <c r="CN98" s="57">
        <v>1250</v>
      </c>
      <c r="CO98" s="57">
        <v>131250</v>
      </c>
      <c r="CP98" s="58"/>
      <c r="CQ98" s="42">
        <v>131250</v>
      </c>
    </row>
    <row r="99" spans="1:95" customFormat="1" x14ac:dyDescent="0.2">
      <c r="A99" s="209">
        <v>43181</v>
      </c>
      <c r="B99" s="33" t="s">
        <v>85</v>
      </c>
      <c r="C99" s="33" t="s">
        <v>76</v>
      </c>
      <c r="D99" s="43">
        <v>0</v>
      </c>
      <c r="E99" s="43">
        <v>1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7" t="s">
        <v>45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34000</v>
      </c>
      <c r="AE99" s="37">
        <v>0</v>
      </c>
      <c r="AF99" s="37">
        <v>0</v>
      </c>
      <c r="AG99" s="57">
        <v>34000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300</v>
      </c>
      <c r="AO99" s="37">
        <v>0</v>
      </c>
      <c r="AP99" s="37">
        <v>240</v>
      </c>
      <c r="AQ99" s="37">
        <v>10</v>
      </c>
      <c r="AR99" s="37">
        <v>0</v>
      </c>
      <c r="AS99" s="57">
        <v>550</v>
      </c>
      <c r="AT99" s="57">
        <v>34550</v>
      </c>
      <c r="AU99" s="45"/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0</v>
      </c>
      <c r="BI99" s="37">
        <v>0</v>
      </c>
      <c r="BJ99" s="37">
        <v>0</v>
      </c>
      <c r="BK99" s="57">
        <v>0</v>
      </c>
      <c r="BL99" s="37">
        <v>0</v>
      </c>
      <c r="BM99" s="37">
        <v>0</v>
      </c>
      <c r="BN99" s="37">
        <v>0</v>
      </c>
      <c r="BO99" s="37">
        <v>0</v>
      </c>
      <c r="BP99" s="37">
        <v>0</v>
      </c>
      <c r="BQ99" s="37">
        <v>0</v>
      </c>
      <c r="BR99" s="37">
        <v>0</v>
      </c>
      <c r="BS99" s="37">
        <v>0</v>
      </c>
      <c r="BT99" s="37">
        <v>0</v>
      </c>
      <c r="BU99" s="37">
        <v>0</v>
      </c>
      <c r="BV99" s="37">
        <v>0</v>
      </c>
      <c r="BW99" s="57">
        <v>0</v>
      </c>
      <c r="BX99" s="57">
        <v>0</v>
      </c>
      <c r="BZ99" s="37">
        <v>0</v>
      </c>
      <c r="CA99" s="37">
        <v>0</v>
      </c>
      <c r="CB99" s="37">
        <v>0</v>
      </c>
      <c r="CC99" s="37">
        <v>0</v>
      </c>
      <c r="CD99" s="37">
        <v>0</v>
      </c>
      <c r="CE99" s="37">
        <v>34000</v>
      </c>
      <c r="CF99" s="37">
        <v>0</v>
      </c>
      <c r="CG99" s="57">
        <v>34000</v>
      </c>
      <c r="CH99" s="37">
        <v>0</v>
      </c>
      <c r="CI99" s="37">
        <v>0</v>
      </c>
      <c r="CJ99" s="37">
        <v>300</v>
      </c>
      <c r="CK99" s="37">
        <v>240</v>
      </c>
      <c r="CL99" s="37">
        <v>10</v>
      </c>
      <c r="CM99" s="37">
        <v>0</v>
      </c>
      <c r="CN99" s="57">
        <v>550</v>
      </c>
      <c r="CO99" s="57">
        <v>34550</v>
      </c>
      <c r="CP99" s="58"/>
      <c r="CQ99" s="42">
        <v>34550</v>
      </c>
    </row>
    <row r="100" spans="1:95" customFormat="1" x14ac:dyDescent="0.2">
      <c r="A100" s="209">
        <v>43182</v>
      </c>
      <c r="B100" s="33" t="s">
        <v>53</v>
      </c>
      <c r="C100" s="33" t="s">
        <v>54</v>
      </c>
      <c r="D100" s="43">
        <v>1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7" t="s">
        <v>45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5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3125</v>
      </c>
      <c r="AM100" s="37">
        <v>0</v>
      </c>
      <c r="AN100" s="37">
        <v>0</v>
      </c>
      <c r="AO100" s="37">
        <v>0</v>
      </c>
      <c r="AP100" s="37">
        <v>0</v>
      </c>
      <c r="AQ100" s="37">
        <v>0</v>
      </c>
      <c r="AR100" s="37">
        <v>0</v>
      </c>
      <c r="AS100" s="57">
        <v>3125</v>
      </c>
      <c r="AT100" s="57">
        <v>3125</v>
      </c>
      <c r="AU100" s="45"/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37">
        <v>0</v>
      </c>
      <c r="BD100" s="37">
        <v>0</v>
      </c>
      <c r="BE100" s="37">
        <v>0</v>
      </c>
      <c r="BF100" s="37">
        <v>0</v>
      </c>
      <c r="BG100" s="37">
        <v>0</v>
      </c>
      <c r="BH100" s="37">
        <v>0</v>
      </c>
      <c r="BI100" s="37">
        <v>0</v>
      </c>
      <c r="BJ100" s="37">
        <v>0</v>
      </c>
      <c r="BK100" s="57">
        <v>0</v>
      </c>
      <c r="BL100" s="37">
        <v>0</v>
      </c>
      <c r="BM100" s="37">
        <v>0</v>
      </c>
      <c r="BN100" s="37">
        <v>0</v>
      </c>
      <c r="BO100" s="37">
        <v>0</v>
      </c>
      <c r="BP100" s="37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0</v>
      </c>
      <c r="BV100" s="37">
        <v>0</v>
      </c>
      <c r="BW100" s="57">
        <v>0</v>
      </c>
      <c r="BX100" s="57">
        <v>0</v>
      </c>
      <c r="BZ100" s="37">
        <v>0</v>
      </c>
      <c r="CA100" s="37">
        <v>0</v>
      </c>
      <c r="CB100" s="37">
        <v>0</v>
      </c>
      <c r="CC100" s="37">
        <v>0</v>
      </c>
      <c r="CD100" s="37">
        <v>0</v>
      </c>
      <c r="CE100" s="37">
        <v>0</v>
      </c>
      <c r="CF100" s="37">
        <v>0</v>
      </c>
      <c r="CG100" s="57">
        <v>0</v>
      </c>
      <c r="CH100" s="37">
        <v>0</v>
      </c>
      <c r="CI100" s="37">
        <v>3125</v>
      </c>
      <c r="CJ100" s="37">
        <v>0</v>
      </c>
      <c r="CK100" s="37">
        <v>0</v>
      </c>
      <c r="CL100" s="37">
        <v>0</v>
      </c>
      <c r="CM100" s="37">
        <v>0</v>
      </c>
      <c r="CN100" s="57">
        <v>3125</v>
      </c>
      <c r="CO100" s="57">
        <v>3125</v>
      </c>
      <c r="CP100" s="58"/>
      <c r="CQ100" s="42">
        <v>3125</v>
      </c>
    </row>
    <row r="101" spans="1:95" customFormat="1" x14ac:dyDescent="0.2">
      <c r="A101" s="209">
        <v>43182</v>
      </c>
      <c r="B101" s="33" t="s">
        <v>86</v>
      </c>
      <c r="C101" s="33" t="s">
        <v>98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1</v>
      </c>
      <c r="L101" s="43">
        <v>0</v>
      </c>
      <c r="M101" s="43">
        <v>0</v>
      </c>
      <c r="N101" s="43">
        <v>0</v>
      </c>
      <c r="O101" s="43">
        <v>0</v>
      </c>
      <c r="P101" s="47" t="s">
        <v>45</v>
      </c>
      <c r="R101" s="37">
        <v>0</v>
      </c>
      <c r="S101" s="37">
        <v>0</v>
      </c>
      <c r="T101" s="37">
        <v>0</v>
      </c>
      <c r="U101" s="37">
        <v>0</v>
      </c>
      <c r="V101" s="37">
        <v>300000</v>
      </c>
      <c r="W101" s="37">
        <v>80000</v>
      </c>
      <c r="X101" s="37">
        <v>0</v>
      </c>
      <c r="Y101" s="37">
        <v>0</v>
      </c>
      <c r="Z101" s="37">
        <v>120000</v>
      </c>
      <c r="AA101" s="37">
        <v>0</v>
      </c>
      <c r="AB101" s="37">
        <v>80000</v>
      </c>
      <c r="AC101" s="37">
        <v>0</v>
      </c>
      <c r="AD101" s="37">
        <v>50000</v>
      </c>
      <c r="AE101" s="37">
        <v>0</v>
      </c>
      <c r="AF101" s="37">
        <v>5000</v>
      </c>
      <c r="AG101" s="59">
        <v>635000</v>
      </c>
      <c r="AH101" s="37">
        <v>0</v>
      </c>
      <c r="AI101" s="37">
        <v>1000</v>
      </c>
      <c r="AJ101" s="37">
        <v>1250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300</v>
      </c>
      <c r="AQ101" s="37">
        <v>0</v>
      </c>
      <c r="AR101" s="37">
        <v>0</v>
      </c>
      <c r="AS101" s="59">
        <v>2550</v>
      </c>
      <c r="AT101" s="59">
        <v>637550</v>
      </c>
      <c r="AU101" s="45"/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59">
        <v>0</v>
      </c>
      <c r="BL101" s="37">
        <v>0</v>
      </c>
      <c r="BM101" s="37">
        <v>0</v>
      </c>
      <c r="BN101" s="37">
        <v>0</v>
      </c>
      <c r="BO101" s="37">
        <v>0</v>
      </c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37">
        <v>0</v>
      </c>
      <c r="BW101" s="59">
        <v>0</v>
      </c>
      <c r="BX101" s="59">
        <v>0</v>
      </c>
      <c r="BZ101" s="37">
        <v>0</v>
      </c>
      <c r="CA101" s="37">
        <v>300000</v>
      </c>
      <c r="CB101" s="37">
        <v>80000</v>
      </c>
      <c r="CC101" s="37">
        <v>120000</v>
      </c>
      <c r="CD101" s="37">
        <v>80000</v>
      </c>
      <c r="CE101" s="37">
        <v>50000</v>
      </c>
      <c r="CF101" s="37">
        <v>5000</v>
      </c>
      <c r="CG101" s="59">
        <v>635000</v>
      </c>
      <c r="CH101" s="37">
        <v>1000</v>
      </c>
      <c r="CI101" s="37">
        <v>1250</v>
      </c>
      <c r="CJ101" s="37">
        <v>0</v>
      </c>
      <c r="CK101" s="37">
        <v>300</v>
      </c>
      <c r="CL101" s="37">
        <v>0</v>
      </c>
      <c r="CM101" s="37">
        <v>0</v>
      </c>
      <c r="CN101" s="59">
        <v>2550</v>
      </c>
      <c r="CO101" s="59">
        <v>637550</v>
      </c>
      <c r="CP101" s="58"/>
      <c r="CQ101" s="3">
        <v>637550</v>
      </c>
    </row>
    <row r="102" spans="1:95" customFormat="1" x14ac:dyDescent="0.2">
      <c r="A102" s="209">
        <v>43182</v>
      </c>
      <c r="B102" s="33" t="s">
        <v>70</v>
      </c>
      <c r="C102" s="33" t="s">
        <v>95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1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7" t="s">
        <v>45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120000</v>
      </c>
      <c r="X102" s="37">
        <v>0</v>
      </c>
      <c r="Y102" s="37">
        <v>0</v>
      </c>
      <c r="Z102" s="37">
        <v>120000</v>
      </c>
      <c r="AA102" s="37">
        <v>0</v>
      </c>
      <c r="AB102" s="37">
        <v>60000</v>
      </c>
      <c r="AC102" s="37">
        <v>0</v>
      </c>
      <c r="AD102" s="37">
        <v>20000</v>
      </c>
      <c r="AE102" s="37">
        <v>0</v>
      </c>
      <c r="AF102" s="37">
        <v>4000</v>
      </c>
      <c r="AG102" s="59">
        <v>324000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59">
        <v>0</v>
      </c>
      <c r="AT102" s="59">
        <v>324000</v>
      </c>
      <c r="AU102" s="45"/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</v>
      </c>
      <c r="BH102" s="37">
        <v>0</v>
      </c>
      <c r="BI102" s="37">
        <v>0</v>
      </c>
      <c r="BJ102" s="37">
        <v>0</v>
      </c>
      <c r="BK102" s="59">
        <v>0</v>
      </c>
      <c r="BL102" s="37">
        <v>0</v>
      </c>
      <c r="BM102" s="37">
        <v>0</v>
      </c>
      <c r="BN102" s="37">
        <v>0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37">
        <v>0</v>
      </c>
      <c r="BW102" s="59">
        <v>0</v>
      </c>
      <c r="BX102" s="59">
        <v>0</v>
      </c>
      <c r="BZ102" s="37">
        <v>0</v>
      </c>
      <c r="CA102" s="37">
        <v>0</v>
      </c>
      <c r="CB102" s="37">
        <v>120000</v>
      </c>
      <c r="CC102" s="37">
        <v>120000</v>
      </c>
      <c r="CD102" s="37">
        <v>60000</v>
      </c>
      <c r="CE102" s="37">
        <v>20000</v>
      </c>
      <c r="CF102" s="37">
        <v>4000</v>
      </c>
      <c r="CG102" s="59">
        <v>324000</v>
      </c>
      <c r="CH102" s="37">
        <v>0</v>
      </c>
      <c r="CI102" s="37">
        <v>0</v>
      </c>
      <c r="CJ102" s="37">
        <v>0</v>
      </c>
      <c r="CK102" s="37">
        <v>0</v>
      </c>
      <c r="CL102" s="37">
        <v>0</v>
      </c>
      <c r="CM102" s="37">
        <v>0</v>
      </c>
      <c r="CN102" s="59">
        <v>0</v>
      </c>
      <c r="CO102" s="59">
        <v>324000</v>
      </c>
      <c r="CP102" s="58"/>
      <c r="CQ102" s="3">
        <v>324000</v>
      </c>
    </row>
    <row r="103" spans="1:95" customFormat="1" x14ac:dyDescent="0.2">
      <c r="A103" s="209">
        <v>43182</v>
      </c>
      <c r="B103" s="33" t="s">
        <v>62</v>
      </c>
      <c r="C103" s="33" t="s">
        <v>95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1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7" t="s">
        <v>45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40000</v>
      </c>
      <c r="X103" s="37">
        <v>0</v>
      </c>
      <c r="Y103" s="37">
        <v>0</v>
      </c>
      <c r="Z103" s="37">
        <v>20000</v>
      </c>
      <c r="AA103" s="37">
        <v>0</v>
      </c>
      <c r="AB103" s="37">
        <v>10000</v>
      </c>
      <c r="AC103" s="37">
        <v>0</v>
      </c>
      <c r="AD103" s="37">
        <v>12000</v>
      </c>
      <c r="AE103" s="37">
        <v>0</v>
      </c>
      <c r="AF103" s="37">
        <v>6000</v>
      </c>
      <c r="AG103" s="59">
        <v>88000</v>
      </c>
      <c r="AH103" s="37">
        <v>0</v>
      </c>
      <c r="AI103" s="37">
        <v>500</v>
      </c>
      <c r="AJ103" s="37">
        <v>0</v>
      </c>
      <c r="AK103" s="37">
        <v>0</v>
      </c>
      <c r="AL103" s="37">
        <v>875</v>
      </c>
      <c r="AM103" s="37">
        <v>0</v>
      </c>
      <c r="AN103" s="37">
        <v>0</v>
      </c>
      <c r="AO103" s="37">
        <v>0</v>
      </c>
      <c r="AP103" s="37">
        <v>300</v>
      </c>
      <c r="AQ103" s="37">
        <v>0</v>
      </c>
      <c r="AR103" s="37">
        <v>0</v>
      </c>
      <c r="AS103" s="59">
        <v>1675</v>
      </c>
      <c r="AT103" s="59">
        <v>89675</v>
      </c>
      <c r="AU103" s="45"/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59">
        <v>0</v>
      </c>
      <c r="BL103" s="37">
        <v>0</v>
      </c>
      <c r="BM103" s="37">
        <v>0</v>
      </c>
      <c r="BN103" s="37">
        <v>0</v>
      </c>
      <c r="BO103" s="37">
        <v>0</v>
      </c>
      <c r="BP103" s="37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37">
        <v>0</v>
      </c>
      <c r="BW103" s="59">
        <v>0</v>
      </c>
      <c r="BX103" s="59">
        <v>0</v>
      </c>
      <c r="BZ103" s="37">
        <v>0</v>
      </c>
      <c r="CA103" s="37">
        <v>0</v>
      </c>
      <c r="CB103" s="37">
        <v>40000</v>
      </c>
      <c r="CC103" s="37">
        <v>20000</v>
      </c>
      <c r="CD103" s="37">
        <v>10000</v>
      </c>
      <c r="CE103" s="37">
        <v>12000</v>
      </c>
      <c r="CF103" s="37">
        <v>6000</v>
      </c>
      <c r="CG103" s="59">
        <v>88000</v>
      </c>
      <c r="CH103" s="37">
        <v>500</v>
      </c>
      <c r="CI103" s="37">
        <v>875</v>
      </c>
      <c r="CJ103" s="37">
        <v>0</v>
      </c>
      <c r="CK103" s="37">
        <v>300</v>
      </c>
      <c r="CL103" s="37">
        <v>0</v>
      </c>
      <c r="CM103" s="37">
        <v>0</v>
      </c>
      <c r="CN103" s="59">
        <v>1675</v>
      </c>
      <c r="CO103" s="59">
        <v>89675</v>
      </c>
      <c r="CP103" s="58"/>
      <c r="CQ103" s="3">
        <v>89675</v>
      </c>
    </row>
    <row r="104" spans="1:95" customFormat="1" x14ac:dyDescent="0.2">
      <c r="A104" s="209">
        <v>43185</v>
      </c>
      <c r="B104" s="33" t="s">
        <v>55</v>
      </c>
      <c r="C104" s="33" t="s">
        <v>56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400</v>
      </c>
      <c r="AC104" s="37">
        <v>0</v>
      </c>
      <c r="AD104" s="37">
        <v>160</v>
      </c>
      <c r="AE104" s="37">
        <v>0</v>
      </c>
      <c r="AF104" s="37">
        <v>0</v>
      </c>
      <c r="AG104" s="59">
        <v>560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59">
        <v>0</v>
      </c>
      <c r="AT104" s="59">
        <v>560</v>
      </c>
      <c r="AU104" s="45"/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59">
        <v>0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59">
        <v>0</v>
      </c>
      <c r="BX104" s="59">
        <v>0</v>
      </c>
      <c r="BZ104" s="37">
        <v>0</v>
      </c>
      <c r="CA104" s="37">
        <v>0</v>
      </c>
      <c r="CB104" s="37">
        <v>0</v>
      </c>
      <c r="CC104" s="37">
        <v>0</v>
      </c>
      <c r="CD104" s="37">
        <v>400</v>
      </c>
      <c r="CE104" s="37">
        <v>160</v>
      </c>
      <c r="CF104" s="37">
        <v>0</v>
      </c>
      <c r="CG104" s="59">
        <v>560</v>
      </c>
      <c r="CH104" s="37">
        <v>0</v>
      </c>
      <c r="CI104" s="37">
        <v>0</v>
      </c>
      <c r="CJ104" s="37">
        <v>0</v>
      </c>
      <c r="CK104" s="37">
        <v>0</v>
      </c>
      <c r="CL104" s="37">
        <v>0</v>
      </c>
      <c r="CM104" s="37">
        <v>0</v>
      </c>
      <c r="CN104" s="59">
        <v>0</v>
      </c>
      <c r="CO104" s="59">
        <v>560</v>
      </c>
      <c r="CP104" s="58"/>
      <c r="CQ104" s="3">
        <v>560</v>
      </c>
    </row>
    <row r="105" spans="1:95" customFormat="1" x14ac:dyDescent="0.2">
      <c r="A105" s="209">
        <v>43185</v>
      </c>
      <c r="B105" s="33" t="s">
        <v>55</v>
      </c>
      <c r="C105" s="33" t="s">
        <v>56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73.484999999999999</v>
      </c>
      <c r="AC105" s="37">
        <v>0</v>
      </c>
      <c r="AD105" s="37">
        <v>9.3940000000000001</v>
      </c>
      <c r="AE105" s="37">
        <v>0</v>
      </c>
      <c r="AF105" s="37">
        <v>0</v>
      </c>
      <c r="AG105" s="59">
        <v>82.879000000000005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0</v>
      </c>
      <c r="AR105" s="37">
        <v>0</v>
      </c>
      <c r="AS105" s="59">
        <v>0</v>
      </c>
      <c r="AT105" s="59">
        <v>82.879000000000005</v>
      </c>
      <c r="AU105" s="45"/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37">
        <v>0</v>
      </c>
      <c r="BD105" s="37">
        <v>0</v>
      </c>
      <c r="BE105" s="37">
        <v>0</v>
      </c>
      <c r="BF105" s="37">
        <v>0</v>
      </c>
      <c r="BG105" s="37">
        <v>0</v>
      </c>
      <c r="BH105" s="37">
        <v>0</v>
      </c>
      <c r="BI105" s="37">
        <v>0</v>
      </c>
      <c r="BJ105" s="37">
        <v>0</v>
      </c>
      <c r="BK105" s="59">
        <v>0</v>
      </c>
      <c r="BL105" s="37">
        <v>0</v>
      </c>
      <c r="BM105" s="37">
        <v>0</v>
      </c>
      <c r="BN105" s="37">
        <v>0</v>
      </c>
      <c r="BO105" s="37">
        <v>0</v>
      </c>
      <c r="BP105" s="37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37">
        <v>0</v>
      </c>
      <c r="BW105" s="59">
        <v>0</v>
      </c>
      <c r="BX105" s="59">
        <v>0</v>
      </c>
      <c r="BZ105" s="37">
        <v>0</v>
      </c>
      <c r="CA105" s="37">
        <v>0</v>
      </c>
      <c r="CB105" s="37">
        <v>0</v>
      </c>
      <c r="CC105" s="37">
        <v>0</v>
      </c>
      <c r="CD105" s="37">
        <v>73.484999999999999</v>
      </c>
      <c r="CE105" s="37">
        <v>9.3940000000000001</v>
      </c>
      <c r="CF105" s="37">
        <v>0</v>
      </c>
      <c r="CG105" s="59">
        <v>82.879000000000005</v>
      </c>
      <c r="CH105" s="37">
        <v>0</v>
      </c>
      <c r="CI105" s="37">
        <v>0</v>
      </c>
      <c r="CJ105" s="37">
        <v>0</v>
      </c>
      <c r="CK105" s="37">
        <v>0</v>
      </c>
      <c r="CL105" s="37">
        <v>0</v>
      </c>
      <c r="CM105" s="37">
        <v>0</v>
      </c>
      <c r="CN105" s="59">
        <v>0</v>
      </c>
      <c r="CO105" s="59">
        <v>82.879000000000005</v>
      </c>
      <c r="CP105" s="58"/>
      <c r="CQ105" s="3">
        <v>82.879000000000005</v>
      </c>
    </row>
    <row r="106" spans="1:95" customFormat="1" x14ac:dyDescent="0.2">
      <c r="A106" s="209">
        <v>43186</v>
      </c>
      <c r="B106" s="33" t="s">
        <v>60</v>
      </c>
      <c r="C106" s="33" t="s">
        <v>61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1</v>
      </c>
      <c r="O106" s="43">
        <v>0</v>
      </c>
      <c r="P106" s="47" t="s">
        <v>45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80000</v>
      </c>
      <c r="X106" s="37">
        <v>0</v>
      </c>
      <c r="Y106" s="37">
        <v>0</v>
      </c>
      <c r="Z106" s="37">
        <v>80000</v>
      </c>
      <c r="AA106" s="37">
        <v>0</v>
      </c>
      <c r="AB106" s="37">
        <v>130000</v>
      </c>
      <c r="AC106" s="37">
        <v>0</v>
      </c>
      <c r="AD106" s="37">
        <v>4000</v>
      </c>
      <c r="AE106" s="37">
        <v>0</v>
      </c>
      <c r="AF106" s="37">
        <v>8000</v>
      </c>
      <c r="AG106" s="59">
        <v>302000</v>
      </c>
      <c r="AH106" s="37">
        <v>0</v>
      </c>
      <c r="AI106" s="37">
        <v>0</v>
      </c>
      <c r="AJ106" s="37">
        <v>0</v>
      </c>
      <c r="AK106" s="37">
        <v>0</v>
      </c>
      <c r="AL106" s="37">
        <v>1250</v>
      </c>
      <c r="AM106" s="37">
        <v>0</v>
      </c>
      <c r="AN106" s="37">
        <v>0</v>
      </c>
      <c r="AO106" s="37">
        <v>0</v>
      </c>
      <c r="AP106" s="37">
        <v>100</v>
      </c>
      <c r="AQ106" s="37">
        <v>0</v>
      </c>
      <c r="AR106" s="37">
        <v>0</v>
      </c>
      <c r="AS106" s="59">
        <v>1350</v>
      </c>
      <c r="AT106" s="59">
        <v>303350</v>
      </c>
      <c r="AU106" s="45"/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37">
        <v>0</v>
      </c>
      <c r="BD106" s="37">
        <v>0</v>
      </c>
      <c r="BE106" s="37">
        <v>0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59">
        <v>0</v>
      </c>
      <c r="BL106" s="37">
        <v>0</v>
      </c>
      <c r="BM106" s="37">
        <v>0</v>
      </c>
      <c r="BN106" s="37">
        <v>0</v>
      </c>
      <c r="BO106" s="37">
        <v>0</v>
      </c>
      <c r="BP106" s="37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37">
        <v>0</v>
      </c>
      <c r="BW106" s="59">
        <v>0</v>
      </c>
      <c r="BX106" s="59">
        <v>0</v>
      </c>
      <c r="BZ106" s="37">
        <v>0</v>
      </c>
      <c r="CA106" s="37">
        <v>0</v>
      </c>
      <c r="CB106" s="37">
        <v>80000</v>
      </c>
      <c r="CC106" s="37">
        <v>80000</v>
      </c>
      <c r="CD106" s="37">
        <v>130000</v>
      </c>
      <c r="CE106" s="37">
        <v>4000</v>
      </c>
      <c r="CF106" s="37">
        <v>8000</v>
      </c>
      <c r="CG106" s="59">
        <v>302000</v>
      </c>
      <c r="CH106" s="37">
        <v>0</v>
      </c>
      <c r="CI106" s="37">
        <v>1250</v>
      </c>
      <c r="CJ106" s="37">
        <v>0</v>
      </c>
      <c r="CK106" s="37">
        <v>100</v>
      </c>
      <c r="CL106" s="37">
        <v>0</v>
      </c>
      <c r="CM106" s="37">
        <v>0</v>
      </c>
      <c r="CN106" s="59">
        <v>1350</v>
      </c>
      <c r="CO106" s="59">
        <v>303350</v>
      </c>
      <c r="CP106" s="58"/>
      <c r="CQ106" s="3">
        <v>303350</v>
      </c>
    </row>
    <row r="107" spans="1:95" customFormat="1" x14ac:dyDescent="0.2">
      <c r="A107" s="209">
        <v>43186</v>
      </c>
      <c r="B107" s="33" t="s">
        <v>53</v>
      </c>
      <c r="C107" s="33" t="s">
        <v>96</v>
      </c>
      <c r="D107" s="43">
        <v>0</v>
      </c>
      <c r="E107" s="43">
        <v>0</v>
      </c>
      <c r="F107" s="43">
        <v>1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7" t="s">
        <v>67</v>
      </c>
      <c r="R107" s="37">
        <v>0</v>
      </c>
      <c r="S107" s="37">
        <v>0</v>
      </c>
      <c r="T107" s="37">
        <v>600000</v>
      </c>
      <c r="U107" s="37">
        <v>0</v>
      </c>
      <c r="V107" s="37">
        <v>300000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59">
        <v>900000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59">
        <v>0</v>
      </c>
      <c r="AT107" s="59">
        <v>900000</v>
      </c>
      <c r="AU107" s="45"/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59">
        <v>0</v>
      </c>
      <c r="BL107" s="37">
        <v>0</v>
      </c>
      <c r="BM107" s="37">
        <v>0</v>
      </c>
      <c r="BN107" s="37">
        <v>0</v>
      </c>
      <c r="BO107" s="37">
        <v>0</v>
      </c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37">
        <v>0</v>
      </c>
      <c r="BW107" s="59">
        <v>0</v>
      </c>
      <c r="BX107" s="59">
        <v>0</v>
      </c>
      <c r="BZ107" s="37">
        <v>600000</v>
      </c>
      <c r="CA107" s="37">
        <v>300000</v>
      </c>
      <c r="CB107" s="37">
        <v>0</v>
      </c>
      <c r="CC107" s="37">
        <v>0</v>
      </c>
      <c r="CD107" s="37">
        <v>0</v>
      </c>
      <c r="CE107" s="37">
        <v>0</v>
      </c>
      <c r="CF107" s="37">
        <v>0</v>
      </c>
      <c r="CG107" s="59">
        <v>900000</v>
      </c>
      <c r="CH107" s="37">
        <v>0</v>
      </c>
      <c r="CI107" s="37">
        <v>0</v>
      </c>
      <c r="CJ107" s="37">
        <v>0</v>
      </c>
      <c r="CK107" s="37">
        <v>0</v>
      </c>
      <c r="CL107" s="37">
        <v>0</v>
      </c>
      <c r="CM107" s="37">
        <v>0</v>
      </c>
      <c r="CN107" s="59">
        <v>0</v>
      </c>
      <c r="CO107" s="59">
        <v>900000</v>
      </c>
      <c r="CP107" s="58"/>
      <c r="CQ107" s="3">
        <v>900000</v>
      </c>
    </row>
    <row r="108" spans="1:95" customFormat="1" x14ac:dyDescent="0.2">
      <c r="A108" s="209">
        <v>43186</v>
      </c>
      <c r="B108" s="33" t="s">
        <v>53</v>
      </c>
      <c r="C108" s="33" t="s">
        <v>99</v>
      </c>
      <c r="D108" s="43">
        <v>0</v>
      </c>
      <c r="E108" s="43">
        <v>0</v>
      </c>
      <c r="F108" s="43">
        <v>1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7" t="s">
        <v>67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59">
        <v>0</v>
      </c>
      <c r="AH108" s="37">
        <v>0</v>
      </c>
      <c r="AI108" s="37">
        <v>4000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59">
        <v>4000</v>
      </c>
      <c r="AT108" s="59">
        <v>4000</v>
      </c>
      <c r="AU108" s="45"/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37">
        <v>0</v>
      </c>
      <c r="BD108" s="37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59">
        <v>0</v>
      </c>
      <c r="BL108" s="37">
        <v>0</v>
      </c>
      <c r="BM108" s="37">
        <v>0</v>
      </c>
      <c r="BN108" s="37">
        <v>0</v>
      </c>
      <c r="BO108" s="37">
        <v>0</v>
      </c>
      <c r="BP108" s="37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59">
        <v>0</v>
      </c>
      <c r="BX108" s="59"/>
      <c r="BZ108" s="37">
        <v>0</v>
      </c>
      <c r="CA108" s="37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59">
        <v>0</v>
      </c>
      <c r="CH108" s="37">
        <v>4000</v>
      </c>
      <c r="CI108" s="37">
        <v>0</v>
      </c>
      <c r="CJ108" s="37">
        <v>0</v>
      </c>
      <c r="CK108" s="37">
        <v>0</v>
      </c>
      <c r="CL108" s="37">
        <v>0</v>
      </c>
      <c r="CM108" s="37">
        <v>0</v>
      </c>
      <c r="CN108" s="59">
        <v>4000</v>
      </c>
      <c r="CO108" s="59">
        <v>4000</v>
      </c>
      <c r="CP108" s="58"/>
      <c r="CQ108" s="3">
        <v>4000</v>
      </c>
    </row>
    <row r="109" spans="1:95" customFormat="1" x14ac:dyDescent="0.2">
      <c r="A109" s="209">
        <v>43186</v>
      </c>
      <c r="B109" s="33" t="s">
        <v>53</v>
      </c>
      <c r="C109" s="33" t="s">
        <v>54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7" t="s">
        <v>45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800</v>
      </c>
      <c r="AC109" s="37">
        <v>0</v>
      </c>
      <c r="AD109" s="37">
        <v>320</v>
      </c>
      <c r="AE109" s="37">
        <v>0</v>
      </c>
      <c r="AF109" s="37">
        <v>80</v>
      </c>
      <c r="AG109" s="59">
        <v>1200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59">
        <v>0</v>
      </c>
      <c r="AT109" s="59">
        <v>1200</v>
      </c>
      <c r="AU109" s="45"/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59">
        <v>0</v>
      </c>
      <c r="BL109" s="37">
        <v>0</v>
      </c>
      <c r="BM109" s="37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59">
        <v>0</v>
      </c>
      <c r="BX109" s="59">
        <v>0</v>
      </c>
      <c r="BZ109" s="37">
        <v>0</v>
      </c>
      <c r="CA109" s="37">
        <v>0</v>
      </c>
      <c r="CB109" s="37">
        <v>0</v>
      </c>
      <c r="CC109" s="37">
        <v>0</v>
      </c>
      <c r="CD109" s="37">
        <v>800</v>
      </c>
      <c r="CE109" s="37">
        <v>320</v>
      </c>
      <c r="CF109" s="37">
        <v>80</v>
      </c>
      <c r="CG109" s="59">
        <v>1200</v>
      </c>
      <c r="CH109" s="37">
        <v>0</v>
      </c>
      <c r="CI109" s="37">
        <v>0</v>
      </c>
      <c r="CJ109" s="37">
        <v>0</v>
      </c>
      <c r="CK109" s="37">
        <v>0</v>
      </c>
      <c r="CL109" s="37">
        <v>0</v>
      </c>
      <c r="CM109" s="37">
        <v>0</v>
      </c>
      <c r="CN109" s="59">
        <v>0</v>
      </c>
      <c r="CO109" s="59">
        <v>1200</v>
      </c>
      <c r="CP109" s="58"/>
      <c r="CQ109" s="3">
        <v>1200</v>
      </c>
    </row>
    <row r="110" spans="1:95" customFormat="1" x14ac:dyDescent="0.2">
      <c r="A110" s="209">
        <v>43187</v>
      </c>
      <c r="B110" s="33" t="s">
        <v>53</v>
      </c>
      <c r="C110" s="33" t="s">
        <v>84</v>
      </c>
      <c r="D110" s="43">
        <v>1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7" t="s">
        <v>45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59">
        <v>0</v>
      </c>
      <c r="AH110" s="37">
        <v>0</v>
      </c>
      <c r="AI110" s="37">
        <v>2250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0</v>
      </c>
      <c r="AP110" s="37">
        <v>500</v>
      </c>
      <c r="AQ110" s="37">
        <v>0</v>
      </c>
      <c r="AR110" s="37">
        <v>0</v>
      </c>
      <c r="AS110" s="59">
        <v>2750</v>
      </c>
      <c r="AT110" s="59">
        <v>2750</v>
      </c>
      <c r="AU110" s="45"/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59">
        <v>0</v>
      </c>
      <c r="BL110" s="37">
        <v>0</v>
      </c>
      <c r="BM110" s="37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59">
        <v>0</v>
      </c>
      <c r="BX110" s="59">
        <v>0</v>
      </c>
      <c r="BZ110" s="37">
        <v>0</v>
      </c>
      <c r="CA110" s="37">
        <v>0</v>
      </c>
      <c r="CB110" s="37">
        <v>0</v>
      </c>
      <c r="CC110" s="37">
        <v>0</v>
      </c>
      <c r="CD110" s="37">
        <v>0</v>
      </c>
      <c r="CE110" s="37">
        <v>0</v>
      </c>
      <c r="CF110" s="37">
        <v>0</v>
      </c>
      <c r="CG110" s="59">
        <v>0</v>
      </c>
      <c r="CH110" s="37">
        <v>2250</v>
      </c>
      <c r="CI110" s="37">
        <v>0</v>
      </c>
      <c r="CJ110" s="37">
        <v>0</v>
      </c>
      <c r="CK110" s="37">
        <v>500</v>
      </c>
      <c r="CL110" s="37">
        <v>0</v>
      </c>
      <c r="CM110" s="37">
        <v>0</v>
      </c>
      <c r="CN110" s="59">
        <v>2750</v>
      </c>
      <c r="CO110" s="59">
        <v>2750</v>
      </c>
      <c r="CP110" s="58"/>
      <c r="CQ110" s="3">
        <v>2750</v>
      </c>
    </row>
    <row r="111" spans="1:95" customFormat="1" x14ac:dyDescent="0.2">
      <c r="A111" s="209">
        <v>43187</v>
      </c>
      <c r="B111" s="33" t="s">
        <v>75</v>
      </c>
      <c r="C111" s="33" t="s">
        <v>76</v>
      </c>
      <c r="D111" s="43">
        <v>0</v>
      </c>
      <c r="E111" s="43">
        <v>0</v>
      </c>
      <c r="F111" s="43">
        <v>1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7" t="s">
        <v>67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20000</v>
      </c>
      <c r="AA111" s="37">
        <v>0</v>
      </c>
      <c r="AB111" s="37">
        <v>20000</v>
      </c>
      <c r="AC111" s="37">
        <v>0</v>
      </c>
      <c r="AD111" s="37">
        <v>8000</v>
      </c>
      <c r="AE111" s="37">
        <v>0</v>
      </c>
      <c r="AF111" s="37">
        <v>2000</v>
      </c>
      <c r="AG111" s="59">
        <v>50000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59">
        <v>0</v>
      </c>
      <c r="AT111" s="59">
        <v>50000</v>
      </c>
      <c r="AU111" s="45"/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59">
        <v>0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59">
        <v>0</v>
      </c>
      <c r="BX111" s="59">
        <v>0</v>
      </c>
      <c r="BZ111" s="37">
        <v>0</v>
      </c>
      <c r="CA111" s="37">
        <v>0</v>
      </c>
      <c r="CB111" s="37">
        <v>0</v>
      </c>
      <c r="CC111" s="37">
        <v>20000</v>
      </c>
      <c r="CD111" s="37">
        <v>20000</v>
      </c>
      <c r="CE111" s="37">
        <v>8000</v>
      </c>
      <c r="CF111" s="37">
        <v>2000</v>
      </c>
      <c r="CG111" s="59">
        <v>50000</v>
      </c>
      <c r="CH111" s="37">
        <v>0</v>
      </c>
      <c r="CI111" s="37">
        <v>0</v>
      </c>
      <c r="CJ111" s="37">
        <v>0</v>
      </c>
      <c r="CK111" s="37">
        <v>0</v>
      </c>
      <c r="CL111" s="37">
        <v>0</v>
      </c>
      <c r="CM111" s="37">
        <v>0</v>
      </c>
      <c r="CN111" s="59">
        <v>0</v>
      </c>
      <c r="CO111" s="59">
        <v>50000</v>
      </c>
      <c r="CP111" s="58"/>
      <c r="CQ111" s="3">
        <v>50000</v>
      </c>
    </row>
    <row r="112" spans="1:95" customFormat="1" x14ac:dyDescent="0.2">
      <c r="A112" s="209">
        <v>43187</v>
      </c>
      <c r="B112" s="33" t="s">
        <v>83</v>
      </c>
      <c r="C112" s="33" t="s">
        <v>76</v>
      </c>
      <c r="D112" s="43">
        <v>0</v>
      </c>
      <c r="E112" s="43">
        <v>1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7" t="s">
        <v>45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40000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8000</v>
      </c>
      <c r="AE112" s="37">
        <v>0</v>
      </c>
      <c r="AF112" s="37">
        <v>4000</v>
      </c>
      <c r="AG112" s="59">
        <v>52000</v>
      </c>
      <c r="AH112" s="37">
        <v>0</v>
      </c>
      <c r="AI112" s="37">
        <v>1000</v>
      </c>
      <c r="AJ112" s="37">
        <v>0</v>
      </c>
      <c r="AK112" s="37">
        <v>0</v>
      </c>
      <c r="AL112" s="37">
        <v>500</v>
      </c>
      <c r="AM112" s="37">
        <v>0</v>
      </c>
      <c r="AN112" s="37">
        <v>0</v>
      </c>
      <c r="AO112" s="37">
        <v>0</v>
      </c>
      <c r="AP112" s="37">
        <v>100</v>
      </c>
      <c r="AQ112" s="37">
        <v>0</v>
      </c>
      <c r="AR112" s="37">
        <v>0</v>
      </c>
      <c r="AS112" s="59">
        <v>1600</v>
      </c>
      <c r="AT112" s="59">
        <v>53600</v>
      </c>
      <c r="AU112" s="45"/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37">
        <v>0</v>
      </c>
      <c r="BB112" s="37">
        <v>0</v>
      </c>
      <c r="BC112" s="37">
        <v>0</v>
      </c>
      <c r="BD112" s="37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59">
        <v>0</v>
      </c>
      <c r="BL112" s="37">
        <v>0</v>
      </c>
      <c r="BM112" s="37">
        <v>0</v>
      </c>
      <c r="BN112" s="37">
        <v>0</v>
      </c>
      <c r="BO112" s="37">
        <v>0</v>
      </c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37">
        <v>0</v>
      </c>
      <c r="BW112" s="59">
        <v>0</v>
      </c>
      <c r="BX112" s="59">
        <v>0</v>
      </c>
      <c r="BZ112" s="37">
        <v>0</v>
      </c>
      <c r="CA112" s="37">
        <v>0</v>
      </c>
      <c r="CB112" s="37">
        <v>40000</v>
      </c>
      <c r="CC112" s="37">
        <v>0</v>
      </c>
      <c r="CD112" s="37">
        <v>0</v>
      </c>
      <c r="CE112" s="37">
        <v>8000</v>
      </c>
      <c r="CF112" s="37">
        <v>4000</v>
      </c>
      <c r="CG112" s="59">
        <v>52000</v>
      </c>
      <c r="CH112" s="37">
        <v>1000</v>
      </c>
      <c r="CI112" s="37">
        <v>500</v>
      </c>
      <c r="CJ112" s="37">
        <v>0</v>
      </c>
      <c r="CK112" s="37">
        <v>100</v>
      </c>
      <c r="CL112" s="37">
        <v>0</v>
      </c>
      <c r="CM112" s="37">
        <v>0</v>
      </c>
      <c r="CN112" s="59">
        <v>1600</v>
      </c>
      <c r="CO112" s="59">
        <v>53600</v>
      </c>
      <c r="CP112" s="58"/>
      <c r="CQ112" s="3">
        <v>53600</v>
      </c>
    </row>
    <row r="113" spans="1:95" customFormat="1" x14ac:dyDescent="0.2">
      <c r="A113" s="209">
        <v>43192</v>
      </c>
      <c r="B113" s="33" t="s">
        <v>60</v>
      </c>
      <c r="C113" s="33" t="s">
        <v>61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1</v>
      </c>
      <c r="O113" s="43">
        <v>0</v>
      </c>
      <c r="P113" s="47" t="s">
        <v>45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80000</v>
      </c>
      <c r="X113" s="37">
        <v>0</v>
      </c>
      <c r="Y113" s="37">
        <v>0</v>
      </c>
      <c r="Z113" s="37">
        <v>100000</v>
      </c>
      <c r="AA113" s="37">
        <v>0</v>
      </c>
      <c r="AB113" s="37">
        <v>90000</v>
      </c>
      <c r="AC113" s="37">
        <v>0</v>
      </c>
      <c r="AD113" s="37">
        <v>32000</v>
      </c>
      <c r="AE113" s="37">
        <v>0</v>
      </c>
      <c r="AF113" s="37">
        <v>4000</v>
      </c>
      <c r="AG113" s="59">
        <v>306000</v>
      </c>
      <c r="AH113" s="37">
        <v>0</v>
      </c>
      <c r="AI113" s="37">
        <v>1500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100</v>
      </c>
      <c r="AQ113" s="37">
        <v>0</v>
      </c>
      <c r="AR113" s="37">
        <v>0</v>
      </c>
      <c r="AS113" s="59">
        <v>1600</v>
      </c>
      <c r="AT113" s="59">
        <v>307600</v>
      </c>
      <c r="AU113" s="45"/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0</v>
      </c>
      <c r="BH113" s="37">
        <v>0</v>
      </c>
      <c r="BI113" s="37">
        <v>0</v>
      </c>
      <c r="BJ113" s="37">
        <v>0</v>
      </c>
      <c r="BK113" s="59">
        <v>0</v>
      </c>
      <c r="BL113" s="37">
        <v>0</v>
      </c>
      <c r="BM113" s="37">
        <v>0</v>
      </c>
      <c r="BN113" s="37">
        <v>0</v>
      </c>
      <c r="BO113" s="37">
        <v>0</v>
      </c>
      <c r="BP113" s="37">
        <v>0</v>
      </c>
      <c r="BQ113" s="37">
        <v>0</v>
      </c>
      <c r="BR113" s="37">
        <v>0</v>
      </c>
      <c r="BS113" s="37">
        <v>0</v>
      </c>
      <c r="BT113" s="37">
        <v>0</v>
      </c>
      <c r="BU113" s="37">
        <v>0</v>
      </c>
      <c r="BV113" s="37">
        <v>0</v>
      </c>
      <c r="BW113" s="59">
        <v>0</v>
      </c>
      <c r="BX113" s="59">
        <v>0</v>
      </c>
      <c r="BZ113" s="37">
        <v>0</v>
      </c>
      <c r="CA113" s="37">
        <v>0</v>
      </c>
      <c r="CB113" s="37">
        <v>80000</v>
      </c>
      <c r="CC113" s="37">
        <v>100000</v>
      </c>
      <c r="CD113" s="37">
        <v>90000</v>
      </c>
      <c r="CE113" s="37">
        <v>32000</v>
      </c>
      <c r="CF113" s="37">
        <v>4000</v>
      </c>
      <c r="CG113" s="59">
        <v>306000</v>
      </c>
      <c r="CH113" s="37">
        <v>1500</v>
      </c>
      <c r="CI113" s="37">
        <v>0</v>
      </c>
      <c r="CJ113" s="37">
        <v>0</v>
      </c>
      <c r="CK113" s="37">
        <v>100</v>
      </c>
      <c r="CL113" s="37">
        <v>0</v>
      </c>
      <c r="CM113" s="37">
        <v>0</v>
      </c>
      <c r="CN113" s="59">
        <v>1600</v>
      </c>
      <c r="CO113" s="59">
        <v>307600</v>
      </c>
      <c r="CP113" s="58"/>
      <c r="CQ113" s="3">
        <v>307600</v>
      </c>
    </row>
    <row r="114" spans="1:95" customFormat="1" x14ac:dyDescent="0.2">
      <c r="A114" s="209">
        <v>43193</v>
      </c>
      <c r="B114" s="33" t="s">
        <v>55</v>
      </c>
      <c r="C114" s="33" t="s">
        <v>56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5.0000000000000001E-3</v>
      </c>
      <c r="AC114" s="37">
        <v>0</v>
      </c>
      <c r="AD114" s="37">
        <v>0</v>
      </c>
      <c r="AE114" s="37">
        <v>0</v>
      </c>
      <c r="AF114" s="37">
        <v>0</v>
      </c>
      <c r="AG114" s="59">
        <v>5.0000000000000001E-3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59">
        <v>0</v>
      </c>
      <c r="AT114" s="59">
        <v>5.0000000000000001E-3</v>
      </c>
      <c r="AU114" s="45"/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59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59">
        <v>0</v>
      </c>
      <c r="BX114" s="59">
        <v>0</v>
      </c>
      <c r="BZ114" s="37">
        <v>0</v>
      </c>
      <c r="CA114" s="37">
        <v>0</v>
      </c>
      <c r="CB114" s="37">
        <v>0</v>
      </c>
      <c r="CC114" s="37">
        <v>0</v>
      </c>
      <c r="CD114" s="37">
        <v>5.0000000000000001E-3</v>
      </c>
      <c r="CE114" s="37">
        <v>0</v>
      </c>
      <c r="CF114" s="37">
        <v>0</v>
      </c>
      <c r="CG114" s="59">
        <v>5.0000000000000001E-3</v>
      </c>
      <c r="CH114" s="37">
        <v>0</v>
      </c>
      <c r="CI114" s="37">
        <v>0</v>
      </c>
      <c r="CJ114" s="37">
        <v>0</v>
      </c>
      <c r="CK114" s="37">
        <v>0</v>
      </c>
      <c r="CL114" s="37">
        <v>0</v>
      </c>
      <c r="CM114" s="37">
        <v>0</v>
      </c>
      <c r="CN114" s="59">
        <v>0</v>
      </c>
      <c r="CO114" s="59">
        <v>5.0000000000000001E-3</v>
      </c>
      <c r="CP114" s="58"/>
      <c r="CQ114" s="3">
        <v>5.0000000000000001E-3</v>
      </c>
    </row>
    <row r="115" spans="1:95" customFormat="1" x14ac:dyDescent="0.2">
      <c r="A115" s="209">
        <v>43193</v>
      </c>
      <c r="B115" s="33" t="s">
        <v>83</v>
      </c>
      <c r="C115" s="33" t="s">
        <v>76</v>
      </c>
      <c r="D115" s="43">
        <v>0</v>
      </c>
      <c r="E115" s="43">
        <v>1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7" t="s">
        <v>45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80000</v>
      </c>
      <c r="X115" s="37">
        <v>0</v>
      </c>
      <c r="Y115" s="37">
        <v>0</v>
      </c>
      <c r="Z115" s="37">
        <v>40000</v>
      </c>
      <c r="AA115" s="37">
        <v>0</v>
      </c>
      <c r="AB115" s="37">
        <v>20000</v>
      </c>
      <c r="AC115" s="37">
        <v>0</v>
      </c>
      <c r="AD115" s="37">
        <v>12000</v>
      </c>
      <c r="AE115" s="37">
        <v>0</v>
      </c>
      <c r="AF115" s="37">
        <v>0</v>
      </c>
      <c r="AG115" s="59">
        <v>152000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100</v>
      </c>
      <c r="AQ115" s="37">
        <v>0</v>
      </c>
      <c r="AR115" s="37">
        <v>0</v>
      </c>
      <c r="AS115" s="59">
        <v>100</v>
      </c>
      <c r="AT115" s="59">
        <v>152100</v>
      </c>
      <c r="AU115" s="45"/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59">
        <v>0</v>
      </c>
      <c r="BL115" s="37">
        <v>0</v>
      </c>
      <c r="BM115" s="37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59">
        <v>0</v>
      </c>
      <c r="BX115" s="59">
        <v>0</v>
      </c>
      <c r="BZ115" s="37">
        <v>0</v>
      </c>
      <c r="CA115" s="37">
        <v>0</v>
      </c>
      <c r="CB115" s="37">
        <v>80000</v>
      </c>
      <c r="CC115" s="37">
        <v>40000</v>
      </c>
      <c r="CD115" s="37">
        <v>20000</v>
      </c>
      <c r="CE115" s="37">
        <v>12000</v>
      </c>
      <c r="CF115" s="37">
        <v>0</v>
      </c>
      <c r="CG115" s="59">
        <v>152000</v>
      </c>
      <c r="CH115" s="37">
        <v>0</v>
      </c>
      <c r="CI115" s="37">
        <v>0</v>
      </c>
      <c r="CJ115" s="37">
        <v>0</v>
      </c>
      <c r="CK115" s="37">
        <v>100</v>
      </c>
      <c r="CL115" s="37">
        <v>0</v>
      </c>
      <c r="CM115" s="37">
        <v>0</v>
      </c>
      <c r="CN115" s="59">
        <v>100</v>
      </c>
      <c r="CO115" s="59">
        <v>152100</v>
      </c>
      <c r="CP115" s="58"/>
      <c r="CQ115" s="3">
        <v>152100</v>
      </c>
    </row>
    <row r="116" spans="1:95" customFormat="1" x14ac:dyDescent="0.2">
      <c r="A116" s="209">
        <v>43193</v>
      </c>
      <c r="B116" s="33" t="s">
        <v>53</v>
      </c>
      <c r="C116" s="33" t="s">
        <v>54</v>
      </c>
      <c r="D116" s="43">
        <v>1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7" t="s">
        <v>45</v>
      </c>
      <c r="R116" s="37">
        <v>0</v>
      </c>
      <c r="S116" s="37">
        <v>0</v>
      </c>
      <c r="T116" s="37">
        <v>4000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400</v>
      </c>
      <c r="AA116" s="37">
        <v>0</v>
      </c>
      <c r="AB116" s="37">
        <v>200</v>
      </c>
      <c r="AC116" s="37">
        <v>0</v>
      </c>
      <c r="AD116" s="37">
        <v>50080</v>
      </c>
      <c r="AE116" s="37">
        <v>0</v>
      </c>
      <c r="AF116" s="37">
        <v>40</v>
      </c>
      <c r="AG116" s="59">
        <v>54720</v>
      </c>
      <c r="AH116" s="37">
        <v>0</v>
      </c>
      <c r="AI116" s="37">
        <v>0</v>
      </c>
      <c r="AJ116" s="37">
        <v>0</v>
      </c>
      <c r="AK116" s="37">
        <v>0</v>
      </c>
      <c r="AL116" s="37">
        <v>3125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59">
        <v>3125</v>
      </c>
      <c r="AT116" s="59">
        <v>57845</v>
      </c>
      <c r="AU116" s="45"/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59">
        <v>0</v>
      </c>
      <c r="BL116" s="37">
        <v>0</v>
      </c>
      <c r="BM116" s="37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59">
        <v>0</v>
      </c>
      <c r="BX116" s="59">
        <v>0</v>
      </c>
      <c r="BZ116" s="37">
        <v>4000</v>
      </c>
      <c r="CA116" s="37">
        <v>0</v>
      </c>
      <c r="CB116" s="37">
        <v>0</v>
      </c>
      <c r="CC116" s="37">
        <v>400</v>
      </c>
      <c r="CD116" s="37">
        <v>200</v>
      </c>
      <c r="CE116" s="37">
        <v>50080</v>
      </c>
      <c r="CF116" s="37">
        <v>40</v>
      </c>
      <c r="CG116" s="59">
        <v>54720</v>
      </c>
      <c r="CH116" s="37">
        <v>0</v>
      </c>
      <c r="CI116" s="37">
        <v>3125</v>
      </c>
      <c r="CJ116" s="37">
        <v>0</v>
      </c>
      <c r="CK116" s="37">
        <v>0</v>
      </c>
      <c r="CL116" s="37">
        <v>0</v>
      </c>
      <c r="CM116" s="37">
        <v>0</v>
      </c>
      <c r="CN116" s="59">
        <v>3125</v>
      </c>
      <c r="CO116" s="59">
        <v>57845</v>
      </c>
      <c r="CP116" s="58"/>
      <c r="CQ116" s="3">
        <v>57845</v>
      </c>
    </row>
    <row r="117" spans="1:95" customFormat="1" x14ac:dyDescent="0.2">
      <c r="A117" s="209">
        <v>43194</v>
      </c>
      <c r="B117" s="33" t="s">
        <v>85</v>
      </c>
      <c r="C117" s="33" t="s">
        <v>76</v>
      </c>
      <c r="D117" s="43">
        <v>0</v>
      </c>
      <c r="E117" s="43">
        <v>1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7" t="s">
        <v>45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80000</v>
      </c>
      <c r="X117" s="37">
        <v>0</v>
      </c>
      <c r="Y117" s="37">
        <v>0</v>
      </c>
      <c r="Z117" s="37">
        <v>50000</v>
      </c>
      <c r="AA117" s="37">
        <v>0</v>
      </c>
      <c r="AB117" s="37">
        <v>35000</v>
      </c>
      <c r="AC117" s="37">
        <v>0</v>
      </c>
      <c r="AD117" s="37">
        <v>14000</v>
      </c>
      <c r="AE117" s="37">
        <v>0</v>
      </c>
      <c r="AF117" s="37">
        <v>2000</v>
      </c>
      <c r="AG117" s="59">
        <v>181000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59">
        <v>0</v>
      </c>
      <c r="AT117" s="59">
        <v>181000</v>
      </c>
      <c r="AU117" s="45"/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59">
        <v>0</v>
      </c>
      <c r="BL117" s="37">
        <v>0</v>
      </c>
      <c r="BM117" s="37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59">
        <v>0</v>
      </c>
      <c r="BX117" s="59">
        <v>0</v>
      </c>
      <c r="BZ117" s="37">
        <v>0</v>
      </c>
      <c r="CA117" s="37">
        <v>0</v>
      </c>
      <c r="CB117" s="37">
        <v>80000</v>
      </c>
      <c r="CC117" s="37">
        <v>50000</v>
      </c>
      <c r="CD117" s="37">
        <v>35000</v>
      </c>
      <c r="CE117" s="37">
        <v>14000</v>
      </c>
      <c r="CF117" s="37">
        <v>2000</v>
      </c>
      <c r="CG117" s="59">
        <v>181000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0</v>
      </c>
      <c r="CN117" s="59">
        <v>0</v>
      </c>
      <c r="CO117" s="59">
        <v>181000</v>
      </c>
      <c r="CP117" s="58"/>
      <c r="CQ117" s="3">
        <v>181000</v>
      </c>
    </row>
    <row r="118" spans="1:95" customFormat="1" x14ac:dyDescent="0.2">
      <c r="A118" s="209">
        <v>43194</v>
      </c>
      <c r="B118" s="33" t="s">
        <v>53</v>
      </c>
      <c r="C118" s="33" t="s">
        <v>100</v>
      </c>
      <c r="D118" s="43">
        <v>1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7">
        <v>0</v>
      </c>
      <c r="R118" s="37">
        <v>0</v>
      </c>
      <c r="S118" s="37">
        <v>244000</v>
      </c>
      <c r="T118" s="37">
        <v>86000</v>
      </c>
      <c r="U118" s="37">
        <v>275000</v>
      </c>
      <c r="V118" s="37">
        <v>84000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59">
        <v>689000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0</v>
      </c>
      <c r="AR118" s="37">
        <v>0</v>
      </c>
      <c r="AS118" s="59">
        <v>0</v>
      </c>
      <c r="AT118" s="59">
        <v>689000</v>
      </c>
      <c r="AU118" s="45"/>
      <c r="AV118" s="37">
        <v>0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7">
        <v>0</v>
      </c>
      <c r="BC118" s="37">
        <v>0</v>
      </c>
      <c r="BD118" s="37">
        <v>0</v>
      </c>
      <c r="BE118" s="37">
        <v>0</v>
      </c>
      <c r="BF118" s="37">
        <v>0</v>
      </c>
      <c r="BG118" s="37">
        <v>0</v>
      </c>
      <c r="BH118" s="37">
        <v>0</v>
      </c>
      <c r="BI118" s="37">
        <v>0</v>
      </c>
      <c r="BJ118" s="37">
        <v>0</v>
      </c>
      <c r="BK118" s="59">
        <v>0</v>
      </c>
      <c r="BL118" s="37">
        <v>0</v>
      </c>
      <c r="BM118" s="37">
        <v>0</v>
      </c>
      <c r="BN118" s="37">
        <v>0</v>
      </c>
      <c r="BO118" s="37">
        <v>0</v>
      </c>
      <c r="BP118" s="37">
        <v>0</v>
      </c>
      <c r="BQ118" s="37">
        <v>0</v>
      </c>
      <c r="BR118" s="37">
        <v>0</v>
      </c>
      <c r="BS118" s="37">
        <v>0</v>
      </c>
      <c r="BT118" s="37">
        <v>0</v>
      </c>
      <c r="BU118" s="37">
        <v>0</v>
      </c>
      <c r="BV118" s="37">
        <v>0</v>
      </c>
      <c r="BW118" s="59">
        <v>0</v>
      </c>
      <c r="BX118" s="59">
        <v>0</v>
      </c>
      <c r="BZ118" s="37">
        <v>330000</v>
      </c>
      <c r="CA118" s="37">
        <v>359000</v>
      </c>
      <c r="CB118" s="37">
        <v>0</v>
      </c>
      <c r="CC118" s="37">
        <v>0</v>
      </c>
      <c r="CD118" s="37">
        <v>0</v>
      </c>
      <c r="CE118" s="37">
        <v>0</v>
      </c>
      <c r="CF118" s="37">
        <v>0</v>
      </c>
      <c r="CG118" s="59">
        <v>689000</v>
      </c>
      <c r="CH118" s="37">
        <v>0</v>
      </c>
      <c r="CI118" s="37">
        <v>0</v>
      </c>
      <c r="CJ118" s="37">
        <v>0</v>
      </c>
      <c r="CK118" s="37">
        <v>0</v>
      </c>
      <c r="CL118" s="37">
        <v>0</v>
      </c>
      <c r="CM118" s="37">
        <v>0</v>
      </c>
      <c r="CN118" s="59">
        <v>0</v>
      </c>
      <c r="CO118" s="59">
        <v>689000</v>
      </c>
      <c r="CP118" s="58"/>
      <c r="CQ118" s="3">
        <v>689000</v>
      </c>
    </row>
    <row r="119" spans="1:95" customFormat="1" x14ac:dyDescent="0.2">
      <c r="A119" s="209">
        <v>43195</v>
      </c>
      <c r="B119" s="33" t="s">
        <v>66</v>
      </c>
      <c r="C119" s="33" t="s">
        <v>65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1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7" t="s">
        <v>45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160000</v>
      </c>
      <c r="X119" s="37">
        <v>0</v>
      </c>
      <c r="Y119" s="37">
        <v>0</v>
      </c>
      <c r="Z119" s="37">
        <v>120000</v>
      </c>
      <c r="AA119" s="37">
        <v>0</v>
      </c>
      <c r="AB119" s="37">
        <v>110000</v>
      </c>
      <c r="AC119" s="37">
        <v>0</v>
      </c>
      <c r="AD119" s="37">
        <v>44000</v>
      </c>
      <c r="AE119" s="37">
        <v>0</v>
      </c>
      <c r="AF119" s="37">
        <v>6000</v>
      </c>
      <c r="AG119" s="59">
        <v>440000</v>
      </c>
      <c r="AH119" s="37">
        <v>0</v>
      </c>
      <c r="AI119" s="37">
        <v>0</v>
      </c>
      <c r="AJ119" s="37">
        <v>500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150</v>
      </c>
      <c r="AQ119" s="37">
        <v>0</v>
      </c>
      <c r="AR119" s="37">
        <v>0</v>
      </c>
      <c r="AS119" s="59">
        <v>650</v>
      </c>
      <c r="AT119" s="59">
        <v>440650</v>
      </c>
      <c r="AU119" s="45"/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0</v>
      </c>
      <c r="BG119" s="37">
        <v>0</v>
      </c>
      <c r="BH119" s="37">
        <v>0</v>
      </c>
      <c r="BI119" s="37">
        <v>0</v>
      </c>
      <c r="BJ119" s="37">
        <v>0</v>
      </c>
      <c r="BK119" s="59">
        <v>0</v>
      </c>
      <c r="BL119" s="37">
        <v>0</v>
      </c>
      <c r="BM119" s="37">
        <v>0</v>
      </c>
      <c r="BN119" s="37">
        <v>0</v>
      </c>
      <c r="BO119" s="37">
        <v>0</v>
      </c>
      <c r="BP119" s="37">
        <v>0</v>
      </c>
      <c r="BQ119" s="37">
        <v>0</v>
      </c>
      <c r="BR119" s="37">
        <v>0</v>
      </c>
      <c r="BS119" s="37">
        <v>0</v>
      </c>
      <c r="BT119" s="37">
        <v>0</v>
      </c>
      <c r="BU119" s="37">
        <v>0</v>
      </c>
      <c r="BV119" s="37">
        <v>0</v>
      </c>
      <c r="BW119" s="59">
        <v>0</v>
      </c>
      <c r="BX119" s="59">
        <v>0</v>
      </c>
      <c r="BZ119" s="37">
        <v>0</v>
      </c>
      <c r="CA119" s="37">
        <v>0</v>
      </c>
      <c r="CB119" s="37">
        <v>160000</v>
      </c>
      <c r="CC119" s="37">
        <v>120000</v>
      </c>
      <c r="CD119" s="37">
        <v>110000</v>
      </c>
      <c r="CE119" s="37">
        <v>44000</v>
      </c>
      <c r="CF119" s="37">
        <v>6000</v>
      </c>
      <c r="CG119" s="59">
        <v>440000</v>
      </c>
      <c r="CH119" s="37">
        <v>0</v>
      </c>
      <c r="CI119" s="37">
        <v>500</v>
      </c>
      <c r="CJ119" s="37">
        <v>0</v>
      </c>
      <c r="CK119" s="37">
        <v>150</v>
      </c>
      <c r="CL119" s="37">
        <v>0</v>
      </c>
      <c r="CM119" s="37">
        <v>0</v>
      </c>
      <c r="CN119" s="59">
        <v>650</v>
      </c>
      <c r="CO119" s="59">
        <v>440650</v>
      </c>
      <c r="CP119" s="58"/>
      <c r="CQ119" s="3">
        <v>440650</v>
      </c>
    </row>
    <row r="120" spans="1:95" customFormat="1" x14ac:dyDescent="0.2">
      <c r="A120" s="209">
        <v>43199</v>
      </c>
      <c r="B120" s="33" t="s">
        <v>60</v>
      </c>
      <c r="C120" s="33" t="s">
        <v>61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1</v>
      </c>
      <c r="O120" s="43">
        <v>0</v>
      </c>
      <c r="P120" s="47" t="s">
        <v>45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80000</v>
      </c>
      <c r="X120" s="37">
        <v>0</v>
      </c>
      <c r="Y120" s="37">
        <v>0</v>
      </c>
      <c r="Z120" s="37">
        <v>100000</v>
      </c>
      <c r="AA120" s="37">
        <v>0</v>
      </c>
      <c r="AB120" s="37">
        <v>90000</v>
      </c>
      <c r="AC120" s="37">
        <v>0</v>
      </c>
      <c r="AD120" s="37">
        <v>32000</v>
      </c>
      <c r="AE120" s="37">
        <v>0</v>
      </c>
      <c r="AF120" s="37">
        <v>2000</v>
      </c>
      <c r="AG120" s="59">
        <v>304000</v>
      </c>
      <c r="AH120" s="37">
        <v>0</v>
      </c>
      <c r="AI120" s="37">
        <v>500</v>
      </c>
      <c r="AJ120" s="37">
        <v>0</v>
      </c>
      <c r="AK120" s="37">
        <v>0</v>
      </c>
      <c r="AL120" s="37">
        <v>1000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59">
        <v>1500</v>
      </c>
      <c r="AT120" s="59">
        <v>305500</v>
      </c>
      <c r="AU120" s="45"/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59">
        <v>0</v>
      </c>
      <c r="BL120" s="37">
        <v>0</v>
      </c>
      <c r="BM120" s="37">
        <v>0</v>
      </c>
      <c r="BN120" s="37">
        <v>0</v>
      </c>
      <c r="BO120" s="37">
        <v>0</v>
      </c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59">
        <v>0</v>
      </c>
      <c r="BX120" s="59">
        <v>0</v>
      </c>
      <c r="BZ120" s="37">
        <v>0</v>
      </c>
      <c r="CA120" s="37">
        <v>0</v>
      </c>
      <c r="CB120" s="37">
        <v>80000</v>
      </c>
      <c r="CC120" s="37">
        <v>100000</v>
      </c>
      <c r="CD120" s="37">
        <v>90000</v>
      </c>
      <c r="CE120" s="37">
        <v>32000</v>
      </c>
      <c r="CF120" s="37">
        <v>2000</v>
      </c>
      <c r="CG120" s="59">
        <v>304000</v>
      </c>
      <c r="CH120" s="37">
        <v>500</v>
      </c>
      <c r="CI120" s="37">
        <v>1000</v>
      </c>
      <c r="CJ120" s="37">
        <v>0</v>
      </c>
      <c r="CK120" s="37">
        <v>0</v>
      </c>
      <c r="CL120" s="37">
        <v>0</v>
      </c>
      <c r="CM120" s="37">
        <v>0</v>
      </c>
      <c r="CN120" s="59">
        <v>1500</v>
      </c>
      <c r="CO120" s="59">
        <v>305500</v>
      </c>
      <c r="CP120" s="58"/>
      <c r="CQ120" s="3">
        <v>305500</v>
      </c>
    </row>
    <row r="121" spans="1:95" customFormat="1" x14ac:dyDescent="0.2">
      <c r="A121" s="209">
        <v>43199</v>
      </c>
      <c r="B121" s="33" t="s">
        <v>53</v>
      </c>
      <c r="C121" s="33" t="s">
        <v>54</v>
      </c>
      <c r="D121" s="43">
        <v>1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7">
        <v>0</v>
      </c>
      <c r="R121" s="37">
        <v>0</v>
      </c>
      <c r="S121" s="37">
        <v>0</v>
      </c>
      <c r="T121" s="37">
        <v>500000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20000</v>
      </c>
      <c r="AA121" s="37">
        <v>0</v>
      </c>
      <c r="AB121" s="37">
        <v>400</v>
      </c>
      <c r="AC121" s="37">
        <v>0</v>
      </c>
      <c r="AD121" s="37">
        <v>160</v>
      </c>
      <c r="AE121" s="37">
        <v>0</v>
      </c>
      <c r="AF121" s="37">
        <v>80</v>
      </c>
      <c r="AG121" s="59">
        <v>520640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59">
        <v>0</v>
      </c>
      <c r="AT121" s="59">
        <v>520640</v>
      </c>
      <c r="AU121" s="45"/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59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59">
        <v>0</v>
      </c>
      <c r="BX121" s="59">
        <v>0</v>
      </c>
      <c r="BZ121" s="37">
        <v>500000</v>
      </c>
      <c r="CA121" s="37">
        <v>0</v>
      </c>
      <c r="CB121" s="37">
        <v>0</v>
      </c>
      <c r="CC121" s="37">
        <v>20000</v>
      </c>
      <c r="CD121" s="37">
        <v>400</v>
      </c>
      <c r="CE121" s="37">
        <v>160</v>
      </c>
      <c r="CF121" s="37">
        <v>80</v>
      </c>
      <c r="CG121" s="59">
        <v>520640</v>
      </c>
      <c r="CH121" s="37">
        <v>0</v>
      </c>
      <c r="CI121" s="37">
        <v>0</v>
      </c>
      <c r="CJ121" s="37">
        <v>0</v>
      </c>
      <c r="CK121" s="37">
        <v>0</v>
      </c>
      <c r="CL121" s="37">
        <v>0</v>
      </c>
      <c r="CM121" s="37">
        <v>0</v>
      </c>
      <c r="CN121" s="59">
        <v>0</v>
      </c>
      <c r="CO121" s="59">
        <v>520640</v>
      </c>
      <c r="CP121" s="58"/>
      <c r="CQ121" s="3">
        <v>520640</v>
      </c>
    </row>
    <row r="122" spans="1:95" customFormat="1" x14ac:dyDescent="0.2">
      <c r="A122" s="209">
        <v>43200</v>
      </c>
      <c r="B122" s="33" t="s">
        <v>83</v>
      </c>
      <c r="C122" s="33" t="s">
        <v>76</v>
      </c>
      <c r="D122" s="43">
        <v>0</v>
      </c>
      <c r="E122" s="43">
        <v>1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7" t="s">
        <v>45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60000</v>
      </c>
      <c r="AA122" s="37">
        <v>0</v>
      </c>
      <c r="AB122" s="37">
        <v>40000</v>
      </c>
      <c r="AC122" s="37">
        <v>0</v>
      </c>
      <c r="AD122" s="37">
        <v>4000</v>
      </c>
      <c r="AE122" s="37">
        <v>0</v>
      </c>
      <c r="AF122" s="37">
        <v>2000</v>
      </c>
      <c r="AG122" s="59">
        <v>106000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100</v>
      </c>
      <c r="AQ122" s="37">
        <v>0</v>
      </c>
      <c r="AR122" s="37">
        <v>0</v>
      </c>
      <c r="AS122" s="59">
        <v>100</v>
      </c>
      <c r="AT122" s="59">
        <v>106100</v>
      </c>
      <c r="AU122" s="45"/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37">
        <v>0</v>
      </c>
      <c r="BD122" s="37">
        <v>0</v>
      </c>
      <c r="BE122" s="37">
        <v>0</v>
      </c>
      <c r="BF122" s="37">
        <v>0</v>
      </c>
      <c r="BG122" s="37">
        <v>0</v>
      </c>
      <c r="BH122" s="37">
        <v>0</v>
      </c>
      <c r="BI122" s="37">
        <v>0</v>
      </c>
      <c r="BJ122" s="37">
        <v>0</v>
      </c>
      <c r="BK122" s="59">
        <v>0</v>
      </c>
      <c r="BL122" s="37">
        <v>0</v>
      </c>
      <c r="BM122" s="37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59">
        <v>0</v>
      </c>
      <c r="BX122" s="59">
        <v>0</v>
      </c>
      <c r="BZ122" s="37">
        <v>0</v>
      </c>
      <c r="CA122" s="37">
        <v>0</v>
      </c>
      <c r="CB122" s="37">
        <v>0</v>
      </c>
      <c r="CC122" s="37">
        <v>60000</v>
      </c>
      <c r="CD122" s="37">
        <v>40000</v>
      </c>
      <c r="CE122" s="37">
        <v>4000</v>
      </c>
      <c r="CF122" s="37">
        <v>2000</v>
      </c>
      <c r="CG122" s="59">
        <v>106000</v>
      </c>
      <c r="CH122" s="37">
        <v>0</v>
      </c>
      <c r="CI122" s="37">
        <v>0</v>
      </c>
      <c r="CJ122" s="37">
        <v>0</v>
      </c>
      <c r="CK122" s="37">
        <v>100</v>
      </c>
      <c r="CL122" s="37">
        <v>0</v>
      </c>
      <c r="CM122" s="37">
        <v>0</v>
      </c>
      <c r="CN122" s="59">
        <v>100</v>
      </c>
      <c r="CO122" s="59">
        <v>106100</v>
      </c>
      <c r="CP122" s="58"/>
      <c r="CQ122" s="3">
        <v>106100</v>
      </c>
    </row>
    <row r="123" spans="1:95" customFormat="1" x14ac:dyDescent="0.2">
      <c r="A123" s="209">
        <v>43200</v>
      </c>
      <c r="B123" s="33" t="s">
        <v>53</v>
      </c>
      <c r="C123" s="33" t="s">
        <v>54</v>
      </c>
      <c r="D123" s="43">
        <v>1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30000</v>
      </c>
      <c r="AA123" s="37">
        <v>0</v>
      </c>
      <c r="AB123" s="37">
        <v>50000</v>
      </c>
      <c r="AC123" s="37">
        <v>0</v>
      </c>
      <c r="AD123" s="37">
        <v>20000</v>
      </c>
      <c r="AE123" s="37">
        <v>0</v>
      </c>
      <c r="AF123" s="37">
        <v>0</v>
      </c>
      <c r="AG123" s="59">
        <v>100000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4</v>
      </c>
      <c r="AO123" s="37">
        <v>0</v>
      </c>
      <c r="AP123" s="37">
        <v>0</v>
      </c>
      <c r="AQ123" s="37">
        <v>0</v>
      </c>
      <c r="AR123" s="37">
        <v>0</v>
      </c>
      <c r="AS123" s="59">
        <v>4</v>
      </c>
      <c r="AT123" s="59">
        <v>100004</v>
      </c>
      <c r="AU123" s="45"/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59">
        <v>0</v>
      </c>
      <c r="BL123" s="37">
        <v>0</v>
      </c>
      <c r="BM123" s="37">
        <v>0</v>
      </c>
      <c r="BN123" s="37">
        <v>0</v>
      </c>
      <c r="BO123" s="37">
        <v>0</v>
      </c>
      <c r="BP123" s="37">
        <v>0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37">
        <v>0</v>
      </c>
      <c r="BW123" s="59">
        <v>0</v>
      </c>
      <c r="BX123" s="59">
        <v>0</v>
      </c>
      <c r="BZ123" s="37">
        <v>0</v>
      </c>
      <c r="CA123" s="37">
        <v>0</v>
      </c>
      <c r="CB123" s="37">
        <v>0</v>
      </c>
      <c r="CC123" s="37">
        <v>30000</v>
      </c>
      <c r="CD123" s="37">
        <v>50000</v>
      </c>
      <c r="CE123" s="37">
        <v>20000</v>
      </c>
      <c r="CF123" s="37">
        <v>0</v>
      </c>
      <c r="CG123" s="59">
        <v>100000</v>
      </c>
      <c r="CH123" s="37">
        <v>0</v>
      </c>
      <c r="CI123" s="37">
        <v>0</v>
      </c>
      <c r="CJ123" s="37">
        <v>4</v>
      </c>
      <c r="CK123" s="37">
        <v>0</v>
      </c>
      <c r="CL123" s="37">
        <v>0</v>
      </c>
      <c r="CM123" s="37">
        <v>0</v>
      </c>
      <c r="CN123" s="59">
        <v>4</v>
      </c>
      <c r="CO123" s="59">
        <v>100004</v>
      </c>
      <c r="CP123" s="58"/>
      <c r="CQ123" s="3">
        <v>100004</v>
      </c>
    </row>
    <row r="124" spans="1:95" customFormat="1" x14ac:dyDescent="0.2">
      <c r="A124" s="209">
        <v>43201</v>
      </c>
      <c r="B124" s="33" t="s">
        <v>85</v>
      </c>
      <c r="C124" s="33" t="s">
        <v>76</v>
      </c>
      <c r="D124" s="43">
        <v>0</v>
      </c>
      <c r="E124" s="43">
        <v>1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7" t="s">
        <v>45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80000</v>
      </c>
      <c r="X124" s="37">
        <v>0</v>
      </c>
      <c r="Y124" s="37">
        <v>0</v>
      </c>
      <c r="Z124" s="37">
        <v>50000</v>
      </c>
      <c r="AA124" s="37">
        <v>0</v>
      </c>
      <c r="AB124" s="37">
        <v>30000</v>
      </c>
      <c r="AC124" s="37">
        <v>0</v>
      </c>
      <c r="AD124" s="37">
        <v>16000</v>
      </c>
      <c r="AE124" s="37">
        <v>0</v>
      </c>
      <c r="AF124" s="37">
        <v>2000</v>
      </c>
      <c r="AG124" s="59">
        <v>178000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59">
        <v>0</v>
      </c>
      <c r="AT124" s="59">
        <v>178000</v>
      </c>
      <c r="AU124" s="45"/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59">
        <v>0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59">
        <v>0</v>
      </c>
      <c r="BX124" s="59">
        <v>0</v>
      </c>
      <c r="BZ124" s="37">
        <v>0</v>
      </c>
      <c r="CA124" s="37">
        <v>0</v>
      </c>
      <c r="CB124" s="37">
        <v>80000</v>
      </c>
      <c r="CC124" s="37">
        <v>50000</v>
      </c>
      <c r="CD124" s="37">
        <v>30000</v>
      </c>
      <c r="CE124" s="37">
        <v>16000</v>
      </c>
      <c r="CF124" s="37">
        <v>2000</v>
      </c>
      <c r="CG124" s="59">
        <v>178000</v>
      </c>
      <c r="CH124" s="37">
        <v>0</v>
      </c>
      <c r="CI124" s="37">
        <v>0</v>
      </c>
      <c r="CJ124" s="37">
        <v>0</v>
      </c>
      <c r="CK124" s="37">
        <v>0</v>
      </c>
      <c r="CL124" s="37">
        <v>0</v>
      </c>
      <c r="CM124" s="37">
        <v>0</v>
      </c>
      <c r="CN124" s="59">
        <v>0</v>
      </c>
      <c r="CO124" s="59">
        <v>178000</v>
      </c>
      <c r="CP124" s="58"/>
      <c r="CQ124" s="3">
        <v>178000</v>
      </c>
    </row>
    <row r="125" spans="1:95" customFormat="1" x14ac:dyDescent="0.2">
      <c r="A125" s="209">
        <v>43201</v>
      </c>
      <c r="B125" s="33" t="s">
        <v>53</v>
      </c>
      <c r="C125" s="33" t="s">
        <v>54</v>
      </c>
      <c r="D125" s="43">
        <v>1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59">
        <v>0</v>
      </c>
      <c r="AH125" s="37">
        <v>0</v>
      </c>
      <c r="AI125" s="37">
        <v>6250</v>
      </c>
      <c r="AJ125" s="37">
        <v>0</v>
      </c>
      <c r="AK125" s="37">
        <v>0</v>
      </c>
      <c r="AL125" s="37">
        <v>1875</v>
      </c>
      <c r="AM125" s="37">
        <v>0</v>
      </c>
      <c r="AN125" s="37">
        <v>0</v>
      </c>
      <c r="AO125" s="37">
        <v>0</v>
      </c>
      <c r="AP125" s="37">
        <v>400</v>
      </c>
      <c r="AQ125" s="37">
        <v>0</v>
      </c>
      <c r="AR125" s="37">
        <v>0</v>
      </c>
      <c r="AS125" s="59">
        <v>8525</v>
      </c>
      <c r="AT125" s="59">
        <v>8525</v>
      </c>
      <c r="AU125" s="45"/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0</v>
      </c>
      <c r="BH125" s="37">
        <v>0</v>
      </c>
      <c r="BI125" s="37">
        <v>0</v>
      </c>
      <c r="BJ125" s="37">
        <v>0</v>
      </c>
      <c r="BK125" s="59">
        <v>0</v>
      </c>
      <c r="BL125" s="37">
        <v>0</v>
      </c>
      <c r="BM125" s="37">
        <v>0</v>
      </c>
      <c r="BN125" s="37">
        <v>0</v>
      </c>
      <c r="BO125" s="37">
        <v>0</v>
      </c>
      <c r="BP125" s="37">
        <v>0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37">
        <v>0</v>
      </c>
      <c r="BW125" s="59">
        <v>0</v>
      </c>
      <c r="BX125" s="59">
        <v>0</v>
      </c>
      <c r="BZ125" s="37">
        <v>0</v>
      </c>
      <c r="CA125" s="37">
        <v>0</v>
      </c>
      <c r="CB125" s="37">
        <v>0</v>
      </c>
      <c r="CC125" s="37">
        <v>0</v>
      </c>
      <c r="CD125" s="37">
        <v>0</v>
      </c>
      <c r="CE125" s="37">
        <v>0</v>
      </c>
      <c r="CF125" s="37">
        <v>0</v>
      </c>
      <c r="CG125" s="59">
        <v>0</v>
      </c>
      <c r="CH125" s="37">
        <v>6250</v>
      </c>
      <c r="CI125" s="37">
        <v>1875</v>
      </c>
      <c r="CJ125" s="37">
        <v>0</v>
      </c>
      <c r="CK125" s="37">
        <v>400</v>
      </c>
      <c r="CL125" s="37">
        <v>0</v>
      </c>
      <c r="CM125" s="37">
        <v>0</v>
      </c>
      <c r="CN125" s="59">
        <v>8525</v>
      </c>
      <c r="CO125" s="59">
        <v>8525</v>
      </c>
      <c r="CP125" s="58"/>
      <c r="CQ125" s="3">
        <v>8525</v>
      </c>
    </row>
    <row r="126" spans="1:95" customFormat="1" x14ac:dyDescent="0.2">
      <c r="A126" s="209">
        <v>43202</v>
      </c>
      <c r="B126" s="33" t="s">
        <v>53</v>
      </c>
      <c r="C126" s="33" t="s">
        <v>54</v>
      </c>
      <c r="D126" s="43">
        <v>1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7" t="s">
        <v>45</v>
      </c>
      <c r="R126" s="37">
        <v>0</v>
      </c>
      <c r="S126" s="37">
        <v>0</v>
      </c>
      <c r="T126" s="37">
        <v>560000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59">
        <v>560000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59">
        <v>0</v>
      </c>
      <c r="AT126" s="59">
        <v>560000</v>
      </c>
      <c r="AU126" s="45"/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59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59">
        <v>0</v>
      </c>
      <c r="BX126" s="59">
        <v>0</v>
      </c>
      <c r="BZ126" s="37">
        <v>560000</v>
      </c>
      <c r="CA126" s="37">
        <v>0</v>
      </c>
      <c r="CB126" s="37">
        <v>0</v>
      </c>
      <c r="CC126" s="37">
        <v>0</v>
      </c>
      <c r="CD126" s="37">
        <v>0</v>
      </c>
      <c r="CE126" s="37">
        <v>0</v>
      </c>
      <c r="CF126" s="37">
        <v>0</v>
      </c>
      <c r="CG126" s="59">
        <v>560000</v>
      </c>
      <c r="CH126" s="37">
        <v>0</v>
      </c>
      <c r="CI126" s="37">
        <v>0</v>
      </c>
      <c r="CJ126" s="37">
        <v>0</v>
      </c>
      <c r="CK126" s="37">
        <v>0</v>
      </c>
      <c r="CL126" s="37">
        <v>0</v>
      </c>
      <c r="CM126" s="37">
        <v>0</v>
      </c>
      <c r="CN126" s="59">
        <v>0</v>
      </c>
      <c r="CO126" s="59">
        <v>560000</v>
      </c>
      <c r="CP126" s="58"/>
      <c r="CQ126" s="3">
        <v>560000</v>
      </c>
    </row>
    <row r="127" spans="1:95" customFormat="1" x14ac:dyDescent="0.2">
      <c r="A127" s="209">
        <v>43202</v>
      </c>
      <c r="B127" s="33" t="s">
        <v>53</v>
      </c>
      <c r="C127" s="33" t="s">
        <v>54</v>
      </c>
      <c r="D127" s="43">
        <v>1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7" t="s">
        <v>45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59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59">
        <v>0</v>
      </c>
      <c r="AT127" s="59">
        <v>0</v>
      </c>
      <c r="AU127" s="45"/>
      <c r="AV127" s="37">
        <v>0</v>
      </c>
      <c r="AW127" s="37">
        <v>0</v>
      </c>
      <c r="AX127" s="37">
        <v>1986</v>
      </c>
      <c r="AY127" s="37">
        <v>0</v>
      </c>
      <c r="AZ127" s="37">
        <v>997</v>
      </c>
      <c r="BA127" s="37">
        <v>0</v>
      </c>
      <c r="BB127" s="37">
        <v>385</v>
      </c>
      <c r="BC127" s="37">
        <v>0</v>
      </c>
      <c r="BD127" s="37">
        <v>152</v>
      </c>
      <c r="BE127" s="37">
        <v>0</v>
      </c>
      <c r="BF127" s="37">
        <v>73</v>
      </c>
      <c r="BG127" s="37">
        <v>0</v>
      </c>
      <c r="BH127" s="37">
        <v>7</v>
      </c>
      <c r="BI127" s="37">
        <v>0</v>
      </c>
      <c r="BJ127" s="37">
        <v>15</v>
      </c>
      <c r="BK127" s="59">
        <v>3615</v>
      </c>
      <c r="BL127" s="37">
        <v>0</v>
      </c>
      <c r="BM127" s="37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59">
        <v>0</v>
      </c>
      <c r="BX127" s="59">
        <v>3615</v>
      </c>
      <c r="BZ127" s="37">
        <v>1986</v>
      </c>
      <c r="CA127" s="37">
        <v>997</v>
      </c>
      <c r="CB127" s="37">
        <v>385</v>
      </c>
      <c r="CC127" s="37">
        <v>152</v>
      </c>
      <c r="CD127" s="37">
        <v>73</v>
      </c>
      <c r="CE127" s="37">
        <v>7</v>
      </c>
      <c r="CF127" s="37">
        <v>15</v>
      </c>
      <c r="CG127" s="59">
        <v>3615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0</v>
      </c>
      <c r="CN127" s="59">
        <v>0</v>
      </c>
      <c r="CO127" s="59">
        <v>3615</v>
      </c>
      <c r="CP127" s="58"/>
      <c r="CQ127" s="3">
        <v>3615</v>
      </c>
    </row>
    <row r="128" spans="1:95" customFormat="1" x14ac:dyDescent="0.2">
      <c r="A128" s="209">
        <v>43202</v>
      </c>
      <c r="B128" s="33" t="s">
        <v>53</v>
      </c>
      <c r="C128" s="33" t="s">
        <v>54</v>
      </c>
      <c r="D128" s="43">
        <v>1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7" t="s">
        <v>45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500</v>
      </c>
      <c r="AC128" s="37">
        <v>0</v>
      </c>
      <c r="AD128" s="37">
        <v>200</v>
      </c>
      <c r="AE128" s="37">
        <v>0</v>
      </c>
      <c r="AF128" s="37">
        <v>0</v>
      </c>
      <c r="AG128" s="59">
        <v>700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59">
        <v>0</v>
      </c>
      <c r="AT128" s="59">
        <v>700</v>
      </c>
      <c r="AU128" s="45"/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0</v>
      </c>
      <c r="BD128" s="37">
        <v>0</v>
      </c>
      <c r="BE128" s="37">
        <v>0</v>
      </c>
      <c r="BF128" s="37">
        <v>0</v>
      </c>
      <c r="BG128" s="37">
        <v>0</v>
      </c>
      <c r="BH128" s="37">
        <v>0</v>
      </c>
      <c r="BI128" s="37">
        <v>0</v>
      </c>
      <c r="BJ128" s="37">
        <v>0</v>
      </c>
      <c r="BK128" s="59">
        <v>0</v>
      </c>
      <c r="BL128" s="37">
        <v>0</v>
      </c>
      <c r="BM128" s="37">
        <v>0</v>
      </c>
      <c r="BN128" s="37">
        <v>0</v>
      </c>
      <c r="BO128" s="37">
        <v>0</v>
      </c>
      <c r="BP128" s="37">
        <v>0</v>
      </c>
      <c r="BQ128" s="37">
        <v>0</v>
      </c>
      <c r="BR128" s="37">
        <v>0</v>
      </c>
      <c r="BS128" s="37">
        <v>0</v>
      </c>
      <c r="BT128" s="37">
        <v>0</v>
      </c>
      <c r="BU128" s="37">
        <v>0</v>
      </c>
      <c r="BV128" s="37">
        <v>0</v>
      </c>
      <c r="BW128" s="59">
        <v>0</v>
      </c>
      <c r="BX128" s="59">
        <v>0</v>
      </c>
      <c r="BZ128" s="37">
        <v>0</v>
      </c>
      <c r="CA128" s="37">
        <v>0</v>
      </c>
      <c r="CB128" s="37">
        <v>0</v>
      </c>
      <c r="CC128" s="37">
        <v>0</v>
      </c>
      <c r="CD128" s="37">
        <v>500</v>
      </c>
      <c r="CE128" s="37">
        <v>200</v>
      </c>
      <c r="CF128" s="37">
        <v>0</v>
      </c>
      <c r="CG128" s="59">
        <v>700</v>
      </c>
      <c r="CH128" s="37">
        <v>0</v>
      </c>
      <c r="CI128" s="37">
        <v>0</v>
      </c>
      <c r="CJ128" s="37">
        <v>0</v>
      </c>
      <c r="CK128" s="37">
        <v>0</v>
      </c>
      <c r="CL128" s="37">
        <v>0</v>
      </c>
      <c r="CM128" s="37">
        <v>0</v>
      </c>
      <c r="CN128" s="59">
        <v>0</v>
      </c>
      <c r="CO128" s="59">
        <v>700</v>
      </c>
      <c r="CP128" s="58"/>
      <c r="CQ128" s="3">
        <v>700</v>
      </c>
    </row>
    <row r="129" spans="1:95" customFormat="1" x14ac:dyDescent="0.2">
      <c r="A129" s="209">
        <v>43202</v>
      </c>
      <c r="B129" s="33" t="s">
        <v>53</v>
      </c>
      <c r="C129" s="33" t="s">
        <v>84</v>
      </c>
      <c r="D129" s="43">
        <v>0</v>
      </c>
      <c r="E129" s="43">
        <v>1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7" t="s">
        <v>45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59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100</v>
      </c>
      <c r="AQ129" s="37">
        <v>0</v>
      </c>
      <c r="AR129" s="37">
        <v>0</v>
      </c>
      <c r="AS129" s="59">
        <v>100</v>
      </c>
      <c r="AT129" s="59">
        <v>100</v>
      </c>
      <c r="AU129" s="45"/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59">
        <v>0</v>
      </c>
      <c r="BL129" s="37">
        <v>0</v>
      </c>
      <c r="BM129" s="37">
        <v>0</v>
      </c>
      <c r="BN129" s="37">
        <v>0</v>
      </c>
      <c r="BO129" s="37">
        <v>0</v>
      </c>
      <c r="BP129" s="37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59">
        <v>0</v>
      </c>
      <c r="BX129" s="59">
        <v>0</v>
      </c>
      <c r="BZ129" s="37">
        <v>0</v>
      </c>
      <c r="CA129" s="37">
        <v>0</v>
      </c>
      <c r="CB129" s="37">
        <v>0</v>
      </c>
      <c r="CC129" s="37">
        <v>0</v>
      </c>
      <c r="CD129" s="37">
        <v>0</v>
      </c>
      <c r="CE129" s="37">
        <v>0</v>
      </c>
      <c r="CF129" s="37">
        <v>0</v>
      </c>
      <c r="CG129" s="59">
        <v>0</v>
      </c>
      <c r="CH129" s="37">
        <v>0</v>
      </c>
      <c r="CI129" s="37">
        <v>0</v>
      </c>
      <c r="CJ129" s="37">
        <v>0</v>
      </c>
      <c r="CK129" s="37">
        <v>100</v>
      </c>
      <c r="CL129" s="37">
        <v>0</v>
      </c>
      <c r="CM129" s="37">
        <v>0</v>
      </c>
      <c r="CN129" s="59">
        <v>100</v>
      </c>
      <c r="CO129" s="59">
        <v>100</v>
      </c>
      <c r="CP129" s="58"/>
      <c r="CQ129" s="3">
        <v>100</v>
      </c>
    </row>
    <row r="130" spans="1:95" customFormat="1" x14ac:dyDescent="0.2">
      <c r="A130" s="209">
        <v>43207</v>
      </c>
      <c r="B130" s="33" t="s">
        <v>85</v>
      </c>
      <c r="C130" s="33" t="s">
        <v>76</v>
      </c>
      <c r="D130" s="43">
        <v>0</v>
      </c>
      <c r="E130" s="43">
        <v>1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/>
      <c r="M130" s="43"/>
      <c r="N130" s="43">
        <v>0</v>
      </c>
      <c r="O130" s="43">
        <v>0</v>
      </c>
      <c r="P130" s="4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80000</v>
      </c>
      <c r="X130" s="37">
        <v>0</v>
      </c>
      <c r="Y130" s="37">
        <v>0</v>
      </c>
      <c r="Z130" s="37">
        <v>50000</v>
      </c>
      <c r="AA130" s="37">
        <v>0</v>
      </c>
      <c r="AB130" s="37">
        <v>25000</v>
      </c>
      <c r="AC130" s="37">
        <v>0</v>
      </c>
      <c r="AD130" s="37">
        <v>16000</v>
      </c>
      <c r="AE130" s="37">
        <v>0</v>
      </c>
      <c r="AF130" s="37">
        <v>0</v>
      </c>
      <c r="AG130" s="59">
        <v>171000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150</v>
      </c>
      <c r="AQ130" s="37">
        <v>0</v>
      </c>
      <c r="AR130" s="37">
        <v>0</v>
      </c>
      <c r="AS130" s="59">
        <v>150</v>
      </c>
      <c r="AT130" s="59">
        <v>171150</v>
      </c>
      <c r="AU130" s="45"/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59">
        <v>0</v>
      </c>
      <c r="BL130" s="37">
        <v>0</v>
      </c>
      <c r="BM130" s="37">
        <v>0</v>
      </c>
      <c r="BN130" s="37">
        <v>0</v>
      </c>
      <c r="BO130" s="37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59">
        <v>0</v>
      </c>
      <c r="BX130" s="59">
        <v>0</v>
      </c>
      <c r="BZ130" s="37">
        <v>0</v>
      </c>
      <c r="CA130" s="37">
        <v>0</v>
      </c>
      <c r="CB130" s="37">
        <v>80000</v>
      </c>
      <c r="CC130" s="37">
        <v>50000</v>
      </c>
      <c r="CD130" s="37">
        <v>25000</v>
      </c>
      <c r="CE130" s="37">
        <v>16000</v>
      </c>
      <c r="CF130" s="37">
        <v>0</v>
      </c>
      <c r="CG130" s="59">
        <v>171000</v>
      </c>
      <c r="CH130" s="37">
        <v>0</v>
      </c>
      <c r="CI130" s="37">
        <v>0</v>
      </c>
      <c r="CJ130" s="37">
        <v>0</v>
      </c>
      <c r="CK130" s="37">
        <v>150</v>
      </c>
      <c r="CL130" s="37">
        <v>0</v>
      </c>
      <c r="CM130" s="37">
        <v>0</v>
      </c>
      <c r="CN130" s="59">
        <v>150</v>
      </c>
      <c r="CO130" s="59">
        <v>171150</v>
      </c>
      <c r="CP130" s="58"/>
      <c r="CQ130" s="3">
        <v>171150</v>
      </c>
    </row>
    <row r="131" spans="1:95" customFormat="1" x14ac:dyDescent="0.2">
      <c r="A131" s="209">
        <v>43207</v>
      </c>
      <c r="B131" s="33" t="s">
        <v>60</v>
      </c>
      <c r="C131" s="33" t="s">
        <v>61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1</v>
      </c>
      <c r="O131" s="43">
        <v>0</v>
      </c>
      <c r="P131" s="47" t="s">
        <v>45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80000</v>
      </c>
      <c r="X131" s="37">
        <v>0</v>
      </c>
      <c r="Y131" s="37">
        <v>0</v>
      </c>
      <c r="Z131" s="37">
        <v>100000</v>
      </c>
      <c r="AA131" s="37">
        <v>0</v>
      </c>
      <c r="AB131" s="37">
        <v>90000</v>
      </c>
      <c r="AC131" s="37">
        <v>0</v>
      </c>
      <c r="AD131" s="37">
        <v>32000</v>
      </c>
      <c r="AE131" s="37">
        <v>0</v>
      </c>
      <c r="AF131" s="37">
        <v>2000</v>
      </c>
      <c r="AG131" s="59">
        <v>304000</v>
      </c>
      <c r="AH131" s="37">
        <v>0</v>
      </c>
      <c r="AI131" s="37">
        <v>500</v>
      </c>
      <c r="AJ131" s="37">
        <v>0</v>
      </c>
      <c r="AK131" s="37">
        <v>0</v>
      </c>
      <c r="AL131" s="37">
        <v>1000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59">
        <v>1500</v>
      </c>
      <c r="AT131" s="59">
        <v>305500</v>
      </c>
      <c r="AU131" s="45"/>
      <c r="AV131" s="37">
        <v>0</v>
      </c>
      <c r="AW131" s="37">
        <v>0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59">
        <v>0</v>
      </c>
      <c r="BL131" s="37">
        <v>0</v>
      </c>
      <c r="BM131" s="37">
        <v>0</v>
      </c>
      <c r="BN131" s="37">
        <v>0</v>
      </c>
      <c r="BO131" s="37">
        <v>0</v>
      </c>
      <c r="BP131" s="37">
        <v>0</v>
      </c>
      <c r="BQ131" s="37">
        <v>0</v>
      </c>
      <c r="BR131" s="37">
        <v>0</v>
      </c>
      <c r="BS131" s="37">
        <v>0</v>
      </c>
      <c r="BT131" s="37">
        <v>0</v>
      </c>
      <c r="BU131" s="37">
        <v>0</v>
      </c>
      <c r="BV131" s="37">
        <v>0</v>
      </c>
      <c r="BW131" s="59">
        <v>0</v>
      </c>
      <c r="BX131" s="59">
        <v>0</v>
      </c>
      <c r="BZ131" s="37">
        <v>0</v>
      </c>
      <c r="CA131" s="37">
        <v>0</v>
      </c>
      <c r="CB131" s="37">
        <v>80000</v>
      </c>
      <c r="CC131" s="37">
        <v>100000</v>
      </c>
      <c r="CD131" s="37">
        <v>90000</v>
      </c>
      <c r="CE131" s="37">
        <v>32000</v>
      </c>
      <c r="CF131" s="37">
        <v>2000</v>
      </c>
      <c r="CG131" s="59">
        <v>304000</v>
      </c>
      <c r="CH131" s="37">
        <v>500</v>
      </c>
      <c r="CI131" s="37">
        <v>1000</v>
      </c>
      <c r="CJ131" s="37">
        <v>0</v>
      </c>
      <c r="CK131" s="37">
        <v>0</v>
      </c>
      <c r="CL131" s="37">
        <v>0</v>
      </c>
      <c r="CM131" s="37">
        <v>0</v>
      </c>
      <c r="CN131" s="59">
        <v>1500</v>
      </c>
      <c r="CO131" s="59">
        <v>305500</v>
      </c>
      <c r="CP131" s="58"/>
      <c r="CQ131" s="3">
        <v>305500</v>
      </c>
    </row>
    <row r="132" spans="1:95" customFormat="1" x14ac:dyDescent="0.2">
      <c r="A132" s="209">
        <v>43207</v>
      </c>
      <c r="B132" s="33" t="s">
        <v>53</v>
      </c>
      <c r="C132" s="33" t="s">
        <v>54</v>
      </c>
      <c r="D132" s="43">
        <v>1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60000</v>
      </c>
      <c r="AA132" s="37">
        <v>0</v>
      </c>
      <c r="AB132" s="37">
        <v>60000</v>
      </c>
      <c r="AC132" s="37">
        <v>0</v>
      </c>
      <c r="AD132" s="37">
        <v>14000</v>
      </c>
      <c r="AE132" s="37">
        <v>0</v>
      </c>
      <c r="AF132" s="37">
        <v>0</v>
      </c>
      <c r="AG132" s="59">
        <v>134000</v>
      </c>
      <c r="AH132" s="37">
        <v>0</v>
      </c>
      <c r="AI132" s="37">
        <v>0</v>
      </c>
      <c r="AJ132" s="37">
        <v>0</v>
      </c>
      <c r="AK132" s="37">
        <v>0</v>
      </c>
      <c r="AL132" s="37">
        <v>3125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59">
        <v>3125</v>
      </c>
      <c r="AT132" s="59">
        <v>137125</v>
      </c>
      <c r="AU132" s="45"/>
      <c r="AV132" s="37">
        <v>0</v>
      </c>
      <c r="AW132" s="37">
        <v>0</v>
      </c>
      <c r="AX132" s="37">
        <v>0</v>
      </c>
      <c r="AY132" s="37">
        <v>0</v>
      </c>
      <c r="AZ132" s="37">
        <v>0</v>
      </c>
      <c r="BA132" s="37">
        <v>0</v>
      </c>
      <c r="BB132" s="37">
        <v>0</v>
      </c>
      <c r="BC132" s="37">
        <v>0</v>
      </c>
      <c r="BD132" s="37">
        <v>0</v>
      </c>
      <c r="BE132" s="37">
        <v>0</v>
      </c>
      <c r="BF132" s="37">
        <v>0</v>
      </c>
      <c r="BG132" s="37">
        <v>0</v>
      </c>
      <c r="BH132" s="37">
        <v>0</v>
      </c>
      <c r="BI132" s="37">
        <v>0</v>
      </c>
      <c r="BJ132" s="37">
        <v>0</v>
      </c>
      <c r="BK132" s="59">
        <v>0</v>
      </c>
      <c r="BL132" s="37">
        <v>0</v>
      </c>
      <c r="BM132" s="37">
        <v>0</v>
      </c>
      <c r="BN132" s="37">
        <v>0</v>
      </c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59">
        <v>0</v>
      </c>
      <c r="BX132" s="59">
        <v>0</v>
      </c>
      <c r="BZ132" s="37">
        <v>0</v>
      </c>
      <c r="CA132" s="37">
        <v>0</v>
      </c>
      <c r="CB132" s="37">
        <v>0</v>
      </c>
      <c r="CC132" s="37">
        <v>60000</v>
      </c>
      <c r="CD132" s="37">
        <v>60000</v>
      </c>
      <c r="CE132" s="37">
        <v>14000</v>
      </c>
      <c r="CF132" s="37">
        <v>0</v>
      </c>
      <c r="CG132" s="59">
        <v>134000</v>
      </c>
      <c r="CH132" s="37">
        <v>0</v>
      </c>
      <c r="CI132" s="37">
        <v>3125</v>
      </c>
      <c r="CJ132" s="37">
        <v>0</v>
      </c>
      <c r="CK132" s="37">
        <v>0</v>
      </c>
      <c r="CL132" s="37">
        <v>0</v>
      </c>
      <c r="CM132" s="37">
        <v>0</v>
      </c>
      <c r="CN132" s="59">
        <v>3125</v>
      </c>
      <c r="CO132" s="59">
        <v>137125</v>
      </c>
      <c r="CP132" s="58"/>
      <c r="CQ132" s="3">
        <v>137125</v>
      </c>
    </row>
    <row r="133" spans="1:95" customFormat="1" x14ac:dyDescent="0.2">
      <c r="A133" s="209">
        <v>43208</v>
      </c>
      <c r="B133" s="33" t="s">
        <v>72</v>
      </c>
      <c r="C133" s="33" t="s">
        <v>101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1</v>
      </c>
      <c r="L133" s="43">
        <v>0</v>
      </c>
      <c r="M133" s="43">
        <v>0</v>
      </c>
      <c r="N133" s="43">
        <v>0</v>
      </c>
      <c r="O133" s="43">
        <v>0</v>
      </c>
      <c r="P133" s="47" t="s">
        <v>45</v>
      </c>
      <c r="R133" s="37">
        <v>0</v>
      </c>
      <c r="S133" s="37">
        <v>0</v>
      </c>
      <c r="T133" s="37">
        <v>0</v>
      </c>
      <c r="U133" s="37">
        <v>0</v>
      </c>
      <c r="V133" s="37">
        <v>100000</v>
      </c>
      <c r="W133" s="37">
        <v>0</v>
      </c>
      <c r="X133" s="37">
        <v>0</v>
      </c>
      <c r="Y133" s="37">
        <v>0</v>
      </c>
      <c r="Z133" s="37">
        <v>80000</v>
      </c>
      <c r="AA133" s="37">
        <v>0</v>
      </c>
      <c r="AB133" s="37">
        <v>95000</v>
      </c>
      <c r="AC133" s="37">
        <v>0</v>
      </c>
      <c r="AD133" s="37">
        <v>32000</v>
      </c>
      <c r="AE133" s="37">
        <v>0</v>
      </c>
      <c r="AF133" s="37">
        <v>2000</v>
      </c>
      <c r="AG133" s="59">
        <v>309000</v>
      </c>
      <c r="AH133" s="37">
        <v>0</v>
      </c>
      <c r="AI133" s="37">
        <v>0</v>
      </c>
      <c r="AJ133" s="37">
        <v>750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100</v>
      </c>
      <c r="AQ133" s="37">
        <v>0</v>
      </c>
      <c r="AR133" s="37">
        <v>0</v>
      </c>
      <c r="AS133" s="59">
        <v>850</v>
      </c>
      <c r="AT133" s="59">
        <v>309850</v>
      </c>
      <c r="AU133" s="45"/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0</v>
      </c>
      <c r="BH133" s="37">
        <v>0</v>
      </c>
      <c r="BI133" s="37">
        <v>0</v>
      </c>
      <c r="BJ133" s="37">
        <v>0</v>
      </c>
      <c r="BK133" s="59">
        <v>0</v>
      </c>
      <c r="BL133" s="37">
        <v>0</v>
      </c>
      <c r="BM133" s="37">
        <v>0</v>
      </c>
      <c r="BN133" s="37">
        <v>0</v>
      </c>
      <c r="BO133" s="37">
        <v>0</v>
      </c>
      <c r="BP133" s="37">
        <v>0</v>
      </c>
      <c r="BQ133" s="37">
        <v>0</v>
      </c>
      <c r="BR133" s="37">
        <v>0</v>
      </c>
      <c r="BS133" s="37">
        <v>0</v>
      </c>
      <c r="BT133" s="37">
        <v>0</v>
      </c>
      <c r="BU133" s="37">
        <v>0</v>
      </c>
      <c r="BV133" s="37">
        <v>0</v>
      </c>
      <c r="BW133" s="59">
        <v>0</v>
      </c>
      <c r="BX133" s="59">
        <v>0</v>
      </c>
      <c r="BZ133" s="37">
        <v>0</v>
      </c>
      <c r="CA133" s="37">
        <v>100000</v>
      </c>
      <c r="CB133" s="37">
        <v>0</v>
      </c>
      <c r="CC133" s="37">
        <v>80000</v>
      </c>
      <c r="CD133" s="37">
        <v>95000</v>
      </c>
      <c r="CE133" s="37">
        <v>32000</v>
      </c>
      <c r="CF133" s="37">
        <v>2000</v>
      </c>
      <c r="CG133" s="59">
        <v>309000</v>
      </c>
      <c r="CH133" s="37">
        <v>0</v>
      </c>
      <c r="CI133" s="37">
        <v>750</v>
      </c>
      <c r="CJ133" s="37">
        <v>0</v>
      </c>
      <c r="CK133" s="37">
        <v>100</v>
      </c>
      <c r="CL133" s="37">
        <v>0</v>
      </c>
      <c r="CM133" s="37">
        <v>0</v>
      </c>
      <c r="CN133" s="59">
        <v>850</v>
      </c>
      <c r="CO133" s="59">
        <v>309850</v>
      </c>
      <c r="CP133" s="58"/>
      <c r="CQ133" s="3">
        <v>309850</v>
      </c>
    </row>
    <row r="134" spans="1:95" customFormat="1" x14ac:dyDescent="0.2">
      <c r="A134" s="209">
        <v>43208</v>
      </c>
      <c r="B134" s="33" t="s">
        <v>53</v>
      </c>
      <c r="C134" s="33" t="s">
        <v>54</v>
      </c>
      <c r="D134" s="43">
        <v>1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59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500</v>
      </c>
      <c r="AQ134" s="37">
        <v>0</v>
      </c>
      <c r="AR134" s="37">
        <v>0</v>
      </c>
      <c r="AS134" s="59">
        <v>500</v>
      </c>
      <c r="AT134" s="59">
        <v>500</v>
      </c>
      <c r="AU134" s="45"/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59">
        <v>0</v>
      </c>
      <c r="BL134" s="37">
        <v>0</v>
      </c>
      <c r="BM134" s="37">
        <v>0</v>
      </c>
      <c r="BN134" s="37">
        <v>0</v>
      </c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59">
        <v>0</v>
      </c>
      <c r="BX134" s="59">
        <v>0</v>
      </c>
      <c r="BZ134" s="37">
        <v>0</v>
      </c>
      <c r="CA134" s="37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59">
        <v>0</v>
      </c>
      <c r="CH134" s="37">
        <v>0</v>
      </c>
      <c r="CI134" s="37">
        <v>0</v>
      </c>
      <c r="CJ134" s="37">
        <v>0</v>
      </c>
      <c r="CK134" s="37">
        <v>500</v>
      </c>
      <c r="CL134" s="37">
        <v>0</v>
      </c>
      <c r="CM134" s="37">
        <v>0</v>
      </c>
      <c r="CN134" s="59">
        <v>500</v>
      </c>
      <c r="CO134" s="59">
        <v>500</v>
      </c>
      <c r="CP134" s="58"/>
      <c r="CQ134" s="3">
        <v>500</v>
      </c>
    </row>
    <row r="135" spans="1:95" customFormat="1" x14ac:dyDescent="0.2">
      <c r="A135" s="209">
        <v>43209</v>
      </c>
      <c r="B135" s="33" t="s">
        <v>85</v>
      </c>
      <c r="C135" s="33" t="s">
        <v>76</v>
      </c>
      <c r="D135" s="43">
        <v>0</v>
      </c>
      <c r="E135" s="43">
        <v>1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7" t="s">
        <v>45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50000</v>
      </c>
      <c r="AA135" s="37">
        <v>0</v>
      </c>
      <c r="AB135" s="37">
        <v>20000</v>
      </c>
      <c r="AC135" s="37">
        <v>0</v>
      </c>
      <c r="AD135" s="37">
        <v>22000</v>
      </c>
      <c r="AE135" s="37">
        <v>0</v>
      </c>
      <c r="AF135" s="37">
        <v>0</v>
      </c>
      <c r="AG135" s="59">
        <v>92000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59">
        <v>0</v>
      </c>
      <c r="AT135" s="59">
        <v>92000</v>
      </c>
      <c r="AU135" s="45"/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59">
        <v>0</v>
      </c>
      <c r="BL135" s="37">
        <v>0</v>
      </c>
      <c r="BM135" s="37">
        <v>0</v>
      </c>
      <c r="BN135" s="37">
        <v>0</v>
      </c>
      <c r="BO135" s="37">
        <v>0</v>
      </c>
      <c r="BP135" s="37">
        <v>0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59">
        <v>0</v>
      </c>
      <c r="BX135" s="59">
        <v>0</v>
      </c>
      <c r="BZ135" s="37">
        <v>0</v>
      </c>
      <c r="CA135" s="37">
        <v>0</v>
      </c>
      <c r="CB135" s="37">
        <v>0</v>
      </c>
      <c r="CC135" s="37">
        <v>50000</v>
      </c>
      <c r="CD135" s="37">
        <v>20000</v>
      </c>
      <c r="CE135" s="37">
        <v>22000</v>
      </c>
      <c r="CF135" s="37">
        <v>0</v>
      </c>
      <c r="CG135" s="59">
        <v>92000</v>
      </c>
      <c r="CH135" s="37">
        <v>0</v>
      </c>
      <c r="CI135" s="37">
        <v>0</v>
      </c>
      <c r="CJ135" s="37">
        <v>0</v>
      </c>
      <c r="CK135" s="37">
        <v>0</v>
      </c>
      <c r="CL135" s="37">
        <v>0</v>
      </c>
      <c r="CM135" s="37">
        <v>0</v>
      </c>
      <c r="CN135" s="59">
        <v>0</v>
      </c>
      <c r="CO135" s="59">
        <v>92000</v>
      </c>
      <c r="CP135" s="58"/>
      <c r="CQ135" s="3">
        <v>92000</v>
      </c>
    </row>
    <row r="136" spans="1:95" customFormat="1" x14ac:dyDescent="0.2">
      <c r="A136" s="209">
        <v>43209</v>
      </c>
      <c r="B136" s="33" t="s">
        <v>60</v>
      </c>
      <c r="C136" s="33" t="s">
        <v>61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1</v>
      </c>
      <c r="O136" s="43">
        <v>0</v>
      </c>
      <c r="P136" s="47" t="s">
        <v>45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80000</v>
      </c>
      <c r="X136" s="37">
        <v>0</v>
      </c>
      <c r="Y136" s="37">
        <v>0</v>
      </c>
      <c r="Z136" s="37">
        <v>60000</v>
      </c>
      <c r="AA136" s="37">
        <v>0</v>
      </c>
      <c r="AB136" s="37">
        <v>100000</v>
      </c>
      <c r="AC136" s="37">
        <v>0</v>
      </c>
      <c r="AD136" s="37">
        <v>32000</v>
      </c>
      <c r="AE136" s="37">
        <v>0</v>
      </c>
      <c r="AF136" s="37">
        <v>2000</v>
      </c>
      <c r="AG136" s="59">
        <v>274000</v>
      </c>
      <c r="AH136" s="37">
        <v>0</v>
      </c>
      <c r="AI136" s="37">
        <v>1000</v>
      </c>
      <c r="AJ136" s="37">
        <v>0</v>
      </c>
      <c r="AK136" s="37">
        <v>0</v>
      </c>
      <c r="AL136" s="37">
        <v>1000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59">
        <v>2000</v>
      </c>
      <c r="AT136" s="59">
        <v>276000</v>
      </c>
      <c r="AU136" s="45"/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37">
        <v>0</v>
      </c>
      <c r="BD136" s="37">
        <v>0</v>
      </c>
      <c r="BE136" s="37">
        <v>0</v>
      </c>
      <c r="BF136" s="37">
        <v>0</v>
      </c>
      <c r="BG136" s="37">
        <v>0</v>
      </c>
      <c r="BH136" s="37">
        <v>0</v>
      </c>
      <c r="BI136" s="37">
        <v>0</v>
      </c>
      <c r="BJ136" s="37">
        <v>0</v>
      </c>
      <c r="BK136" s="59">
        <v>0</v>
      </c>
      <c r="BL136" s="37">
        <v>0</v>
      </c>
      <c r="BM136" s="37">
        <v>0</v>
      </c>
      <c r="BN136" s="37">
        <v>0</v>
      </c>
      <c r="BO136" s="37">
        <v>0</v>
      </c>
      <c r="BP136" s="37">
        <v>0</v>
      </c>
      <c r="BQ136" s="37">
        <v>0</v>
      </c>
      <c r="BR136" s="37">
        <v>0</v>
      </c>
      <c r="BS136" s="37">
        <v>0</v>
      </c>
      <c r="BT136" s="37">
        <v>0</v>
      </c>
      <c r="BU136" s="37">
        <v>0</v>
      </c>
      <c r="BV136" s="37">
        <v>0</v>
      </c>
      <c r="BW136" s="59">
        <v>0</v>
      </c>
      <c r="BX136" s="59">
        <v>0</v>
      </c>
      <c r="BZ136" s="37">
        <v>0</v>
      </c>
      <c r="CA136" s="37">
        <v>0</v>
      </c>
      <c r="CB136" s="37">
        <v>80000</v>
      </c>
      <c r="CC136" s="37">
        <v>60000</v>
      </c>
      <c r="CD136" s="37">
        <v>100000</v>
      </c>
      <c r="CE136" s="37">
        <v>32000</v>
      </c>
      <c r="CF136" s="37">
        <v>2000</v>
      </c>
      <c r="CG136" s="59">
        <v>274000</v>
      </c>
      <c r="CH136" s="37">
        <v>1000</v>
      </c>
      <c r="CI136" s="37">
        <v>1000</v>
      </c>
      <c r="CJ136" s="37">
        <v>0</v>
      </c>
      <c r="CK136" s="37">
        <v>0</v>
      </c>
      <c r="CL136" s="37">
        <v>0</v>
      </c>
      <c r="CM136" s="37">
        <v>0</v>
      </c>
      <c r="CN136" s="59">
        <v>2000</v>
      </c>
      <c r="CO136" s="59">
        <v>276000</v>
      </c>
      <c r="CP136" s="58"/>
      <c r="CQ136" s="3">
        <v>276000</v>
      </c>
    </row>
    <row r="137" spans="1:95" customFormat="1" x14ac:dyDescent="0.2">
      <c r="A137" s="209">
        <v>43209</v>
      </c>
      <c r="B137" s="33" t="s">
        <v>83</v>
      </c>
      <c r="C137" s="33" t="s">
        <v>76</v>
      </c>
      <c r="D137" s="43">
        <v>0</v>
      </c>
      <c r="E137" s="43">
        <v>1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7" t="s">
        <v>45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40000</v>
      </c>
      <c r="AA137" s="37">
        <v>0</v>
      </c>
      <c r="AB137" s="37">
        <v>30000</v>
      </c>
      <c r="AC137" s="37">
        <v>0</v>
      </c>
      <c r="AD137" s="37">
        <v>16000</v>
      </c>
      <c r="AE137" s="37">
        <v>0</v>
      </c>
      <c r="AF137" s="37">
        <v>0</v>
      </c>
      <c r="AG137" s="59">
        <v>86000</v>
      </c>
      <c r="AH137" s="37">
        <v>0</v>
      </c>
      <c r="AI137" s="37">
        <v>500</v>
      </c>
      <c r="AJ137" s="37"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</v>
      </c>
      <c r="AR137" s="37">
        <v>0</v>
      </c>
      <c r="AS137" s="59">
        <v>500</v>
      </c>
      <c r="AT137" s="59">
        <v>86500</v>
      </c>
      <c r="AU137" s="45"/>
      <c r="AV137" s="37">
        <v>0</v>
      </c>
      <c r="AW137" s="37">
        <v>0</v>
      </c>
      <c r="AX137" s="37">
        <v>0</v>
      </c>
      <c r="AY137" s="37">
        <v>0</v>
      </c>
      <c r="AZ137" s="37">
        <v>0</v>
      </c>
      <c r="BA137" s="37">
        <v>0</v>
      </c>
      <c r="BB137" s="37">
        <v>0</v>
      </c>
      <c r="BC137" s="37">
        <v>0</v>
      </c>
      <c r="BD137" s="37">
        <v>0</v>
      </c>
      <c r="BE137" s="37">
        <v>0</v>
      </c>
      <c r="BF137" s="37">
        <v>0</v>
      </c>
      <c r="BG137" s="37">
        <v>0</v>
      </c>
      <c r="BH137" s="37">
        <v>0</v>
      </c>
      <c r="BI137" s="37">
        <v>0</v>
      </c>
      <c r="BJ137" s="37">
        <v>0</v>
      </c>
      <c r="BK137" s="59">
        <v>0</v>
      </c>
      <c r="BL137" s="37">
        <v>0</v>
      </c>
      <c r="BM137" s="37">
        <v>0</v>
      </c>
      <c r="BN137" s="37">
        <v>0</v>
      </c>
      <c r="BO137" s="37">
        <v>0</v>
      </c>
      <c r="BP137" s="37">
        <v>0</v>
      </c>
      <c r="BQ137" s="37">
        <v>0</v>
      </c>
      <c r="BR137" s="37">
        <v>0</v>
      </c>
      <c r="BS137" s="37">
        <v>0</v>
      </c>
      <c r="BT137" s="37">
        <v>0</v>
      </c>
      <c r="BU137" s="37">
        <v>0</v>
      </c>
      <c r="BV137" s="37">
        <v>0</v>
      </c>
      <c r="BW137" s="59">
        <v>0</v>
      </c>
      <c r="BX137" s="59">
        <v>0</v>
      </c>
      <c r="BZ137" s="37">
        <v>0</v>
      </c>
      <c r="CA137" s="37">
        <v>0</v>
      </c>
      <c r="CB137" s="37">
        <v>0</v>
      </c>
      <c r="CC137" s="37">
        <v>40000</v>
      </c>
      <c r="CD137" s="37">
        <v>30000</v>
      </c>
      <c r="CE137" s="37">
        <v>16000</v>
      </c>
      <c r="CF137" s="37">
        <v>0</v>
      </c>
      <c r="CG137" s="59">
        <v>86000</v>
      </c>
      <c r="CH137" s="37">
        <v>500</v>
      </c>
      <c r="CI137" s="37">
        <v>0</v>
      </c>
      <c r="CJ137" s="37">
        <v>0</v>
      </c>
      <c r="CK137" s="37">
        <v>0</v>
      </c>
      <c r="CL137" s="37">
        <v>0</v>
      </c>
      <c r="CM137" s="37">
        <v>0</v>
      </c>
      <c r="CN137" s="59">
        <v>500</v>
      </c>
      <c r="CO137" s="59">
        <v>86500</v>
      </c>
      <c r="CP137" s="58"/>
      <c r="CQ137" s="3">
        <v>86500</v>
      </c>
    </row>
    <row r="138" spans="1:95" customFormat="1" x14ac:dyDescent="0.2">
      <c r="A138" s="209">
        <v>43209</v>
      </c>
      <c r="B138" s="33" t="s">
        <v>53</v>
      </c>
      <c r="C138" s="33" t="s">
        <v>54</v>
      </c>
      <c r="D138" s="43">
        <v>1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7" t="s">
        <v>45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59">
        <v>0</v>
      </c>
      <c r="AH138" s="37">
        <v>0</v>
      </c>
      <c r="AI138" s="37">
        <v>1250</v>
      </c>
      <c r="AJ138" s="37">
        <v>0</v>
      </c>
      <c r="AK138" s="37">
        <v>0</v>
      </c>
      <c r="AL138" s="37">
        <v>2500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59">
        <v>3750</v>
      </c>
      <c r="AT138" s="59">
        <v>3750</v>
      </c>
      <c r="AU138" s="45"/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0</v>
      </c>
      <c r="BH138" s="37">
        <v>0</v>
      </c>
      <c r="BI138" s="37">
        <v>0</v>
      </c>
      <c r="BJ138" s="37">
        <v>0</v>
      </c>
      <c r="BK138" s="59">
        <v>0</v>
      </c>
      <c r="BL138" s="37">
        <v>0</v>
      </c>
      <c r="BM138" s="37">
        <v>0</v>
      </c>
      <c r="BN138" s="37">
        <v>0</v>
      </c>
      <c r="BO138" s="37">
        <v>0</v>
      </c>
      <c r="BP138" s="37">
        <v>0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37">
        <v>0</v>
      </c>
      <c r="BW138" s="59">
        <v>0</v>
      </c>
      <c r="BX138" s="59">
        <v>0</v>
      </c>
      <c r="BZ138" s="37">
        <v>0</v>
      </c>
      <c r="CA138" s="37">
        <v>0</v>
      </c>
      <c r="CB138" s="37">
        <v>0</v>
      </c>
      <c r="CC138" s="37">
        <v>0</v>
      </c>
      <c r="CD138" s="37">
        <v>0</v>
      </c>
      <c r="CE138" s="37">
        <v>0</v>
      </c>
      <c r="CF138" s="37">
        <v>0</v>
      </c>
      <c r="CG138" s="59">
        <v>0</v>
      </c>
      <c r="CH138" s="37">
        <v>1250</v>
      </c>
      <c r="CI138" s="37">
        <v>2500</v>
      </c>
      <c r="CJ138" s="37">
        <v>0</v>
      </c>
      <c r="CK138" s="37">
        <v>0</v>
      </c>
      <c r="CL138" s="37">
        <v>0</v>
      </c>
      <c r="CM138" s="37">
        <v>0</v>
      </c>
      <c r="CN138" s="59">
        <v>3750</v>
      </c>
      <c r="CO138" s="59">
        <v>3750</v>
      </c>
      <c r="CP138" s="58"/>
      <c r="CQ138" s="3">
        <v>3750</v>
      </c>
    </row>
    <row r="139" spans="1:95" customFormat="1" x14ac:dyDescent="0.2">
      <c r="A139" s="209">
        <v>43213</v>
      </c>
      <c r="B139" s="33" t="s">
        <v>53</v>
      </c>
      <c r="C139" s="33" t="s">
        <v>54</v>
      </c>
      <c r="D139" s="43">
        <v>1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125000</v>
      </c>
      <c r="AC139" s="37">
        <v>0</v>
      </c>
      <c r="AD139" s="37">
        <v>0</v>
      </c>
      <c r="AE139" s="37">
        <v>0</v>
      </c>
      <c r="AF139" s="37">
        <v>0</v>
      </c>
      <c r="AG139" s="59">
        <v>125000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59">
        <v>0</v>
      </c>
      <c r="AT139" s="59">
        <v>125000</v>
      </c>
      <c r="AU139" s="45"/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  <c r="BK139" s="59">
        <v>0</v>
      </c>
      <c r="BL139" s="37">
        <v>0</v>
      </c>
      <c r="BM139" s="37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59">
        <v>0</v>
      </c>
      <c r="BX139" s="59">
        <v>0</v>
      </c>
      <c r="BZ139" s="37">
        <v>0</v>
      </c>
      <c r="CA139" s="37">
        <v>0</v>
      </c>
      <c r="CB139" s="37">
        <v>0</v>
      </c>
      <c r="CC139" s="37">
        <v>0</v>
      </c>
      <c r="CD139" s="37">
        <v>125000</v>
      </c>
      <c r="CE139" s="37">
        <v>0</v>
      </c>
      <c r="CF139" s="37">
        <v>0</v>
      </c>
      <c r="CG139" s="59">
        <v>125000</v>
      </c>
      <c r="CH139" s="37">
        <v>0</v>
      </c>
      <c r="CI139" s="37">
        <v>0</v>
      </c>
      <c r="CJ139" s="37">
        <v>0</v>
      </c>
      <c r="CK139" s="37">
        <v>0</v>
      </c>
      <c r="CL139" s="37">
        <v>0</v>
      </c>
      <c r="CM139" s="37">
        <v>0</v>
      </c>
      <c r="CN139" s="59">
        <v>0</v>
      </c>
      <c r="CO139" s="59">
        <v>125000</v>
      </c>
      <c r="CP139" s="58"/>
      <c r="CQ139" s="3">
        <v>125000</v>
      </c>
    </row>
    <row r="140" spans="1:95" customFormat="1" x14ac:dyDescent="0.2">
      <c r="A140" s="209">
        <v>43213</v>
      </c>
      <c r="B140" s="33" t="s">
        <v>53</v>
      </c>
      <c r="C140" s="33" t="s">
        <v>54</v>
      </c>
      <c r="D140" s="43">
        <v>1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59">
        <v>0</v>
      </c>
      <c r="AH140" s="37">
        <v>0</v>
      </c>
      <c r="AI140" s="37">
        <v>6250</v>
      </c>
      <c r="AJ140" s="37">
        <v>0</v>
      </c>
      <c r="AK140" s="37">
        <v>0</v>
      </c>
      <c r="AL140" s="37">
        <v>3125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59">
        <v>9375</v>
      </c>
      <c r="AT140" s="59">
        <v>9375</v>
      </c>
      <c r="AU140" s="45"/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  <c r="BK140" s="59">
        <v>0</v>
      </c>
      <c r="BL140" s="37">
        <v>0</v>
      </c>
      <c r="BM140" s="37">
        <v>0</v>
      </c>
      <c r="BN140" s="37">
        <v>0</v>
      </c>
      <c r="BO140" s="37">
        <v>0</v>
      </c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59">
        <v>0</v>
      </c>
      <c r="BX140" s="59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0</v>
      </c>
      <c r="CE140" s="37">
        <v>0</v>
      </c>
      <c r="CF140" s="37">
        <v>0</v>
      </c>
      <c r="CG140" s="59">
        <v>0</v>
      </c>
      <c r="CH140" s="37">
        <v>6250</v>
      </c>
      <c r="CI140" s="37">
        <v>3125</v>
      </c>
      <c r="CJ140" s="37">
        <v>0</v>
      </c>
      <c r="CK140" s="37">
        <v>0</v>
      </c>
      <c r="CL140" s="37">
        <v>0</v>
      </c>
      <c r="CM140" s="37">
        <v>0</v>
      </c>
      <c r="CN140" s="59">
        <v>9375</v>
      </c>
      <c r="CO140" s="59">
        <v>9375</v>
      </c>
      <c r="CP140" s="58"/>
      <c r="CQ140" s="3">
        <v>9375</v>
      </c>
    </row>
    <row r="141" spans="1:95" customFormat="1" x14ac:dyDescent="0.2">
      <c r="A141" s="209">
        <v>43214</v>
      </c>
      <c r="B141" s="33" t="s">
        <v>85</v>
      </c>
      <c r="C141" s="33" t="s">
        <v>76</v>
      </c>
      <c r="D141" s="43">
        <v>0</v>
      </c>
      <c r="E141" s="43">
        <v>1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7" t="s">
        <v>45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80000</v>
      </c>
      <c r="X141" s="37">
        <v>0</v>
      </c>
      <c r="Y141" s="37">
        <v>0</v>
      </c>
      <c r="Z141" s="37">
        <v>30000</v>
      </c>
      <c r="AA141" s="37">
        <v>0</v>
      </c>
      <c r="AB141" s="37">
        <v>25000</v>
      </c>
      <c r="AC141" s="37">
        <v>0</v>
      </c>
      <c r="AD141" s="37">
        <v>20000</v>
      </c>
      <c r="AE141" s="37">
        <v>0</v>
      </c>
      <c r="AF141" s="37">
        <v>0</v>
      </c>
      <c r="AG141" s="59">
        <v>155000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150</v>
      </c>
      <c r="AQ141" s="37">
        <v>0</v>
      </c>
      <c r="AR141" s="37">
        <v>0</v>
      </c>
      <c r="AS141" s="59">
        <v>150</v>
      </c>
      <c r="AT141" s="59">
        <v>155150</v>
      </c>
      <c r="AU141" s="45"/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0</v>
      </c>
      <c r="BH141" s="37">
        <v>0</v>
      </c>
      <c r="BI141" s="37">
        <v>0</v>
      </c>
      <c r="BJ141" s="37">
        <v>0</v>
      </c>
      <c r="BK141" s="59">
        <v>0</v>
      </c>
      <c r="BL141" s="37">
        <v>0</v>
      </c>
      <c r="BM141" s="37">
        <v>0</v>
      </c>
      <c r="BN141" s="37">
        <v>0</v>
      </c>
      <c r="BO141" s="37">
        <v>0</v>
      </c>
      <c r="BP141" s="37">
        <v>0</v>
      </c>
      <c r="BQ141" s="37">
        <v>0</v>
      </c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59">
        <v>0</v>
      </c>
      <c r="BX141" s="59">
        <v>0</v>
      </c>
      <c r="BZ141" s="37">
        <v>0</v>
      </c>
      <c r="CA141" s="37">
        <v>0</v>
      </c>
      <c r="CB141" s="37">
        <v>80000</v>
      </c>
      <c r="CC141" s="37">
        <v>30000</v>
      </c>
      <c r="CD141" s="37">
        <v>25000</v>
      </c>
      <c r="CE141" s="37">
        <v>20000</v>
      </c>
      <c r="CF141" s="37">
        <v>0</v>
      </c>
      <c r="CG141" s="59">
        <v>155000</v>
      </c>
      <c r="CH141" s="37">
        <v>0</v>
      </c>
      <c r="CI141" s="37">
        <v>0</v>
      </c>
      <c r="CJ141" s="37">
        <v>0</v>
      </c>
      <c r="CK141" s="37">
        <v>150</v>
      </c>
      <c r="CL141" s="37">
        <v>0</v>
      </c>
      <c r="CM141" s="37">
        <v>0</v>
      </c>
      <c r="CN141" s="59">
        <v>150</v>
      </c>
      <c r="CO141" s="59">
        <v>155150</v>
      </c>
      <c r="CP141" s="58"/>
      <c r="CQ141" s="3">
        <v>155150</v>
      </c>
    </row>
    <row r="142" spans="1:95" customFormat="1" x14ac:dyDescent="0.2">
      <c r="A142" s="209">
        <v>43214</v>
      </c>
      <c r="B142" s="33" t="s">
        <v>60</v>
      </c>
      <c r="C142" s="33" t="s">
        <v>61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1</v>
      </c>
      <c r="O142" s="43">
        <v>0</v>
      </c>
      <c r="P142" s="47" t="s">
        <v>45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280000</v>
      </c>
      <c r="X142" s="37">
        <v>0</v>
      </c>
      <c r="Y142" s="37">
        <v>0</v>
      </c>
      <c r="Z142" s="37">
        <v>0</v>
      </c>
      <c r="AA142" s="37">
        <v>0</v>
      </c>
      <c r="AB142" s="37">
        <v>100000</v>
      </c>
      <c r="AC142" s="37">
        <v>0</v>
      </c>
      <c r="AD142" s="37">
        <v>28000</v>
      </c>
      <c r="AE142" s="37">
        <v>0</v>
      </c>
      <c r="AF142" s="37">
        <v>0</v>
      </c>
      <c r="AG142" s="59">
        <v>408000</v>
      </c>
      <c r="AH142" s="37">
        <v>0</v>
      </c>
      <c r="AI142" s="37">
        <v>1500</v>
      </c>
      <c r="AJ142" s="37">
        <v>0</v>
      </c>
      <c r="AK142" s="37">
        <v>0</v>
      </c>
      <c r="AL142" s="37">
        <v>250</v>
      </c>
      <c r="AM142" s="37">
        <v>0</v>
      </c>
      <c r="AN142" s="37">
        <v>0</v>
      </c>
      <c r="AO142" s="37">
        <v>0</v>
      </c>
      <c r="AP142" s="37">
        <v>100</v>
      </c>
      <c r="AQ142" s="37">
        <v>0</v>
      </c>
      <c r="AR142" s="37">
        <v>0</v>
      </c>
      <c r="AS142" s="59">
        <v>1850</v>
      </c>
      <c r="AT142" s="59">
        <v>409850</v>
      </c>
      <c r="AU142" s="45"/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59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59">
        <v>0</v>
      </c>
      <c r="BX142" s="59">
        <v>0</v>
      </c>
      <c r="BZ142" s="37">
        <v>0</v>
      </c>
      <c r="CA142" s="37">
        <v>0</v>
      </c>
      <c r="CB142" s="37">
        <v>280000</v>
      </c>
      <c r="CC142" s="37">
        <v>0</v>
      </c>
      <c r="CD142" s="37">
        <v>100000</v>
      </c>
      <c r="CE142" s="37">
        <v>28000</v>
      </c>
      <c r="CF142" s="37">
        <v>0</v>
      </c>
      <c r="CG142" s="59">
        <v>408000</v>
      </c>
      <c r="CH142" s="37">
        <v>1500</v>
      </c>
      <c r="CI142" s="37">
        <v>250</v>
      </c>
      <c r="CJ142" s="37">
        <v>0</v>
      </c>
      <c r="CK142" s="37">
        <v>100</v>
      </c>
      <c r="CL142" s="37">
        <v>0</v>
      </c>
      <c r="CM142" s="37">
        <v>0</v>
      </c>
      <c r="CN142" s="59">
        <v>1850</v>
      </c>
      <c r="CO142" s="59">
        <v>409850</v>
      </c>
      <c r="CP142" s="58"/>
      <c r="CQ142" s="3">
        <v>409850</v>
      </c>
    </row>
    <row r="143" spans="1:95" customFormat="1" x14ac:dyDescent="0.2">
      <c r="A143" s="209">
        <v>43214</v>
      </c>
      <c r="B143" s="33" t="s">
        <v>53</v>
      </c>
      <c r="C143" s="33" t="s">
        <v>54</v>
      </c>
      <c r="D143" s="43">
        <v>1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120000</v>
      </c>
      <c r="AA143" s="37">
        <v>0</v>
      </c>
      <c r="AB143" s="37">
        <v>0</v>
      </c>
      <c r="AC143" s="37">
        <v>0</v>
      </c>
      <c r="AD143" s="37">
        <v>24000</v>
      </c>
      <c r="AE143" s="37">
        <v>0</v>
      </c>
      <c r="AF143" s="37">
        <v>0</v>
      </c>
      <c r="AG143" s="59">
        <v>144000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0</v>
      </c>
      <c r="AS143" s="59">
        <v>0</v>
      </c>
      <c r="AT143" s="59">
        <v>144000</v>
      </c>
      <c r="AU143" s="45"/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37">
        <v>0</v>
      </c>
      <c r="BB143" s="37">
        <v>0</v>
      </c>
      <c r="BC143" s="37">
        <v>0</v>
      </c>
      <c r="BD143" s="37">
        <v>0</v>
      </c>
      <c r="BE143" s="37">
        <v>0</v>
      </c>
      <c r="BF143" s="37">
        <v>0</v>
      </c>
      <c r="BG143" s="37">
        <v>0</v>
      </c>
      <c r="BH143" s="37">
        <v>0</v>
      </c>
      <c r="BI143" s="37">
        <v>0</v>
      </c>
      <c r="BJ143" s="37">
        <v>0</v>
      </c>
      <c r="BK143" s="59">
        <v>0</v>
      </c>
      <c r="BL143" s="37">
        <v>0</v>
      </c>
      <c r="BM143" s="37">
        <v>0</v>
      </c>
      <c r="BN143" s="37">
        <v>0</v>
      </c>
      <c r="BO143" s="37">
        <v>0</v>
      </c>
      <c r="BP143" s="37">
        <v>0</v>
      </c>
      <c r="BQ143" s="37">
        <v>0</v>
      </c>
      <c r="BR143" s="37">
        <v>0</v>
      </c>
      <c r="BS143" s="37">
        <v>0</v>
      </c>
      <c r="BT143" s="37">
        <v>0</v>
      </c>
      <c r="BU143" s="37">
        <v>0</v>
      </c>
      <c r="BV143" s="37">
        <v>0</v>
      </c>
      <c r="BW143" s="59">
        <v>0</v>
      </c>
      <c r="BX143" s="59">
        <v>0</v>
      </c>
      <c r="BZ143" s="37">
        <v>0</v>
      </c>
      <c r="CA143" s="37">
        <v>0</v>
      </c>
      <c r="CB143" s="37">
        <v>0</v>
      </c>
      <c r="CC143" s="37">
        <v>120000</v>
      </c>
      <c r="CD143" s="37">
        <v>0</v>
      </c>
      <c r="CE143" s="37">
        <v>24000</v>
      </c>
      <c r="CF143" s="37">
        <v>0</v>
      </c>
      <c r="CG143" s="59">
        <v>144000</v>
      </c>
      <c r="CH143" s="37">
        <v>0</v>
      </c>
      <c r="CI143" s="37">
        <v>0</v>
      </c>
      <c r="CJ143" s="37">
        <v>0</v>
      </c>
      <c r="CK143" s="37">
        <v>0</v>
      </c>
      <c r="CL143" s="37">
        <v>0</v>
      </c>
      <c r="CM143" s="37">
        <v>0</v>
      </c>
      <c r="CN143" s="59">
        <v>0</v>
      </c>
      <c r="CO143" s="59">
        <v>144000</v>
      </c>
      <c r="CP143" s="58"/>
      <c r="CQ143" s="3">
        <v>144000</v>
      </c>
    </row>
    <row r="144" spans="1:95" customFormat="1" x14ac:dyDescent="0.2">
      <c r="A144" s="209">
        <v>43214</v>
      </c>
      <c r="B144" s="33" t="s">
        <v>102</v>
      </c>
      <c r="C144" s="33" t="s">
        <v>54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26000</v>
      </c>
      <c r="AE144" s="37">
        <v>0</v>
      </c>
      <c r="AF144" s="37">
        <v>0</v>
      </c>
      <c r="AG144" s="59">
        <v>26000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59">
        <v>0</v>
      </c>
      <c r="AT144" s="59">
        <v>26000</v>
      </c>
      <c r="AU144" s="45"/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0</v>
      </c>
      <c r="BH144" s="37">
        <v>0</v>
      </c>
      <c r="BI144" s="37">
        <v>0</v>
      </c>
      <c r="BJ144" s="37">
        <v>0</v>
      </c>
      <c r="BK144" s="59">
        <v>0</v>
      </c>
      <c r="BL144" s="37">
        <v>0</v>
      </c>
      <c r="BM144" s="37">
        <v>0</v>
      </c>
      <c r="BN144" s="37">
        <v>0</v>
      </c>
      <c r="BO144" s="37">
        <v>0</v>
      </c>
      <c r="BP144" s="37">
        <v>0</v>
      </c>
      <c r="BQ144" s="37">
        <v>0</v>
      </c>
      <c r="BR144" s="37">
        <v>0</v>
      </c>
      <c r="BS144" s="37">
        <v>0</v>
      </c>
      <c r="BT144" s="37">
        <v>0</v>
      </c>
      <c r="BU144" s="37">
        <v>0</v>
      </c>
      <c r="BV144" s="37">
        <v>0</v>
      </c>
      <c r="BW144" s="59">
        <v>0</v>
      </c>
      <c r="BX144" s="59">
        <v>0</v>
      </c>
      <c r="BZ144" s="37">
        <v>0</v>
      </c>
      <c r="CA144" s="37">
        <v>0</v>
      </c>
      <c r="CB144" s="37">
        <v>0</v>
      </c>
      <c r="CC144" s="37">
        <v>0</v>
      </c>
      <c r="CD144" s="37">
        <v>0</v>
      </c>
      <c r="CE144" s="37">
        <v>26000</v>
      </c>
      <c r="CF144" s="37">
        <v>0</v>
      </c>
      <c r="CG144" s="59">
        <v>26000</v>
      </c>
      <c r="CH144" s="37">
        <v>0</v>
      </c>
      <c r="CI144" s="37">
        <v>0</v>
      </c>
      <c r="CJ144" s="37">
        <v>0</v>
      </c>
      <c r="CK144" s="37">
        <v>0</v>
      </c>
      <c r="CL144" s="37">
        <v>0</v>
      </c>
      <c r="CM144" s="37">
        <v>0</v>
      </c>
      <c r="CN144" s="59">
        <v>0</v>
      </c>
      <c r="CO144" s="59">
        <v>26000</v>
      </c>
      <c r="CP144" s="58"/>
      <c r="CQ144" s="3">
        <v>26000</v>
      </c>
    </row>
    <row r="145" spans="1:95" customFormat="1" x14ac:dyDescent="0.2">
      <c r="A145" s="209">
        <v>43215</v>
      </c>
      <c r="B145" s="33" t="s">
        <v>70</v>
      </c>
      <c r="C145" s="33" t="s">
        <v>103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1</v>
      </c>
      <c r="O145" s="43">
        <v>0</v>
      </c>
      <c r="P145" s="47" t="s">
        <v>45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100000</v>
      </c>
      <c r="AA145" s="37">
        <v>0</v>
      </c>
      <c r="AB145" s="37">
        <v>80000</v>
      </c>
      <c r="AC145" s="37">
        <v>0</v>
      </c>
      <c r="AD145" s="37">
        <v>32000</v>
      </c>
      <c r="AE145" s="37">
        <v>0</v>
      </c>
      <c r="AF145" s="37">
        <v>0</v>
      </c>
      <c r="AG145" s="59">
        <v>212000</v>
      </c>
      <c r="AH145" s="37">
        <v>0</v>
      </c>
      <c r="AI145" s="37">
        <v>1500</v>
      </c>
      <c r="AJ145" s="37">
        <v>0</v>
      </c>
      <c r="AK145" s="37">
        <v>0</v>
      </c>
      <c r="AL145" s="37">
        <v>1250</v>
      </c>
      <c r="AM145" s="37">
        <v>0</v>
      </c>
      <c r="AN145" s="37">
        <v>0</v>
      </c>
      <c r="AO145" s="37">
        <v>0</v>
      </c>
      <c r="AP145" s="37">
        <v>100</v>
      </c>
      <c r="AQ145" s="37">
        <v>0</v>
      </c>
      <c r="AR145" s="37">
        <v>0</v>
      </c>
      <c r="AS145" s="59">
        <v>2850</v>
      </c>
      <c r="AT145" s="59">
        <v>214850</v>
      </c>
      <c r="AU145" s="45"/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59">
        <v>0</v>
      </c>
      <c r="BL145" s="37">
        <v>0</v>
      </c>
      <c r="BM145" s="37">
        <v>0</v>
      </c>
      <c r="BN145" s="37">
        <v>0</v>
      </c>
      <c r="BO145" s="37">
        <v>0</v>
      </c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37">
        <v>0</v>
      </c>
      <c r="BW145" s="59">
        <v>0</v>
      </c>
      <c r="BX145" s="59">
        <v>0</v>
      </c>
      <c r="BZ145" s="37">
        <v>0</v>
      </c>
      <c r="CA145" s="37">
        <v>0</v>
      </c>
      <c r="CB145" s="37">
        <v>0</v>
      </c>
      <c r="CC145" s="37">
        <v>100000</v>
      </c>
      <c r="CD145" s="37">
        <v>80000</v>
      </c>
      <c r="CE145" s="37">
        <v>32000</v>
      </c>
      <c r="CF145" s="37">
        <v>0</v>
      </c>
      <c r="CG145" s="59">
        <v>212000</v>
      </c>
      <c r="CH145" s="37">
        <v>1500</v>
      </c>
      <c r="CI145" s="37">
        <v>1250</v>
      </c>
      <c r="CJ145" s="37">
        <v>0</v>
      </c>
      <c r="CK145" s="37">
        <v>100</v>
      </c>
      <c r="CL145" s="37">
        <v>0</v>
      </c>
      <c r="CM145" s="37">
        <v>0</v>
      </c>
      <c r="CN145" s="59">
        <v>2850</v>
      </c>
      <c r="CO145" s="59">
        <v>214850</v>
      </c>
      <c r="CP145" s="58"/>
      <c r="CQ145" s="3">
        <v>214850</v>
      </c>
    </row>
    <row r="146" spans="1:95" customFormat="1" x14ac:dyDescent="0.2">
      <c r="A146" s="209">
        <v>43215</v>
      </c>
      <c r="B146" s="33" t="s">
        <v>53</v>
      </c>
      <c r="C146" s="33" t="s">
        <v>54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3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500000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59">
        <v>500000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59">
        <v>0</v>
      </c>
      <c r="AT146" s="59">
        <v>500000</v>
      </c>
      <c r="AU146" s="45"/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59">
        <v>0</v>
      </c>
      <c r="BL146" s="37">
        <v>0</v>
      </c>
      <c r="BM146" s="37">
        <v>0</v>
      </c>
      <c r="BN146" s="37">
        <v>0</v>
      </c>
      <c r="BO146" s="37">
        <v>0</v>
      </c>
      <c r="BP146" s="37">
        <v>0</v>
      </c>
      <c r="BQ146" s="37">
        <v>0</v>
      </c>
      <c r="BR146" s="37">
        <v>0</v>
      </c>
      <c r="BS146" s="37">
        <v>0</v>
      </c>
      <c r="BT146" s="37">
        <v>0</v>
      </c>
      <c r="BU146" s="37">
        <v>0</v>
      </c>
      <c r="BV146" s="37">
        <v>0</v>
      </c>
      <c r="BW146" s="59">
        <v>0</v>
      </c>
      <c r="BX146" s="59">
        <v>0</v>
      </c>
      <c r="BZ146" s="37">
        <v>0</v>
      </c>
      <c r="CA146" s="37">
        <v>0</v>
      </c>
      <c r="CB146" s="37">
        <v>500000</v>
      </c>
      <c r="CC146" s="37">
        <v>0</v>
      </c>
      <c r="CD146" s="37">
        <v>0</v>
      </c>
      <c r="CE146" s="37">
        <v>0</v>
      </c>
      <c r="CF146" s="37">
        <v>0</v>
      </c>
      <c r="CG146" s="59">
        <v>500000</v>
      </c>
      <c r="CH146" s="37">
        <v>0</v>
      </c>
      <c r="CI146" s="37">
        <v>0</v>
      </c>
      <c r="CJ146" s="37">
        <v>0</v>
      </c>
      <c r="CK146" s="37">
        <v>0</v>
      </c>
      <c r="CL146" s="37">
        <v>0</v>
      </c>
      <c r="CM146" s="37">
        <v>0</v>
      </c>
      <c r="CN146" s="59">
        <v>0</v>
      </c>
      <c r="CO146" s="59">
        <v>500000</v>
      </c>
      <c r="CP146" s="58"/>
      <c r="CQ146" s="3">
        <v>500000</v>
      </c>
    </row>
    <row r="147" spans="1:95" customFormat="1" x14ac:dyDescent="0.2">
      <c r="A147" s="209">
        <v>43215</v>
      </c>
      <c r="B147" s="33" t="s">
        <v>55</v>
      </c>
      <c r="C147" s="33" t="s">
        <v>56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59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5</v>
      </c>
      <c r="AM147" s="37">
        <v>0</v>
      </c>
      <c r="AN147" s="37">
        <v>0</v>
      </c>
      <c r="AO147" s="37">
        <v>0</v>
      </c>
      <c r="AP147" s="37">
        <v>2</v>
      </c>
      <c r="AQ147" s="37">
        <v>0</v>
      </c>
      <c r="AR147" s="37">
        <v>0</v>
      </c>
      <c r="AS147" s="59">
        <v>7</v>
      </c>
      <c r="AT147" s="59">
        <v>7</v>
      </c>
      <c r="AU147" s="45"/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0</v>
      </c>
      <c r="BH147" s="37">
        <v>0</v>
      </c>
      <c r="BI147" s="37">
        <v>0</v>
      </c>
      <c r="BJ147" s="37">
        <v>0</v>
      </c>
      <c r="BK147" s="59">
        <v>0</v>
      </c>
      <c r="BL147" s="37">
        <v>0</v>
      </c>
      <c r="BM147" s="37">
        <v>0</v>
      </c>
      <c r="BN147" s="37">
        <v>0</v>
      </c>
      <c r="BO147" s="37">
        <v>0</v>
      </c>
      <c r="BP147" s="37">
        <v>0</v>
      </c>
      <c r="BQ147" s="37">
        <v>0</v>
      </c>
      <c r="BR147" s="37">
        <v>0</v>
      </c>
      <c r="BS147" s="37">
        <v>0</v>
      </c>
      <c r="BT147" s="37">
        <v>0</v>
      </c>
      <c r="BU147" s="37">
        <v>0</v>
      </c>
      <c r="BV147" s="37">
        <v>0</v>
      </c>
      <c r="BW147" s="59">
        <v>0</v>
      </c>
      <c r="BX147" s="59">
        <v>0</v>
      </c>
      <c r="BZ147" s="37">
        <v>0</v>
      </c>
      <c r="CA147" s="37">
        <v>0</v>
      </c>
      <c r="CB147" s="37">
        <v>0</v>
      </c>
      <c r="CC147" s="37">
        <v>0</v>
      </c>
      <c r="CD147" s="37">
        <v>0</v>
      </c>
      <c r="CE147" s="37">
        <v>0</v>
      </c>
      <c r="CF147" s="37">
        <v>0</v>
      </c>
      <c r="CG147" s="59">
        <v>0</v>
      </c>
      <c r="CH147" s="37">
        <v>0</v>
      </c>
      <c r="CI147" s="37">
        <v>5</v>
      </c>
      <c r="CJ147" s="37">
        <v>0</v>
      </c>
      <c r="CK147" s="37">
        <v>2</v>
      </c>
      <c r="CL147" s="37">
        <v>0</v>
      </c>
      <c r="CM147" s="37">
        <v>0</v>
      </c>
      <c r="CN147" s="59">
        <v>7</v>
      </c>
      <c r="CO147" s="59">
        <v>7</v>
      </c>
      <c r="CP147" s="58"/>
      <c r="CQ147" s="3">
        <v>7</v>
      </c>
    </row>
    <row r="148" spans="1:95" customFormat="1" x14ac:dyDescent="0.2">
      <c r="A148" s="209">
        <v>43216</v>
      </c>
      <c r="B148" s="33" t="s">
        <v>53</v>
      </c>
      <c r="C148" s="33" t="s">
        <v>104</v>
      </c>
      <c r="D148" s="43">
        <v>0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  <c r="J148" s="43">
        <v>0</v>
      </c>
      <c r="K148" s="43">
        <v>0</v>
      </c>
      <c r="L148" s="43">
        <v>0</v>
      </c>
      <c r="M148" s="43">
        <v>0</v>
      </c>
      <c r="N148" s="43">
        <v>1</v>
      </c>
      <c r="O148" s="43">
        <v>0</v>
      </c>
      <c r="P148" s="47" t="s">
        <v>67</v>
      </c>
      <c r="R148" s="37">
        <v>278000</v>
      </c>
      <c r="S148" s="37">
        <v>80000</v>
      </c>
      <c r="T148" s="37">
        <v>0</v>
      </c>
      <c r="U148" s="37">
        <v>700000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59">
        <v>1058000</v>
      </c>
      <c r="AH148" s="37">
        <v>2500</v>
      </c>
      <c r="AI148" s="37">
        <v>0</v>
      </c>
      <c r="AJ148" s="37">
        <v>1250</v>
      </c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59">
        <v>3750</v>
      </c>
      <c r="AT148" s="59">
        <v>1061750</v>
      </c>
      <c r="AU148" s="45"/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0</v>
      </c>
      <c r="BH148" s="37">
        <v>0</v>
      </c>
      <c r="BI148" s="37">
        <v>0</v>
      </c>
      <c r="BJ148" s="37">
        <v>0</v>
      </c>
      <c r="BK148" s="59">
        <v>0</v>
      </c>
      <c r="BL148" s="37">
        <v>0</v>
      </c>
      <c r="BM148" s="37">
        <v>0</v>
      </c>
      <c r="BN148" s="37">
        <v>0</v>
      </c>
      <c r="BO148" s="37">
        <v>0</v>
      </c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59">
        <v>0</v>
      </c>
      <c r="BX148" s="59">
        <v>0</v>
      </c>
      <c r="BZ148" s="37">
        <v>358000</v>
      </c>
      <c r="CA148" s="37">
        <v>700000</v>
      </c>
      <c r="CB148" s="37">
        <v>0</v>
      </c>
      <c r="CC148" s="37">
        <v>0</v>
      </c>
      <c r="CD148" s="37">
        <v>0</v>
      </c>
      <c r="CE148" s="37">
        <v>0</v>
      </c>
      <c r="CF148" s="37">
        <v>0</v>
      </c>
      <c r="CG148" s="59">
        <v>1058000</v>
      </c>
      <c r="CH148" s="37">
        <v>2500</v>
      </c>
      <c r="CI148" s="37">
        <v>1250</v>
      </c>
      <c r="CJ148" s="37">
        <v>0</v>
      </c>
      <c r="CK148" s="37">
        <v>0</v>
      </c>
      <c r="CL148" s="37">
        <v>0</v>
      </c>
      <c r="CM148" s="37">
        <v>0</v>
      </c>
      <c r="CN148" s="59">
        <v>3750</v>
      </c>
      <c r="CO148" s="59">
        <v>1061750</v>
      </c>
      <c r="CP148" s="58"/>
      <c r="CQ148" s="3">
        <v>1061750</v>
      </c>
    </row>
    <row r="149" spans="1:95" customFormat="1" x14ac:dyDescent="0.2">
      <c r="A149" s="209">
        <v>43216</v>
      </c>
      <c r="B149" s="33" t="s">
        <v>53</v>
      </c>
      <c r="C149" s="33" t="s">
        <v>105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0</v>
      </c>
      <c r="L149" s="43">
        <v>0</v>
      </c>
      <c r="M149" s="43">
        <v>0</v>
      </c>
      <c r="N149" s="43">
        <v>1</v>
      </c>
      <c r="O149" s="43">
        <v>0</v>
      </c>
      <c r="P149" s="47" t="s">
        <v>67</v>
      </c>
      <c r="R149" s="37">
        <v>0</v>
      </c>
      <c r="S149" s="37">
        <v>160000</v>
      </c>
      <c r="T149" s="37">
        <v>82000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59">
        <v>242000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59">
        <v>0</v>
      </c>
      <c r="AT149" s="59">
        <v>242000</v>
      </c>
      <c r="AU149" s="45"/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0</v>
      </c>
      <c r="BH149" s="37">
        <v>0</v>
      </c>
      <c r="BI149" s="37">
        <v>0</v>
      </c>
      <c r="BJ149" s="37">
        <v>0</v>
      </c>
      <c r="BK149" s="59">
        <v>0</v>
      </c>
      <c r="BL149" s="37">
        <v>0</v>
      </c>
      <c r="BM149" s="37">
        <v>0</v>
      </c>
      <c r="BN149" s="37">
        <v>0</v>
      </c>
      <c r="BO149" s="37">
        <v>0</v>
      </c>
      <c r="BP149" s="37">
        <v>0</v>
      </c>
      <c r="BQ149" s="37">
        <v>0</v>
      </c>
      <c r="BR149" s="37">
        <v>0</v>
      </c>
      <c r="BS149" s="37">
        <v>0</v>
      </c>
      <c r="BT149" s="37">
        <v>0</v>
      </c>
      <c r="BU149" s="37">
        <v>0</v>
      </c>
      <c r="BV149" s="37">
        <v>0</v>
      </c>
      <c r="BW149" s="59">
        <v>0</v>
      </c>
      <c r="BX149" s="59">
        <v>0</v>
      </c>
      <c r="BZ149" s="37">
        <v>242000</v>
      </c>
      <c r="CA149" s="37">
        <v>0</v>
      </c>
      <c r="CB149" s="37">
        <v>0</v>
      </c>
      <c r="CC149" s="37">
        <v>0</v>
      </c>
      <c r="CD149" s="37">
        <v>0</v>
      </c>
      <c r="CE149" s="37">
        <v>0</v>
      </c>
      <c r="CF149" s="37">
        <v>0</v>
      </c>
      <c r="CG149" s="59">
        <v>242000</v>
      </c>
      <c r="CH149" s="37">
        <v>0</v>
      </c>
      <c r="CI149" s="37">
        <v>0</v>
      </c>
      <c r="CJ149" s="37">
        <v>0</v>
      </c>
      <c r="CK149" s="37">
        <v>0</v>
      </c>
      <c r="CL149" s="37">
        <v>0</v>
      </c>
      <c r="CM149" s="37">
        <v>0</v>
      </c>
      <c r="CN149" s="59">
        <v>0</v>
      </c>
      <c r="CO149" s="59">
        <v>242000</v>
      </c>
      <c r="CP149" s="58"/>
      <c r="CQ149" s="3">
        <v>242000</v>
      </c>
    </row>
    <row r="150" spans="1:95" customFormat="1" x14ac:dyDescent="0.2">
      <c r="A150" s="209">
        <v>43216</v>
      </c>
      <c r="B150" s="33" t="s">
        <v>85</v>
      </c>
      <c r="C150" s="33" t="s">
        <v>76</v>
      </c>
      <c r="D150" s="43">
        <v>0</v>
      </c>
      <c r="E150" s="43">
        <v>1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7" t="s">
        <v>45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20000</v>
      </c>
      <c r="AA150" s="37">
        <v>0</v>
      </c>
      <c r="AB150" s="37">
        <v>40000</v>
      </c>
      <c r="AC150" s="37">
        <v>0</v>
      </c>
      <c r="AD150" s="37">
        <v>30000</v>
      </c>
      <c r="AE150" s="37">
        <v>0</v>
      </c>
      <c r="AF150" s="37">
        <v>0</v>
      </c>
      <c r="AG150" s="59">
        <v>90000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59">
        <v>0</v>
      </c>
      <c r="AT150" s="59">
        <v>90000</v>
      </c>
      <c r="AU150" s="45"/>
      <c r="AV150" s="37">
        <v>0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</v>
      </c>
      <c r="BH150" s="37">
        <v>0</v>
      </c>
      <c r="BI150" s="37">
        <v>0</v>
      </c>
      <c r="BJ150" s="37">
        <v>0</v>
      </c>
      <c r="BK150" s="59">
        <v>0</v>
      </c>
      <c r="BL150" s="37">
        <v>0</v>
      </c>
      <c r="BM150" s="37">
        <v>0</v>
      </c>
      <c r="BN150" s="37">
        <v>0</v>
      </c>
      <c r="BO150" s="37">
        <v>0</v>
      </c>
      <c r="BP150" s="37">
        <v>0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59">
        <v>0</v>
      </c>
      <c r="BX150" s="59"/>
      <c r="BZ150" s="37">
        <v>0</v>
      </c>
      <c r="CA150" s="37">
        <v>0</v>
      </c>
      <c r="CB150" s="37">
        <v>0</v>
      </c>
      <c r="CC150" s="37">
        <v>20000</v>
      </c>
      <c r="CD150" s="37">
        <v>40000</v>
      </c>
      <c r="CE150" s="37">
        <v>30000</v>
      </c>
      <c r="CF150" s="37">
        <v>0</v>
      </c>
      <c r="CG150" s="59">
        <v>90000</v>
      </c>
      <c r="CH150" s="37">
        <v>0</v>
      </c>
      <c r="CI150" s="37">
        <v>0</v>
      </c>
      <c r="CJ150" s="37">
        <v>0</v>
      </c>
      <c r="CK150" s="37">
        <v>0</v>
      </c>
      <c r="CL150" s="37">
        <v>0</v>
      </c>
      <c r="CM150" s="37">
        <v>0</v>
      </c>
      <c r="CN150" s="59">
        <v>0</v>
      </c>
      <c r="CO150" s="59">
        <v>90000</v>
      </c>
      <c r="CP150" s="58"/>
      <c r="CQ150" s="3">
        <v>90000</v>
      </c>
    </row>
    <row r="151" spans="1:95" customFormat="1" x14ac:dyDescent="0.2">
      <c r="A151" s="209">
        <v>43216</v>
      </c>
      <c r="B151" s="33" t="s">
        <v>83</v>
      </c>
      <c r="C151" s="33" t="s">
        <v>76</v>
      </c>
      <c r="D151" s="43">
        <v>0</v>
      </c>
      <c r="E151" s="43">
        <v>1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7" t="s">
        <v>45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20000</v>
      </c>
      <c r="AA151" s="37">
        <v>0</v>
      </c>
      <c r="AB151" s="37">
        <v>10000</v>
      </c>
      <c r="AC151" s="37">
        <v>0</v>
      </c>
      <c r="AD151" s="37">
        <v>28000</v>
      </c>
      <c r="AE151" s="37">
        <v>0</v>
      </c>
      <c r="AF151" s="37">
        <v>0</v>
      </c>
      <c r="AG151" s="59">
        <v>58000</v>
      </c>
      <c r="AH151" s="37">
        <v>0</v>
      </c>
      <c r="AI151" s="37">
        <v>0</v>
      </c>
      <c r="AJ151" s="37">
        <v>0</v>
      </c>
      <c r="AK151" s="37">
        <v>0</v>
      </c>
      <c r="AL151" s="37">
        <v>250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59">
        <v>250</v>
      </c>
      <c r="AT151" s="59">
        <v>58250</v>
      </c>
      <c r="AU151" s="45"/>
      <c r="AV151" s="37">
        <v>0</v>
      </c>
      <c r="AW151" s="37">
        <v>0</v>
      </c>
      <c r="AX151" s="37">
        <v>0</v>
      </c>
      <c r="AY151" s="37">
        <v>0</v>
      </c>
      <c r="AZ151" s="37">
        <v>0</v>
      </c>
      <c r="BA151" s="37">
        <v>0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0</v>
      </c>
      <c r="BH151" s="37">
        <v>0</v>
      </c>
      <c r="BI151" s="37">
        <v>0</v>
      </c>
      <c r="BJ151" s="37">
        <v>0</v>
      </c>
      <c r="BK151" s="59">
        <v>0</v>
      </c>
      <c r="BL151" s="37">
        <v>0</v>
      </c>
      <c r="BM151" s="37">
        <v>0</v>
      </c>
      <c r="BN151" s="37">
        <v>0</v>
      </c>
      <c r="BO151" s="37">
        <v>0</v>
      </c>
      <c r="BP151" s="37">
        <v>0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59">
        <v>0</v>
      </c>
      <c r="BX151" s="59">
        <v>0</v>
      </c>
      <c r="BZ151" s="37">
        <v>0</v>
      </c>
      <c r="CA151" s="37">
        <v>0</v>
      </c>
      <c r="CB151" s="37">
        <v>0</v>
      </c>
      <c r="CC151" s="37">
        <v>20000</v>
      </c>
      <c r="CD151" s="37">
        <v>10000</v>
      </c>
      <c r="CE151" s="37">
        <v>28000</v>
      </c>
      <c r="CF151" s="37">
        <v>0</v>
      </c>
      <c r="CG151" s="59">
        <v>58000</v>
      </c>
      <c r="CH151" s="37">
        <v>0</v>
      </c>
      <c r="CI151" s="37">
        <v>250</v>
      </c>
      <c r="CJ151" s="37">
        <v>0</v>
      </c>
      <c r="CK151" s="37">
        <v>0</v>
      </c>
      <c r="CL151" s="37">
        <v>0</v>
      </c>
      <c r="CM151" s="37">
        <v>0</v>
      </c>
      <c r="CN151" s="59">
        <v>250</v>
      </c>
      <c r="CO151" s="59">
        <v>58250</v>
      </c>
      <c r="CP151" s="58"/>
      <c r="CQ151" s="3">
        <v>58250</v>
      </c>
    </row>
    <row r="152" spans="1:95" customFormat="1" x14ac:dyDescent="0.2">
      <c r="A152" s="209">
        <v>43216</v>
      </c>
      <c r="B152" s="33" t="s">
        <v>53</v>
      </c>
      <c r="C152" s="33" t="s">
        <v>54</v>
      </c>
      <c r="D152" s="43">
        <v>1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7" t="s">
        <v>45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75000</v>
      </c>
      <c r="AC152" s="37">
        <v>0</v>
      </c>
      <c r="AD152" s="37">
        <v>30000</v>
      </c>
      <c r="AE152" s="37">
        <v>0</v>
      </c>
      <c r="AF152" s="37">
        <v>0</v>
      </c>
      <c r="AG152" s="59">
        <v>105000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59">
        <v>0</v>
      </c>
      <c r="AT152" s="59">
        <v>105000</v>
      </c>
      <c r="AU152" s="45"/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0</v>
      </c>
      <c r="BB152" s="37">
        <v>0</v>
      </c>
      <c r="BC152" s="37">
        <v>0</v>
      </c>
      <c r="BD152" s="37">
        <v>0</v>
      </c>
      <c r="BE152" s="37">
        <v>0</v>
      </c>
      <c r="BF152" s="37">
        <v>0</v>
      </c>
      <c r="BG152" s="37">
        <v>0</v>
      </c>
      <c r="BH152" s="37">
        <v>0</v>
      </c>
      <c r="BI152" s="37">
        <v>0</v>
      </c>
      <c r="BJ152" s="37">
        <v>0</v>
      </c>
      <c r="BK152" s="59">
        <v>0</v>
      </c>
      <c r="BL152" s="37">
        <v>0</v>
      </c>
      <c r="BM152" s="37">
        <v>0</v>
      </c>
      <c r="BN152" s="37">
        <v>0</v>
      </c>
      <c r="BO152" s="37">
        <v>0</v>
      </c>
      <c r="BP152" s="37">
        <v>0</v>
      </c>
      <c r="BQ152" s="37">
        <v>0</v>
      </c>
      <c r="BR152" s="37">
        <v>0</v>
      </c>
      <c r="BS152" s="37">
        <v>0</v>
      </c>
      <c r="BT152" s="37">
        <v>0</v>
      </c>
      <c r="BU152" s="37">
        <v>0</v>
      </c>
      <c r="BV152" s="37">
        <v>0</v>
      </c>
      <c r="BW152" s="59">
        <v>0</v>
      </c>
      <c r="BX152" s="59">
        <v>0</v>
      </c>
      <c r="BZ152" s="37">
        <v>0</v>
      </c>
      <c r="CA152" s="37">
        <v>0</v>
      </c>
      <c r="CB152" s="37">
        <v>0</v>
      </c>
      <c r="CC152" s="37">
        <v>0</v>
      </c>
      <c r="CD152" s="37">
        <v>75000</v>
      </c>
      <c r="CE152" s="37">
        <v>30000</v>
      </c>
      <c r="CF152" s="37">
        <v>0</v>
      </c>
      <c r="CG152" s="59">
        <v>105000</v>
      </c>
      <c r="CH152" s="37">
        <v>0</v>
      </c>
      <c r="CI152" s="37">
        <v>0</v>
      </c>
      <c r="CJ152" s="37">
        <v>0</v>
      </c>
      <c r="CK152" s="37">
        <v>0</v>
      </c>
      <c r="CL152" s="37">
        <v>0</v>
      </c>
      <c r="CM152" s="37">
        <v>0</v>
      </c>
      <c r="CN152" s="59">
        <v>0</v>
      </c>
      <c r="CO152" s="59">
        <v>105000</v>
      </c>
      <c r="CP152" s="58"/>
      <c r="CQ152" s="3">
        <v>105000</v>
      </c>
    </row>
    <row r="153" spans="1:95" customFormat="1" x14ac:dyDescent="0.2">
      <c r="A153" s="209">
        <v>43220</v>
      </c>
      <c r="B153" s="33" t="s">
        <v>53</v>
      </c>
      <c r="C153" s="33" t="s">
        <v>54</v>
      </c>
      <c r="D153" s="43">
        <v>1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7" t="s">
        <v>45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500000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59">
        <v>500000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59">
        <v>0</v>
      </c>
      <c r="AT153" s="59">
        <v>500000</v>
      </c>
      <c r="AU153" s="45"/>
      <c r="AV153" s="37">
        <v>0</v>
      </c>
      <c r="AW153" s="37">
        <v>0</v>
      </c>
      <c r="AX153" s="37">
        <v>0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0</v>
      </c>
      <c r="BE153" s="37">
        <v>0</v>
      </c>
      <c r="BF153" s="37">
        <v>0</v>
      </c>
      <c r="BG153" s="37">
        <v>0</v>
      </c>
      <c r="BH153" s="37">
        <v>0</v>
      </c>
      <c r="BI153" s="37">
        <v>0</v>
      </c>
      <c r="BJ153" s="37">
        <v>0</v>
      </c>
      <c r="BK153" s="59">
        <v>0</v>
      </c>
      <c r="BL153" s="37">
        <v>0</v>
      </c>
      <c r="BM153" s="37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59">
        <v>0</v>
      </c>
      <c r="BX153" s="59">
        <v>0</v>
      </c>
      <c r="BZ153" s="37">
        <v>0</v>
      </c>
      <c r="CA153" s="37">
        <v>0</v>
      </c>
      <c r="CB153" s="37">
        <v>500000</v>
      </c>
      <c r="CC153" s="37">
        <v>0</v>
      </c>
      <c r="CD153" s="37">
        <v>0</v>
      </c>
      <c r="CE153" s="37">
        <v>0</v>
      </c>
      <c r="CF153" s="37">
        <v>0</v>
      </c>
      <c r="CG153" s="59">
        <v>500000</v>
      </c>
      <c r="CH153" s="37">
        <v>0</v>
      </c>
      <c r="CI153" s="37">
        <v>0</v>
      </c>
      <c r="CJ153" s="37">
        <v>0</v>
      </c>
      <c r="CK153" s="37">
        <v>0</v>
      </c>
      <c r="CL153" s="37">
        <v>0</v>
      </c>
      <c r="CM153" s="37">
        <v>0</v>
      </c>
      <c r="CN153" s="59">
        <v>0</v>
      </c>
      <c r="CO153" s="59">
        <v>500000</v>
      </c>
      <c r="CP153" s="58"/>
      <c r="CQ153" s="3">
        <v>500000</v>
      </c>
    </row>
    <row r="154" spans="1:95" customFormat="1" x14ac:dyDescent="0.2">
      <c r="A154" s="209">
        <v>43220</v>
      </c>
      <c r="B154" s="33" t="s">
        <v>53</v>
      </c>
      <c r="C154" s="33" t="s">
        <v>54</v>
      </c>
      <c r="D154" s="43">
        <v>1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47" t="s">
        <v>45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120000</v>
      </c>
      <c r="AA154" s="37">
        <v>0</v>
      </c>
      <c r="AB154" s="37">
        <v>100000</v>
      </c>
      <c r="AC154" s="37">
        <v>0</v>
      </c>
      <c r="AD154" s="37">
        <v>40000</v>
      </c>
      <c r="AE154" s="37">
        <v>0</v>
      </c>
      <c r="AF154" s="37">
        <v>0</v>
      </c>
      <c r="AG154" s="59">
        <v>260000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21</v>
      </c>
      <c r="AQ154" s="37">
        <v>0</v>
      </c>
      <c r="AR154" s="37">
        <v>0</v>
      </c>
      <c r="AS154" s="59">
        <v>21</v>
      </c>
      <c r="AT154" s="59">
        <v>260021</v>
      </c>
      <c r="AU154" s="45"/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0</v>
      </c>
      <c r="BH154" s="37">
        <v>0</v>
      </c>
      <c r="BI154" s="37">
        <v>0</v>
      </c>
      <c r="BJ154" s="37">
        <v>0</v>
      </c>
      <c r="BK154" s="59">
        <v>0</v>
      </c>
      <c r="BL154" s="37">
        <v>0</v>
      </c>
      <c r="BM154" s="37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59">
        <v>0</v>
      </c>
      <c r="BX154" s="59">
        <v>0</v>
      </c>
      <c r="BZ154" s="37">
        <v>0</v>
      </c>
      <c r="CA154" s="37">
        <v>0</v>
      </c>
      <c r="CB154" s="37">
        <v>0</v>
      </c>
      <c r="CC154" s="37">
        <v>120000</v>
      </c>
      <c r="CD154" s="37">
        <v>100000</v>
      </c>
      <c r="CE154" s="37">
        <v>40000</v>
      </c>
      <c r="CF154" s="37">
        <v>0</v>
      </c>
      <c r="CG154" s="59">
        <v>260000</v>
      </c>
      <c r="CH154" s="37">
        <v>0</v>
      </c>
      <c r="CI154" s="37">
        <v>0</v>
      </c>
      <c r="CJ154" s="37">
        <v>0</v>
      </c>
      <c r="CK154" s="37">
        <v>21</v>
      </c>
      <c r="CL154" s="37">
        <v>0</v>
      </c>
      <c r="CM154" s="37">
        <v>0</v>
      </c>
      <c r="CN154" s="59">
        <v>21</v>
      </c>
      <c r="CO154" s="59">
        <v>260021</v>
      </c>
      <c r="CP154" s="58"/>
      <c r="CQ154" s="3">
        <v>260021</v>
      </c>
    </row>
    <row r="155" spans="1:95" customFormat="1" x14ac:dyDescent="0.2">
      <c r="A155" s="209">
        <v>43220</v>
      </c>
      <c r="B155" s="33" t="s">
        <v>53</v>
      </c>
      <c r="C155" s="33" t="s">
        <v>54</v>
      </c>
      <c r="D155" s="43">
        <v>1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0</v>
      </c>
      <c r="L155" s="43">
        <v>0</v>
      </c>
      <c r="M155" s="43">
        <v>0</v>
      </c>
      <c r="N155" s="43">
        <v>0</v>
      </c>
      <c r="O155" s="43">
        <v>0</v>
      </c>
      <c r="P155" s="47" t="s">
        <v>45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59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v>0</v>
      </c>
      <c r="AP155" s="37">
        <v>679</v>
      </c>
      <c r="AQ155" s="37">
        <v>0</v>
      </c>
      <c r="AR155" s="37">
        <v>0</v>
      </c>
      <c r="AS155" s="59">
        <v>679</v>
      </c>
      <c r="AT155" s="59">
        <v>679</v>
      </c>
      <c r="AU155" s="45"/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0</v>
      </c>
      <c r="BH155" s="37">
        <v>0</v>
      </c>
      <c r="BI155" s="37">
        <v>0</v>
      </c>
      <c r="BJ155" s="37">
        <v>0</v>
      </c>
      <c r="BK155" s="59">
        <v>0</v>
      </c>
      <c r="BL155" s="37">
        <v>0</v>
      </c>
      <c r="BM155" s="37">
        <v>0</v>
      </c>
      <c r="BN155" s="37">
        <v>0</v>
      </c>
      <c r="BO155" s="37">
        <v>0</v>
      </c>
      <c r="BP155" s="37">
        <v>0</v>
      </c>
      <c r="BQ155" s="37">
        <v>0</v>
      </c>
      <c r="BR155" s="37">
        <v>0</v>
      </c>
      <c r="BS155" s="37">
        <v>0</v>
      </c>
      <c r="BT155" s="37">
        <v>0</v>
      </c>
      <c r="BU155" s="37">
        <v>0</v>
      </c>
      <c r="BV155" s="37">
        <v>0</v>
      </c>
      <c r="BW155" s="59">
        <v>0</v>
      </c>
      <c r="BX155" s="59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7">
        <v>0</v>
      </c>
      <c r="CF155" s="37">
        <v>0</v>
      </c>
      <c r="CG155" s="59">
        <v>0</v>
      </c>
      <c r="CH155" s="37">
        <v>0</v>
      </c>
      <c r="CI155" s="37">
        <v>0</v>
      </c>
      <c r="CJ155" s="37">
        <v>0</v>
      </c>
      <c r="CK155" s="37">
        <v>679</v>
      </c>
      <c r="CL155" s="37">
        <v>0</v>
      </c>
      <c r="CM155" s="37">
        <v>0</v>
      </c>
      <c r="CN155" s="59">
        <v>679</v>
      </c>
      <c r="CO155" s="59">
        <v>679</v>
      </c>
      <c r="CP155" s="58"/>
      <c r="CQ155" s="3">
        <v>679</v>
      </c>
    </row>
    <row r="156" spans="1:95" customFormat="1" x14ac:dyDescent="0.2">
      <c r="A156" s="209">
        <v>43220</v>
      </c>
      <c r="B156" s="33" t="s">
        <v>79</v>
      </c>
      <c r="C156" s="33" t="s">
        <v>76</v>
      </c>
      <c r="D156" s="43">
        <v>0</v>
      </c>
      <c r="E156" s="43">
        <v>1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47" t="s">
        <v>45</v>
      </c>
      <c r="R156" s="37">
        <v>0</v>
      </c>
      <c r="S156" s="37">
        <v>0</v>
      </c>
      <c r="T156" s="37">
        <v>0</v>
      </c>
      <c r="U156" s="37">
        <v>0</v>
      </c>
      <c r="V156" s="37">
        <v>300000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59">
        <v>300000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59">
        <v>0</v>
      </c>
      <c r="AT156" s="59">
        <v>300000</v>
      </c>
      <c r="AU156" s="45"/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59">
        <v>0</v>
      </c>
      <c r="BL156" s="37">
        <v>0</v>
      </c>
      <c r="BM156" s="37">
        <v>0</v>
      </c>
      <c r="BN156" s="37">
        <v>0</v>
      </c>
      <c r="BO156" s="37">
        <v>0</v>
      </c>
      <c r="BP156" s="37">
        <v>0</v>
      </c>
      <c r="BQ156" s="37">
        <v>0</v>
      </c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59">
        <v>0</v>
      </c>
      <c r="BX156" s="59">
        <v>0</v>
      </c>
      <c r="BZ156" s="37">
        <v>0</v>
      </c>
      <c r="CA156" s="37">
        <v>300000</v>
      </c>
      <c r="CB156" s="37">
        <v>0</v>
      </c>
      <c r="CC156" s="37">
        <v>0</v>
      </c>
      <c r="CD156" s="37">
        <v>0</v>
      </c>
      <c r="CE156" s="37">
        <v>0</v>
      </c>
      <c r="CF156" s="37">
        <v>0</v>
      </c>
      <c r="CG156" s="59">
        <v>300000</v>
      </c>
      <c r="CH156" s="37">
        <v>0</v>
      </c>
      <c r="CI156" s="37">
        <v>0</v>
      </c>
      <c r="CJ156" s="37">
        <v>0</v>
      </c>
      <c r="CK156" s="37">
        <v>0</v>
      </c>
      <c r="CL156" s="37">
        <v>0</v>
      </c>
      <c r="CM156" s="37">
        <v>0</v>
      </c>
      <c r="CN156" s="59">
        <v>0</v>
      </c>
      <c r="CO156" s="59">
        <v>300000</v>
      </c>
      <c r="CP156" s="58"/>
      <c r="CQ156" s="3">
        <v>300000</v>
      </c>
    </row>
    <row r="157" spans="1:95" customFormat="1" x14ac:dyDescent="0.2">
      <c r="A157" s="209">
        <v>43220</v>
      </c>
      <c r="B157" s="33" t="s">
        <v>55</v>
      </c>
      <c r="C157" s="33" t="s">
        <v>56</v>
      </c>
      <c r="D157" s="43">
        <v>0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59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  <c r="AN157" s="37">
        <v>4</v>
      </c>
      <c r="AO157" s="37">
        <v>0</v>
      </c>
      <c r="AP157" s="37">
        <v>0</v>
      </c>
      <c r="AQ157" s="37">
        <v>0</v>
      </c>
      <c r="AR157" s="37">
        <v>0</v>
      </c>
      <c r="AS157" s="59">
        <v>4</v>
      </c>
      <c r="AT157" s="59">
        <v>4</v>
      </c>
      <c r="AU157" s="45"/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0</v>
      </c>
      <c r="BH157" s="37">
        <v>0</v>
      </c>
      <c r="BI157" s="37">
        <v>0</v>
      </c>
      <c r="BJ157" s="37">
        <v>0</v>
      </c>
      <c r="BK157" s="59">
        <v>0</v>
      </c>
      <c r="BL157" s="37">
        <v>0</v>
      </c>
      <c r="BM157" s="37">
        <v>0</v>
      </c>
      <c r="BN157" s="37">
        <v>0</v>
      </c>
      <c r="BO157" s="37">
        <v>0</v>
      </c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59">
        <v>0</v>
      </c>
      <c r="BX157" s="59">
        <v>0</v>
      </c>
      <c r="BZ157" s="37">
        <v>0</v>
      </c>
      <c r="CA157" s="37">
        <v>0</v>
      </c>
      <c r="CB157" s="37">
        <v>0</v>
      </c>
      <c r="CC157" s="37">
        <v>0</v>
      </c>
      <c r="CD157" s="37">
        <v>0</v>
      </c>
      <c r="CE157" s="37">
        <v>0</v>
      </c>
      <c r="CF157" s="37">
        <v>0</v>
      </c>
      <c r="CG157" s="59">
        <v>0</v>
      </c>
      <c r="CH157" s="37">
        <v>0</v>
      </c>
      <c r="CI157" s="37">
        <v>0</v>
      </c>
      <c r="CJ157" s="37">
        <v>4</v>
      </c>
      <c r="CK157" s="37">
        <v>0</v>
      </c>
      <c r="CL157" s="37">
        <v>0</v>
      </c>
      <c r="CM157" s="37">
        <v>0</v>
      </c>
      <c r="CN157" s="59">
        <v>4</v>
      </c>
      <c r="CO157" s="59">
        <v>4</v>
      </c>
      <c r="CP157" s="58"/>
      <c r="CQ157" s="3">
        <v>4</v>
      </c>
    </row>
    <row r="158" spans="1:95" customFormat="1" x14ac:dyDescent="0.2">
      <c r="A158" s="209">
        <v>43222</v>
      </c>
      <c r="B158" s="33" t="s">
        <v>70</v>
      </c>
      <c r="C158" s="33" t="s">
        <v>103</v>
      </c>
      <c r="D158" s="43">
        <v>0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1</v>
      </c>
      <c r="O158" s="43">
        <v>0</v>
      </c>
      <c r="P158" s="47" t="s">
        <v>45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70000</v>
      </c>
      <c r="AC158" s="37">
        <v>0</v>
      </c>
      <c r="AD158" s="37">
        <v>48000</v>
      </c>
      <c r="AE158" s="37">
        <v>0</v>
      </c>
      <c r="AF158" s="37">
        <v>0</v>
      </c>
      <c r="AG158" s="59">
        <v>118000</v>
      </c>
      <c r="AH158" s="37">
        <v>0</v>
      </c>
      <c r="AI158" s="37">
        <v>2500</v>
      </c>
      <c r="AJ158" s="37">
        <v>0</v>
      </c>
      <c r="AK158" s="37">
        <v>0</v>
      </c>
      <c r="AL158" s="37">
        <v>1500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59">
        <v>4000</v>
      </c>
      <c r="AT158" s="59">
        <v>122000</v>
      </c>
      <c r="AU158" s="45"/>
      <c r="AV158" s="37">
        <v>0</v>
      </c>
      <c r="AW158" s="37">
        <v>0</v>
      </c>
      <c r="AX158" s="37">
        <v>0</v>
      </c>
      <c r="AY158" s="37">
        <v>0</v>
      </c>
      <c r="AZ158" s="37">
        <v>0</v>
      </c>
      <c r="BA158" s="37">
        <v>0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59">
        <v>0</v>
      </c>
      <c r="BL158" s="37">
        <v>0</v>
      </c>
      <c r="BM158" s="37">
        <v>0</v>
      </c>
      <c r="BN158" s="37">
        <v>0</v>
      </c>
      <c r="BO158" s="37">
        <v>0</v>
      </c>
      <c r="BP158" s="37">
        <v>0</v>
      </c>
      <c r="BQ158" s="37">
        <v>0</v>
      </c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59">
        <v>0</v>
      </c>
      <c r="BX158" s="59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70000</v>
      </c>
      <c r="CE158" s="37">
        <v>48000</v>
      </c>
      <c r="CF158" s="37">
        <v>0</v>
      </c>
      <c r="CG158" s="59">
        <v>118000</v>
      </c>
      <c r="CH158" s="37">
        <v>2500</v>
      </c>
      <c r="CI158" s="37">
        <v>1500</v>
      </c>
      <c r="CJ158" s="37">
        <v>0</v>
      </c>
      <c r="CK158" s="37">
        <v>0</v>
      </c>
      <c r="CL158" s="37">
        <v>0</v>
      </c>
      <c r="CM158" s="37">
        <v>0</v>
      </c>
      <c r="CN158" s="59">
        <v>4000</v>
      </c>
      <c r="CO158" s="59">
        <v>122000</v>
      </c>
      <c r="CP158" s="58"/>
      <c r="CQ158" s="3">
        <v>122000</v>
      </c>
    </row>
    <row r="159" spans="1:95" customFormat="1" x14ac:dyDescent="0.2">
      <c r="A159" s="209">
        <v>43222</v>
      </c>
      <c r="B159" s="33" t="s">
        <v>53</v>
      </c>
      <c r="C159" s="33" t="s">
        <v>106</v>
      </c>
      <c r="D159" s="43">
        <v>0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7" t="s">
        <v>45</v>
      </c>
      <c r="R159" s="37">
        <v>0</v>
      </c>
      <c r="S159" s="37">
        <v>846000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59">
        <v>846000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59">
        <v>0</v>
      </c>
      <c r="AT159" s="59">
        <v>846000</v>
      </c>
      <c r="AU159" s="45"/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59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59">
        <v>0</v>
      </c>
      <c r="BX159" s="59">
        <v>0</v>
      </c>
      <c r="BZ159" s="37">
        <v>846000</v>
      </c>
      <c r="CA159" s="37">
        <v>0</v>
      </c>
      <c r="CB159" s="37">
        <v>0</v>
      </c>
      <c r="CC159" s="37">
        <v>0</v>
      </c>
      <c r="CD159" s="37">
        <v>0</v>
      </c>
      <c r="CE159" s="37">
        <v>0</v>
      </c>
      <c r="CF159" s="37">
        <v>0</v>
      </c>
      <c r="CG159" s="59">
        <v>846000</v>
      </c>
      <c r="CH159" s="37">
        <v>0</v>
      </c>
      <c r="CI159" s="37">
        <v>0</v>
      </c>
      <c r="CJ159" s="37">
        <v>0</v>
      </c>
      <c r="CK159" s="37">
        <v>0</v>
      </c>
      <c r="CL159" s="37">
        <v>0</v>
      </c>
      <c r="CM159" s="37">
        <v>0</v>
      </c>
      <c r="CN159" s="59">
        <v>0</v>
      </c>
      <c r="CO159" s="59">
        <v>846000</v>
      </c>
      <c r="CP159" s="58"/>
      <c r="CQ159" s="3">
        <v>846000</v>
      </c>
    </row>
    <row r="160" spans="1:95" customFormat="1" x14ac:dyDescent="0.2">
      <c r="A160" s="209">
        <v>43222</v>
      </c>
      <c r="B160" s="33" t="s">
        <v>53</v>
      </c>
      <c r="C160" s="33" t="s">
        <v>107</v>
      </c>
      <c r="D160" s="43">
        <v>0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0</v>
      </c>
      <c r="O160" s="43">
        <v>0</v>
      </c>
      <c r="P160" s="47" t="s">
        <v>45</v>
      </c>
      <c r="R160" s="37">
        <v>0</v>
      </c>
      <c r="S160" s="37">
        <v>0</v>
      </c>
      <c r="T160" s="37">
        <v>300000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59">
        <v>300000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59">
        <v>0</v>
      </c>
      <c r="AT160" s="59">
        <v>300000</v>
      </c>
      <c r="AU160" s="45"/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0</v>
      </c>
      <c r="BK160" s="59">
        <v>0</v>
      </c>
      <c r="BL160" s="37">
        <v>0</v>
      </c>
      <c r="BM160" s="37">
        <v>0</v>
      </c>
      <c r="BN160" s="37">
        <v>0</v>
      </c>
      <c r="BO160" s="37">
        <v>0</v>
      </c>
      <c r="BP160" s="37">
        <v>0</v>
      </c>
      <c r="BQ160" s="37">
        <v>0</v>
      </c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59">
        <v>0</v>
      </c>
      <c r="BX160" s="59">
        <v>0</v>
      </c>
      <c r="BZ160" s="37">
        <v>300000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59">
        <v>300000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0</v>
      </c>
      <c r="CN160" s="59">
        <v>0</v>
      </c>
      <c r="CO160" s="59">
        <v>300000</v>
      </c>
      <c r="CP160" s="58"/>
      <c r="CQ160" s="3">
        <v>300000</v>
      </c>
    </row>
    <row r="161" spans="1:95" customFormat="1" x14ac:dyDescent="0.2">
      <c r="A161" s="209">
        <v>43222</v>
      </c>
      <c r="B161" s="33" t="s">
        <v>53</v>
      </c>
      <c r="C161" s="33" t="s">
        <v>54</v>
      </c>
      <c r="D161" s="43">
        <v>1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7" t="s">
        <v>45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125000</v>
      </c>
      <c r="AC161" s="37">
        <v>0</v>
      </c>
      <c r="AD161" s="37">
        <v>50000</v>
      </c>
      <c r="AE161" s="37">
        <v>0</v>
      </c>
      <c r="AF161" s="37">
        <v>0</v>
      </c>
      <c r="AG161" s="59">
        <v>175000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59">
        <v>0</v>
      </c>
      <c r="AT161" s="59">
        <v>175000</v>
      </c>
      <c r="AU161" s="45"/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0</v>
      </c>
      <c r="BK161" s="59">
        <v>0</v>
      </c>
      <c r="BL161" s="37">
        <v>0</v>
      </c>
      <c r="BM161" s="37">
        <v>0</v>
      </c>
      <c r="BN161" s="37">
        <v>0</v>
      </c>
      <c r="BO161" s="37">
        <v>0</v>
      </c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59">
        <v>0</v>
      </c>
      <c r="BX161" s="59">
        <v>0</v>
      </c>
      <c r="BZ161" s="37">
        <v>0</v>
      </c>
      <c r="CA161" s="37">
        <v>0</v>
      </c>
      <c r="CB161" s="37">
        <v>0</v>
      </c>
      <c r="CC161" s="37">
        <v>0</v>
      </c>
      <c r="CD161" s="37">
        <v>125000</v>
      </c>
      <c r="CE161" s="37">
        <v>50000</v>
      </c>
      <c r="CF161" s="37">
        <v>0</v>
      </c>
      <c r="CG161" s="59">
        <v>175000</v>
      </c>
      <c r="CH161" s="37">
        <v>0</v>
      </c>
      <c r="CI161" s="37">
        <v>0</v>
      </c>
      <c r="CJ161" s="37">
        <v>0</v>
      </c>
      <c r="CK161" s="37">
        <v>0</v>
      </c>
      <c r="CL161" s="37">
        <v>0</v>
      </c>
      <c r="CM161" s="37">
        <v>0</v>
      </c>
      <c r="CN161" s="59">
        <v>0</v>
      </c>
      <c r="CO161" s="59">
        <v>175000</v>
      </c>
      <c r="CP161" s="58"/>
      <c r="CQ161" s="3">
        <v>175000</v>
      </c>
    </row>
    <row r="162" spans="1:95" customFormat="1" x14ac:dyDescent="0.2">
      <c r="A162" s="209">
        <v>43222</v>
      </c>
      <c r="B162" s="33" t="s">
        <v>53</v>
      </c>
      <c r="C162" s="33" t="s">
        <v>84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59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3125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59">
        <v>3125</v>
      </c>
      <c r="AT162" s="59">
        <v>3125</v>
      </c>
      <c r="AU162" s="45"/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59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59">
        <v>0</v>
      </c>
      <c r="BX162" s="59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59">
        <v>0</v>
      </c>
      <c r="CH162" s="37">
        <v>0</v>
      </c>
      <c r="CI162" s="37">
        <v>3125</v>
      </c>
      <c r="CJ162" s="37">
        <v>0</v>
      </c>
      <c r="CK162" s="37">
        <v>0</v>
      </c>
      <c r="CL162" s="37">
        <v>0</v>
      </c>
      <c r="CM162" s="37">
        <v>0</v>
      </c>
      <c r="CN162" s="59">
        <v>3125</v>
      </c>
      <c r="CO162" s="59">
        <v>3125</v>
      </c>
      <c r="CP162" s="58"/>
      <c r="CQ162" s="3">
        <v>3125</v>
      </c>
    </row>
    <row r="163" spans="1:95" customFormat="1" x14ac:dyDescent="0.2">
      <c r="A163" s="209">
        <v>43222</v>
      </c>
      <c r="B163" s="33" t="s">
        <v>55</v>
      </c>
      <c r="C163" s="33" t="s">
        <v>56</v>
      </c>
      <c r="D163" s="43">
        <v>0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59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5</v>
      </c>
      <c r="AM163" s="37">
        <v>0</v>
      </c>
      <c r="AN163" s="37">
        <v>4</v>
      </c>
      <c r="AO163" s="37">
        <v>0</v>
      </c>
      <c r="AP163" s="37">
        <v>2</v>
      </c>
      <c r="AQ163" s="37">
        <v>0</v>
      </c>
      <c r="AR163" s="37">
        <v>0</v>
      </c>
      <c r="AS163" s="59">
        <v>11</v>
      </c>
      <c r="AT163" s="59">
        <v>11</v>
      </c>
      <c r="AU163" s="45"/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59">
        <v>0</v>
      </c>
      <c r="BL163" s="37">
        <v>0</v>
      </c>
      <c r="BM163" s="37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59">
        <v>0</v>
      </c>
      <c r="BX163" s="59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59">
        <v>0</v>
      </c>
      <c r="CH163" s="37">
        <v>0</v>
      </c>
      <c r="CI163" s="37">
        <v>5</v>
      </c>
      <c r="CJ163" s="37">
        <v>4</v>
      </c>
      <c r="CK163" s="37">
        <v>2</v>
      </c>
      <c r="CL163" s="37">
        <v>0</v>
      </c>
      <c r="CM163" s="37">
        <v>0</v>
      </c>
      <c r="CN163" s="59">
        <v>11</v>
      </c>
      <c r="CO163" s="59">
        <v>11</v>
      </c>
      <c r="CP163" s="58"/>
      <c r="CQ163" s="3">
        <v>11</v>
      </c>
    </row>
    <row r="164" spans="1:95" customFormat="1" x14ac:dyDescent="0.2">
      <c r="A164" s="209">
        <v>43223</v>
      </c>
      <c r="B164" s="33" t="s">
        <v>55</v>
      </c>
      <c r="C164" s="33" t="s">
        <v>56</v>
      </c>
      <c r="D164" s="43">
        <v>0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  <c r="J164" s="43">
        <v>0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59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5</v>
      </c>
      <c r="AM164" s="37">
        <v>0</v>
      </c>
      <c r="AN164" s="37">
        <v>4</v>
      </c>
      <c r="AO164" s="37">
        <v>0</v>
      </c>
      <c r="AP164" s="37">
        <v>2</v>
      </c>
      <c r="AQ164" s="37">
        <v>0</v>
      </c>
      <c r="AR164" s="37">
        <v>0</v>
      </c>
      <c r="AS164" s="59">
        <v>11</v>
      </c>
      <c r="AT164" s="59">
        <v>11</v>
      </c>
      <c r="AU164" s="45"/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37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59">
        <v>0</v>
      </c>
      <c r="BL164" s="37">
        <v>0</v>
      </c>
      <c r="BM164" s="37">
        <v>0</v>
      </c>
      <c r="BN164" s="37">
        <v>0</v>
      </c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59">
        <v>0</v>
      </c>
      <c r="BX164" s="59">
        <v>0</v>
      </c>
      <c r="BZ164" s="37">
        <v>0</v>
      </c>
      <c r="CA164" s="37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59">
        <v>0</v>
      </c>
      <c r="CH164" s="37">
        <v>0</v>
      </c>
      <c r="CI164" s="37">
        <v>5</v>
      </c>
      <c r="CJ164" s="37">
        <v>4</v>
      </c>
      <c r="CK164" s="37">
        <v>2</v>
      </c>
      <c r="CL164" s="37">
        <v>0</v>
      </c>
      <c r="CM164" s="37">
        <v>0</v>
      </c>
      <c r="CN164" s="59">
        <v>11</v>
      </c>
      <c r="CO164" s="59">
        <v>11</v>
      </c>
      <c r="CP164" s="58"/>
      <c r="CQ164" s="3">
        <v>11</v>
      </c>
    </row>
    <row r="165" spans="1:95" customFormat="1" x14ac:dyDescent="0.2">
      <c r="A165" s="209">
        <v>43223</v>
      </c>
      <c r="B165" s="33" t="s">
        <v>53</v>
      </c>
      <c r="C165" s="33" t="s">
        <v>57</v>
      </c>
      <c r="D165" s="43">
        <v>0</v>
      </c>
      <c r="E165" s="43">
        <v>0</v>
      </c>
      <c r="F165" s="43">
        <v>0</v>
      </c>
      <c r="G165" s="43">
        <v>0</v>
      </c>
      <c r="H165" s="43">
        <v>0</v>
      </c>
      <c r="I165" s="43"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59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5</v>
      </c>
      <c r="AM165" s="37">
        <v>0</v>
      </c>
      <c r="AN165" s="37">
        <v>4</v>
      </c>
      <c r="AO165" s="37">
        <v>0</v>
      </c>
      <c r="AP165" s="37">
        <v>2</v>
      </c>
      <c r="AQ165" s="37">
        <v>0</v>
      </c>
      <c r="AR165" s="37">
        <v>0</v>
      </c>
      <c r="AS165" s="59">
        <v>11</v>
      </c>
      <c r="AT165" s="59">
        <v>11</v>
      </c>
      <c r="AU165" s="45"/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37">
        <v>0</v>
      </c>
      <c r="BD165" s="37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59">
        <v>0</v>
      </c>
      <c r="BL165" s="37">
        <v>0</v>
      </c>
      <c r="BM165" s="37">
        <v>0</v>
      </c>
      <c r="BN165" s="37">
        <v>0</v>
      </c>
      <c r="BO165" s="37">
        <v>0</v>
      </c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37">
        <v>0</v>
      </c>
      <c r="BW165" s="59">
        <v>0</v>
      </c>
      <c r="BX165" s="59">
        <v>0</v>
      </c>
      <c r="BZ165" s="37">
        <v>0</v>
      </c>
      <c r="CA165" s="37">
        <v>0</v>
      </c>
      <c r="CB165" s="37">
        <v>0</v>
      </c>
      <c r="CC165" s="37">
        <v>0</v>
      </c>
      <c r="CD165" s="37">
        <v>0</v>
      </c>
      <c r="CE165" s="37">
        <v>0</v>
      </c>
      <c r="CF165" s="37">
        <v>0</v>
      </c>
      <c r="CG165" s="59">
        <v>0</v>
      </c>
      <c r="CH165" s="37">
        <v>0</v>
      </c>
      <c r="CI165" s="37">
        <v>5</v>
      </c>
      <c r="CJ165" s="37">
        <v>4</v>
      </c>
      <c r="CK165" s="37">
        <v>2</v>
      </c>
      <c r="CL165" s="37">
        <v>0</v>
      </c>
      <c r="CM165" s="37">
        <v>0</v>
      </c>
      <c r="CN165" s="59">
        <v>11</v>
      </c>
      <c r="CO165" s="59">
        <v>11</v>
      </c>
      <c r="CP165" s="58"/>
      <c r="CQ165" s="3">
        <v>11</v>
      </c>
    </row>
    <row r="166" spans="1:95" customFormat="1" x14ac:dyDescent="0.2">
      <c r="A166" s="209">
        <v>43223</v>
      </c>
      <c r="B166" s="33" t="s">
        <v>53</v>
      </c>
      <c r="C166" s="33" t="s">
        <v>54</v>
      </c>
      <c r="D166" s="43">
        <v>1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0</v>
      </c>
      <c r="O166" s="43">
        <v>0</v>
      </c>
      <c r="P166" s="47" t="s">
        <v>45</v>
      </c>
      <c r="R166" s="37">
        <v>0</v>
      </c>
      <c r="S166" s="37">
        <v>0</v>
      </c>
      <c r="T166" s="37">
        <v>0</v>
      </c>
      <c r="U166" s="37">
        <v>1680000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125000</v>
      </c>
      <c r="AC166" s="37">
        <v>0</v>
      </c>
      <c r="AD166" s="37">
        <v>50000</v>
      </c>
      <c r="AE166" s="37">
        <v>0</v>
      </c>
      <c r="AF166" s="37">
        <v>0</v>
      </c>
      <c r="AG166" s="59">
        <v>1855000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0</v>
      </c>
      <c r="AS166" s="59">
        <v>0</v>
      </c>
      <c r="AT166" s="59">
        <v>1855000</v>
      </c>
      <c r="AU166" s="45"/>
      <c r="AV166" s="37">
        <v>0</v>
      </c>
      <c r="AW166" s="37">
        <v>0</v>
      </c>
      <c r="AX166" s="37">
        <v>0</v>
      </c>
      <c r="AY166" s="37">
        <v>0</v>
      </c>
      <c r="AZ166" s="37">
        <v>0</v>
      </c>
      <c r="BA166" s="37">
        <v>0</v>
      </c>
      <c r="BB166" s="37">
        <v>0</v>
      </c>
      <c r="BC166" s="37">
        <v>0</v>
      </c>
      <c r="BD166" s="37">
        <v>0</v>
      </c>
      <c r="BE166" s="37">
        <v>0</v>
      </c>
      <c r="BF166" s="37">
        <v>0</v>
      </c>
      <c r="BG166" s="37">
        <v>0</v>
      </c>
      <c r="BH166" s="37">
        <v>0</v>
      </c>
      <c r="BI166" s="37">
        <v>0</v>
      </c>
      <c r="BJ166" s="37">
        <v>0</v>
      </c>
      <c r="BK166" s="59">
        <v>0</v>
      </c>
      <c r="BL166" s="37">
        <v>0</v>
      </c>
      <c r="BM166" s="37">
        <v>0</v>
      </c>
      <c r="BN166" s="37">
        <v>0</v>
      </c>
      <c r="BO166" s="37">
        <v>0</v>
      </c>
      <c r="BP166" s="37">
        <v>0</v>
      </c>
      <c r="BQ166" s="37">
        <v>0</v>
      </c>
      <c r="BR166" s="37">
        <v>0</v>
      </c>
      <c r="BS166" s="37">
        <v>0</v>
      </c>
      <c r="BT166" s="37">
        <v>0</v>
      </c>
      <c r="BU166" s="37">
        <v>0</v>
      </c>
      <c r="BV166" s="37">
        <v>0</v>
      </c>
      <c r="BW166" s="59">
        <v>0</v>
      </c>
      <c r="BX166" s="59">
        <v>0</v>
      </c>
      <c r="BZ166" s="37">
        <v>0</v>
      </c>
      <c r="CA166" s="37">
        <v>1680000</v>
      </c>
      <c r="CB166" s="37">
        <v>0</v>
      </c>
      <c r="CC166" s="37">
        <v>0</v>
      </c>
      <c r="CD166" s="37">
        <v>125000</v>
      </c>
      <c r="CE166" s="37">
        <v>50000</v>
      </c>
      <c r="CF166" s="37">
        <v>0</v>
      </c>
      <c r="CG166" s="59">
        <v>1855000</v>
      </c>
      <c r="CH166" s="37">
        <v>0</v>
      </c>
      <c r="CI166" s="37">
        <v>0</v>
      </c>
      <c r="CJ166" s="37">
        <v>0</v>
      </c>
      <c r="CK166" s="37">
        <v>0</v>
      </c>
      <c r="CL166" s="37">
        <v>0</v>
      </c>
      <c r="CM166" s="37">
        <v>0</v>
      </c>
      <c r="CN166" s="59">
        <v>0</v>
      </c>
      <c r="CO166" s="59">
        <v>1855000</v>
      </c>
      <c r="CP166" s="58"/>
      <c r="CQ166" s="3">
        <v>1855000</v>
      </c>
    </row>
    <row r="167" spans="1:95" customFormat="1" x14ac:dyDescent="0.2">
      <c r="A167" s="209">
        <v>43223</v>
      </c>
      <c r="B167" s="33" t="s">
        <v>83</v>
      </c>
      <c r="C167" s="33" t="s">
        <v>76</v>
      </c>
      <c r="D167" s="43">
        <v>0</v>
      </c>
      <c r="E167" s="43">
        <v>1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0</v>
      </c>
      <c r="O167" s="43">
        <v>0</v>
      </c>
      <c r="P167" s="47" t="s">
        <v>45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32000</v>
      </c>
      <c r="AE167" s="37">
        <v>0</v>
      </c>
      <c r="AF167" s="37">
        <v>0</v>
      </c>
      <c r="AG167" s="59">
        <v>32000</v>
      </c>
      <c r="AH167" s="37">
        <v>0</v>
      </c>
      <c r="AI167" s="37">
        <v>500</v>
      </c>
      <c r="AJ167" s="37">
        <v>0</v>
      </c>
      <c r="AK167" s="37">
        <v>0</v>
      </c>
      <c r="AL167" s="37">
        <v>250</v>
      </c>
      <c r="AM167" s="37">
        <v>0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59">
        <v>750</v>
      </c>
      <c r="AT167" s="59">
        <v>32750</v>
      </c>
      <c r="AU167" s="45"/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37">
        <v>0</v>
      </c>
      <c r="BD167" s="37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59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0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37">
        <v>0</v>
      </c>
      <c r="BW167" s="59">
        <v>0</v>
      </c>
      <c r="BX167" s="59">
        <v>0</v>
      </c>
      <c r="BZ167" s="37">
        <v>0</v>
      </c>
      <c r="CA167" s="37">
        <v>0</v>
      </c>
      <c r="CB167" s="37">
        <v>0</v>
      </c>
      <c r="CC167" s="37">
        <v>0</v>
      </c>
      <c r="CD167" s="37">
        <v>0</v>
      </c>
      <c r="CE167" s="37">
        <v>32000</v>
      </c>
      <c r="CF167" s="37">
        <v>0</v>
      </c>
      <c r="CG167" s="59">
        <v>32000</v>
      </c>
      <c r="CH167" s="37">
        <v>500</v>
      </c>
      <c r="CI167" s="37">
        <v>250</v>
      </c>
      <c r="CJ167" s="37">
        <v>0</v>
      </c>
      <c r="CK167" s="37">
        <v>0</v>
      </c>
      <c r="CL167" s="37">
        <v>0</v>
      </c>
      <c r="CM167" s="37">
        <v>0</v>
      </c>
      <c r="CN167" s="59">
        <v>750</v>
      </c>
      <c r="CO167" s="59">
        <v>32750</v>
      </c>
      <c r="CP167" s="58"/>
      <c r="CQ167" s="3">
        <v>32750</v>
      </c>
    </row>
    <row r="168" spans="1:95" customFormat="1" x14ac:dyDescent="0.2">
      <c r="A168" s="209">
        <v>43224</v>
      </c>
      <c r="B168" s="33" t="s">
        <v>55</v>
      </c>
      <c r="C168" s="33" t="s">
        <v>56</v>
      </c>
      <c r="D168" s="43">
        <v>0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4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59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5</v>
      </c>
      <c r="AM168" s="37">
        <v>0</v>
      </c>
      <c r="AN168" s="37">
        <v>4</v>
      </c>
      <c r="AO168" s="37">
        <v>0</v>
      </c>
      <c r="AP168" s="37">
        <v>2</v>
      </c>
      <c r="AQ168" s="37">
        <v>0</v>
      </c>
      <c r="AR168" s="37">
        <v>0</v>
      </c>
      <c r="AS168" s="59">
        <v>11</v>
      </c>
      <c r="AT168" s="59">
        <v>11</v>
      </c>
      <c r="AU168" s="45"/>
      <c r="AV168" s="37">
        <v>0</v>
      </c>
      <c r="AW168" s="37">
        <v>0</v>
      </c>
      <c r="AX168" s="37">
        <v>0</v>
      </c>
      <c r="AY168" s="37">
        <v>0</v>
      </c>
      <c r="AZ168" s="37">
        <v>0</v>
      </c>
      <c r="BA168" s="37">
        <v>0</v>
      </c>
      <c r="BB168" s="37">
        <v>0</v>
      </c>
      <c r="BC168" s="37">
        <v>0</v>
      </c>
      <c r="BD168" s="37">
        <v>0</v>
      </c>
      <c r="BE168" s="37">
        <v>0</v>
      </c>
      <c r="BF168" s="37">
        <v>0</v>
      </c>
      <c r="BG168" s="37">
        <v>0</v>
      </c>
      <c r="BH168" s="37">
        <v>0</v>
      </c>
      <c r="BI168" s="37">
        <v>0</v>
      </c>
      <c r="BJ168" s="37">
        <v>0</v>
      </c>
      <c r="BK168" s="59">
        <v>0</v>
      </c>
      <c r="BL168" s="37">
        <v>0</v>
      </c>
      <c r="BM168" s="37">
        <v>0</v>
      </c>
      <c r="BN168" s="37">
        <v>0</v>
      </c>
      <c r="BO168" s="37">
        <v>0</v>
      </c>
      <c r="BP168" s="37">
        <v>0</v>
      </c>
      <c r="BQ168" s="37">
        <v>0</v>
      </c>
      <c r="BR168" s="37">
        <v>0</v>
      </c>
      <c r="BS168" s="37">
        <v>0</v>
      </c>
      <c r="BT168" s="37">
        <v>0</v>
      </c>
      <c r="BU168" s="37">
        <v>0</v>
      </c>
      <c r="BV168" s="37">
        <v>0</v>
      </c>
      <c r="BW168" s="59">
        <v>0</v>
      </c>
      <c r="BX168" s="59">
        <v>0</v>
      </c>
      <c r="BZ168" s="37">
        <v>0</v>
      </c>
      <c r="CA168" s="37">
        <v>0</v>
      </c>
      <c r="CB168" s="37">
        <v>0</v>
      </c>
      <c r="CC168" s="37">
        <v>0</v>
      </c>
      <c r="CD168" s="37">
        <v>0</v>
      </c>
      <c r="CE168" s="37">
        <v>0</v>
      </c>
      <c r="CF168" s="37">
        <v>0</v>
      </c>
      <c r="CG168" s="59">
        <v>0</v>
      </c>
      <c r="CH168" s="37">
        <v>0</v>
      </c>
      <c r="CI168" s="37">
        <v>5</v>
      </c>
      <c r="CJ168" s="37">
        <v>4</v>
      </c>
      <c r="CK168" s="37">
        <v>2</v>
      </c>
      <c r="CL168" s="37">
        <v>0</v>
      </c>
      <c r="CM168" s="37">
        <v>0</v>
      </c>
      <c r="CN168" s="59">
        <v>11</v>
      </c>
      <c r="CO168" s="59">
        <v>11</v>
      </c>
      <c r="CP168" s="58"/>
      <c r="CQ168" s="3">
        <v>11</v>
      </c>
    </row>
    <row r="169" spans="1:95" customFormat="1" x14ac:dyDescent="0.2">
      <c r="A169" s="209">
        <v>43224</v>
      </c>
      <c r="B169" s="33" t="s">
        <v>53</v>
      </c>
      <c r="C169" s="33" t="s">
        <v>54</v>
      </c>
      <c r="D169" s="43">
        <v>1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7" t="s">
        <v>45</v>
      </c>
      <c r="R169" s="37">
        <v>0</v>
      </c>
      <c r="S169" s="37">
        <v>0</v>
      </c>
      <c r="T169" s="37">
        <v>1000000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250000</v>
      </c>
      <c r="AC169" s="37">
        <v>0</v>
      </c>
      <c r="AD169" s="37">
        <v>0</v>
      </c>
      <c r="AE169" s="37">
        <v>0</v>
      </c>
      <c r="AF169" s="37">
        <v>0</v>
      </c>
      <c r="AG169" s="59">
        <v>1250000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59">
        <v>0</v>
      </c>
      <c r="AT169" s="59">
        <v>1250000</v>
      </c>
      <c r="AU169" s="45"/>
      <c r="AV169" s="37">
        <v>0</v>
      </c>
      <c r="AW169" s="37">
        <v>0</v>
      </c>
      <c r="AX169" s="37">
        <v>0</v>
      </c>
      <c r="AY169" s="37">
        <v>0</v>
      </c>
      <c r="AZ169" s="37">
        <v>0</v>
      </c>
      <c r="BA169" s="37">
        <v>0</v>
      </c>
      <c r="BB169" s="37">
        <v>0</v>
      </c>
      <c r="BC169" s="37">
        <v>0</v>
      </c>
      <c r="BD169" s="37">
        <v>0</v>
      </c>
      <c r="BE169" s="37">
        <v>0</v>
      </c>
      <c r="BF169" s="37">
        <v>0</v>
      </c>
      <c r="BG169" s="37">
        <v>0</v>
      </c>
      <c r="BH169" s="37">
        <v>0</v>
      </c>
      <c r="BI169" s="37">
        <v>0</v>
      </c>
      <c r="BJ169" s="37">
        <v>0</v>
      </c>
      <c r="BK169" s="59">
        <v>0</v>
      </c>
      <c r="BL169" s="37">
        <v>0</v>
      </c>
      <c r="BM169" s="37">
        <v>0</v>
      </c>
      <c r="BN169" s="37">
        <v>0</v>
      </c>
      <c r="BO169" s="37">
        <v>0</v>
      </c>
      <c r="BP169" s="37">
        <v>0</v>
      </c>
      <c r="BQ169" s="37">
        <v>0</v>
      </c>
      <c r="BR169" s="37">
        <v>0</v>
      </c>
      <c r="BS169" s="37">
        <v>0</v>
      </c>
      <c r="BT169" s="37">
        <v>0</v>
      </c>
      <c r="BU169" s="37">
        <v>0</v>
      </c>
      <c r="BV169" s="37">
        <v>0</v>
      </c>
      <c r="BW169" s="59">
        <v>0</v>
      </c>
      <c r="BX169" s="59">
        <v>0</v>
      </c>
      <c r="BZ169" s="37">
        <v>1000000</v>
      </c>
      <c r="CA169" s="37">
        <v>0</v>
      </c>
      <c r="CB169" s="37">
        <v>0</v>
      </c>
      <c r="CC169" s="37">
        <v>0</v>
      </c>
      <c r="CD169" s="37">
        <v>250000</v>
      </c>
      <c r="CE169" s="37">
        <v>0</v>
      </c>
      <c r="CF169" s="37">
        <v>0</v>
      </c>
      <c r="CG169" s="59">
        <v>1250000</v>
      </c>
      <c r="CH169" s="37">
        <v>0</v>
      </c>
      <c r="CI169" s="37">
        <v>0</v>
      </c>
      <c r="CJ169" s="37">
        <v>0</v>
      </c>
      <c r="CK169" s="37">
        <v>0</v>
      </c>
      <c r="CL169" s="37">
        <v>0</v>
      </c>
      <c r="CM169" s="37">
        <v>0</v>
      </c>
      <c r="CN169" s="59">
        <v>0</v>
      </c>
      <c r="CO169" s="59">
        <v>1250000</v>
      </c>
      <c r="CP169" s="58"/>
      <c r="CQ169" s="3">
        <v>1250000</v>
      </c>
    </row>
    <row r="170" spans="1:95" customFormat="1" x14ac:dyDescent="0.2">
      <c r="A170" s="209">
        <v>43224</v>
      </c>
      <c r="B170" s="33" t="s">
        <v>53</v>
      </c>
      <c r="C170" s="33" t="s">
        <v>84</v>
      </c>
      <c r="D170" s="43">
        <v>0</v>
      </c>
      <c r="E170" s="43">
        <v>1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0</v>
      </c>
      <c r="M170" s="43">
        <v>0</v>
      </c>
      <c r="N170" s="43">
        <v>0</v>
      </c>
      <c r="O170" s="43">
        <v>0</v>
      </c>
      <c r="P170" s="47" t="s">
        <v>45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59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3125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59">
        <v>3125</v>
      </c>
      <c r="AT170" s="59">
        <v>3125</v>
      </c>
      <c r="AU170" s="45"/>
      <c r="AV170" s="37">
        <v>0</v>
      </c>
      <c r="AW170" s="37">
        <v>0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37">
        <v>0</v>
      </c>
      <c r="BE170" s="37">
        <v>0</v>
      </c>
      <c r="BF170" s="37">
        <v>0</v>
      </c>
      <c r="BG170" s="37">
        <v>0</v>
      </c>
      <c r="BH170" s="37">
        <v>0</v>
      </c>
      <c r="BI170" s="37">
        <v>0</v>
      </c>
      <c r="BJ170" s="37">
        <v>0</v>
      </c>
      <c r="BK170" s="59">
        <v>0</v>
      </c>
      <c r="BL170" s="37">
        <v>0</v>
      </c>
      <c r="BM170" s="37">
        <v>0</v>
      </c>
      <c r="BN170" s="37">
        <v>0</v>
      </c>
      <c r="BO170" s="37">
        <v>0</v>
      </c>
      <c r="BP170" s="37">
        <v>0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59">
        <v>0</v>
      </c>
      <c r="BX170" s="59">
        <v>0</v>
      </c>
      <c r="BZ170" s="37">
        <v>0</v>
      </c>
      <c r="CA170" s="37">
        <v>0</v>
      </c>
      <c r="CB170" s="37">
        <v>0</v>
      </c>
      <c r="CC170" s="37">
        <v>0</v>
      </c>
      <c r="CD170" s="37">
        <v>0</v>
      </c>
      <c r="CE170" s="37">
        <v>0</v>
      </c>
      <c r="CF170" s="37">
        <v>0</v>
      </c>
      <c r="CG170" s="59">
        <v>0</v>
      </c>
      <c r="CH170" s="37">
        <v>0</v>
      </c>
      <c r="CI170" s="37">
        <v>3125</v>
      </c>
      <c r="CJ170" s="37">
        <v>0</v>
      </c>
      <c r="CK170" s="37">
        <v>0</v>
      </c>
      <c r="CL170" s="37">
        <v>0</v>
      </c>
      <c r="CM170" s="37">
        <v>0</v>
      </c>
      <c r="CN170" s="59">
        <v>3125</v>
      </c>
      <c r="CO170" s="59">
        <v>3125</v>
      </c>
      <c r="CP170" s="58"/>
      <c r="CQ170" s="3">
        <v>3125</v>
      </c>
    </row>
    <row r="171" spans="1:95" customFormat="1" x14ac:dyDescent="0.2">
      <c r="A171" s="209">
        <v>43224</v>
      </c>
      <c r="B171" s="33" t="s">
        <v>86</v>
      </c>
      <c r="C171" s="33" t="s">
        <v>98</v>
      </c>
      <c r="D171" s="43">
        <v>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1</v>
      </c>
      <c r="L171" s="43">
        <v>0</v>
      </c>
      <c r="M171" s="43">
        <v>0</v>
      </c>
      <c r="N171" s="43">
        <v>0</v>
      </c>
      <c r="O171" s="43">
        <v>0</v>
      </c>
      <c r="P171" s="47" t="s">
        <v>45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160000</v>
      </c>
      <c r="X171" s="37">
        <v>40000</v>
      </c>
      <c r="Y171" s="37">
        <v>0</v>
      </c>
      <c r="Z171" s="37">
        <v>40000</v>
      </c>
      <c r="AA171" s="37">
        <v>0</v>
      </c>
      <c r="AB171" s="37">
        <v>160000</v>
      </c>
      <c r="AC171" s="37">
        <v>0</v>
      </c>
      <c r="AD171" s="37">
        <v>144000</v>
      </c>
      <c r="AE171" s="37">
        <v>0</v>
      </c>
      <c r="AF171" s="37">
        <v>0</v>
      </c>
      <c r="AG171" s="59">
        <v>544000</v>
      </c>
      <c r="AH171" s="37">
        <v>0</v>
      </c>
      <c r="AI171" s="37">
        <v>1750</v>
      </c>
      <c r="AJ171" s="37">
        <v>0</v>
      </c>
      <c r="AK171" s="37">
        <v>0</v>
      </c>
      <c r="AL171" s="37">
        <v>875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59">
        <v>2625</v>
      </c>
      <c r="AT171" s="59">
        <v>546625</v>
      </c>
      <c r="AU171" s="45"/>
      <c r="AV171" s="37">
        <v>0</v>
      </c>
      <c r="AW171" s="37">
        <v>0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0</v>
      </c>
      <c r="BK171" s="59">
        <v>0</v>
      </c>
      <c r="BL171" s="37">
        <v>0</v>
      </c>
      <c r="BM171" s="37">
        <v>0</v>
      </c>
      <c r="BN171" s="37">
        <v>0</v>
      </c>
      <c r="BO171" s="37">
        <v>0</v>
      </c>
      <c r="BP171" s="37">
        <v>0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59">
        <v>0</v>
      </c>
      <c r="BX171" s="59">
        <v>0</v>
      </c>
      <c r="BZ171" s="37">
        <v>0</v>
      </c>
      <c r="CA171" s="37">
        <v>0</v>
      </c>
      <c r="CB171" s="37">
        <v>200000</v>
      </c>
      <c r="CC171" s="37">
        <v>40000</v>
      </c>
      <c r="CD171" s="37">
        <v>160000</v>
      </c>
      <c r="CE171" s="37">
        <v>144000</v>
      </c>
      <c r="CF171" s="37">
        <v>0</v>
      </c>
      <c r="CG171" s="59">
        <v>544000</v>
      </c>
      <c r="CH171" s="37">
        <v>1750</v>
      </c>
      <c r="CI171" s="37">
        <v>875</v>
      </c>
      <c r="CJ171" s="37">
        <v>0</v>
      </c>
      <c r="CK171" s="37">
        <v>0</v>
      </c>
      <c r="CL171" s="37">
        <v>0</v>
      </c>
      <c r="CM171" s="37">
        <v>0</v>
      </c>
      <c r="CN171" s="59">
        <v>2625</v>
      </c>
      <c r="CO171" s="59">
        <v>546625</v>
      </c>
      <c r="CP171" s="58"/>
      <c r="CQ171" s="3">
        <v>546625</v>
      </c>
    </row>
    <row r="172" spans="1:95" customFormat="1" x14ac:dyDescent="0.2">
      <c r="A172" s="209">
        <v>43224</v>
      </c>
      <c r="B172" s="33" t="s">
        <v>58</v>
      </c>
      <c r="C172" s="33" t="s">
        <v>73</v>
      </c>
      <c r="D172" s="43">
        <v>0</v>
      </c>
      <c r="E172" s="43">
        <v>0</v>
      </c>
      <c r="F172" s="43">
        <v>0</v>
      </c>
      <c r="G172" s="43">
        <v>0</v>
      </c>
      <c r="H172" s="43">
        <v>0</v>
      </c>
      <c r="I172" s="43">
        <v>0</v>
      </c>
      <c r="J172" s="43">
        <v>0</v>
      </c>
      <c r="K172" s="43">
        <v>1</v>
      </c>
      <c r="L172" s="43">
        <v>0</v>
      </c>
      <c r="M172" s="43">
        <v>0</v>
      </c>
      <c r="N172" s="43">
        <v>0</v>
      </c>
      <c r="O172" s="43">
        <v>0</v>
      </c>
      <c r="P172" s="47" t="s">
        <v>45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180000</v>
      </c>
      <c r="X172" s="37">
        <v>40000</v>
      </c>
      <c r="Y172" s="37">
        <v>0</v>
      </c>
      <c r="Z172" s="37">
        <v>0</v>
      </c>
      <c r="AA172" s="37">
        <v>0</v>
      </c>
      <c r="AB172" s="37">
        <v>40000</v>
      </c>
      <c r="AC172" s="37">
        <v>0</v>
      </c>
      <c r="AD172" s="37">
        <v>40000</v>
      </c>
      <c r="AE172" s="37">
        <v>0</v>
      </c>
      <c r="AF172" s="37">
        <v>0</v>
      </c>
      <c r="AG172" s="59">
        <v>300000</v>
      </c>
      <c r="AH172" s="37">
        <v>0</v>
      </c>
      <c r="AI172" s="37">
        <v>1500</v>
      </c>
      <c r="AJ172" s="37">
        <v>0</v>
      </c>
      <c r="AK172" s="37">
        <v>0</v>
      </c>
      <c r="AL172" s="37">
        <v>1125</v>
      </c>
      <c r="AM172" s="37">
        <v>0</v>
      </c>
      <c r="AN172" s="37">
        <v>0</v>
      </c>
      <c r="AO172" s="37">
        <v>0</v>
      </c>
      <c r="AP172" s="37">
        <v>50</v>
      </c>
      <c r="AQ172" s="37">
        <v>0</v>
      </c>
      <c r="AR172" s="37">
        <v>0</v>
      </c>
      <c r="AS172" s="59">
        <v>2675</v>
      </c>
      <c r="AT172" s="59">
        <v>302675</v>
      </c>
      <c r="AU172" s="45"/>
      <c r="AV172" s="37">
        <v>0</v>
      </c>
      <c r="AW172" s="37">
        <v>0</v>
      </c>
      <c r="AX172" s="37">
        <v>0</v>
      </c>
      <c r="AY172" s="37">
        <v>0</v>
      </c>
      <c r="AZ172" s="37">
        <v>0</v>
      </c>
      <c r="BA172" s="37">
        <v>0</v>
      </c>
      <c r="BB172" s="37">
        <v>0</v>
      </c>
      <c r="BC172" s="37">
        <v>0</v>
      </c>
      <c r="BD172" s="37">
        <v>0</v>
      </c>
      <c r="BE172" s="37">
        <v>0</v>
      </c>
      <c r="BF172" s="37">
        <v>0</v>
      </c>
      <c r="BG172" s="37">
        <v>0</v>
      </c>
      <c r="BH172" s="37">
        <v>0</v>
      </c>
      <c r="BI172" s="37">
        <v>0</v>
      </c>
      <c r="BJ172" s="37">
        <v>0</v>
      </c>
      <c r="BK172" s="59">
        <v>0</v>
      </c>
      <c r="BL172" s="37">
        <v>0</v>
      </c>
      <c r="BM172" s="37">
        <v>0</v>
      </c>
      <c r="BN172" s="37">
        <v>0</v>
      </c>
      <c r="BO172" s="37">
        <v>0</v>
      </c>
      <c r="BP172" s="37">
        <v>0</v>
      </c>
      <c r="BQ172" s="37">
        <v>0</v>
      </c>
      <c r="BR172" s="37">
        <v>0</v>
      </c>
      <c r="BS172" s="37">
        <v>0</v>
      </c>
      <c r="BT172" s="37">
        <v>0</v>
      </c>
      <c r="BU172" s="37">
        <v>0</v>
      </c>
      <c r="BV172" s="37">
        <v>0</v>
      </c>
      <c r="BW172" s="59">
        <v>0</v>
      </c>
      <c r="BX172" s="59">
        <v>0</v>
      </c>
      <c r="BZ172" s="37">
        <v>0</v>
      </c>
      <c r="CA172" s="37">
        <v>0</v>
      </c>
      <c r="CB172" s="37">
        <v>220000</v>
      </c>
      <c r="CC172" s="37">
        <v>0</v>
      </c>
      <c r="CD172" s="37">
        <v>40000</v>
      </c>
      <c r="CE172" s="37">
        <v>40000</v>
      </c>
      <c r="CF172" s="37">
        <v>0</v>
      </c>
      <c r="CG172" s="59">
        <v>300000</v>
      </c>
      <c r="CH172" s="37">
        <v>1500</v>
      </c>
      <c r="CI172" s="37">
        <v>1125</v>
      </c>
      <c r="CJ172" s="37">
        <v>0</v>
      </c>
      <c r="CK172" s="37">
        <v>50</v>
      </c>
      <c r="CL172" s="37">
        <v>0</v>
      </c>
      <c r="CM172" s="37">
        <v>0</v>
      </c>
      <c r="CN172" s="59">
        <v>2675</v>
      </c>
      <c r="CO172" s="59">
        <v>302675</v>
      </c>
      <c r="CP172" s="58"/>
      <c r="CQ172" s="3">
        <v>302675</v>
      </c>
    </row>
    <row r="173" spans="1:95" customFormat="1" x14ac:dyDescent="0.2">
      <c r="A173" s="209">
        <v>43224</v>
      </c>
      <c r="B173" s="33" t="s">
        <v>53</v>
      </c>
      <c r="C173" s="33" t="s">
        <v>54</v>
      </c>
      <c r="D173" s="43">
        <v>1</v>
      </c>
      <c r="E173" s="43">
        <v>0</v>
      </c>
      <c r="F173" s="43">
        <v>0</v>
      </c>
      <c r="G173" s="43">
        <v>0</v>
      </c>
      <c r="H173" s="43">
        <v>0</v>
      </c>
      <c r="I173" s="43">
        <v>0</v>
      </c>
      <c r="J173" s="43">
        <v>0</v>
      </c>
      <c r="K173" s="43">
        <v>0</v>
      </c>
      <c r="L173" s="43">
        <v>0</v>
      </c>
      <c r="M173" s="43">
        <v>0</v>
      </c>
      <c r="N173" s="43">
        <v>0</v>
      </c>
      <c r="O173" s="43">
        <v>0</v>
      </c>
      <c r="P173" s="47" t="s">
        <v>45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400000</v>
      </c>
      <c r="X173" s="37">
        <v>3000000</v>
      </c>
      <c r="Y173" s="37">
        <v>0</v>
      </c>
      <c r="Z173" s="37">
        <v>750000</v>
      </c>
      <c r="AA173" s="37">
        <v>0</v>
      </c>
      <c r="AB173" s="37">
        <v>1400000</v>
      </c>
      <c r="AC173" s="37">
        <v>0</v>
      </c>
      <c r="AD173" s="37">
        <v>660000</v>
      </c>
      <c r="AE173" s="37">
        <v>0</v>
      </c>
      <c r="AF173" s="37">
        <v>0</v>
      </c>
      <c r="AG173" s="59">
        <v>6210000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59">
        <v>0</v>
      </c>
      <c r="AT173" s="59">
        <v>6210000</v>
      </c>
      <c r="AU173" s="45"/>
      <c r="AV173" s="37">
        <v>0</v>
      </c>
      <c r="AW173" s="37">
        <v>0</v>
      </c>
      <c r="AX173" s="37">
        <v>0</v>
      </c>
      <c r="AY173" s="37">
        <v>0</v>
      </c>
      <c r="AZ173" s="37">
        <v>0</v>
      </c>
      <c r="BA173" s="37">
        <v>0</v>
      </c>
      <c r="BB173" s="37">
        <v>0</v>
      </c>
      <c r="BC173" s="37">
        <v>0</v>
      </c>
      <c r="BD173" s="37">
        <v>0</v>
      </c>
      <c r="BE173" s="37">
        <v>0</v>
      </c>
      <c r="BF173" s="37">
        <v>0</v>
      </c>
      <c r="BG173" s="37">
        <v>0</v>
      </c>
      <c r="BH173" s="37">
        <v>0</v>
      </c>
      <c r="BI173" s="37">
        <v>0</v>
      </c>
      <c r="BJ173" s="37">
        <v>0</v>
      </c>
      <c r="BK173" s="59">
        <v>0</v>
      </c>
      <c r="BL173" s="37">
        <v>0</v>
      </c>
      <c r="BM173" s="37">
        <v>0</v>
      </c>
      <c r="BN173" s="37">
        <v>0</v>
      </c>
      <c r="BO173" s="37">
        <v>0</v>
      </c>
      <c r="BP173" s="37">
        <v>0</v>
      </c>
      <c r="BQ173" s="37">
        <v>0</v>
      </c>
      <c r="BR173" s="37">
        <v>0</v>
      </c>
      <c r="BS173" s="37">
        <v>0</v>
      </c>
      <c r="BT173" s="37">
        <v>0</v>
      </c>
      <c r="BU173" s="37">
        <v>0</v>
      </c>
      <c r="BV173" s="37">
        <v>0</v>
      </c>
      <c r="BW173" s="59">
        <v>0</v>
      </c>
      <c r="BX173" s="59">
        <v>0</v>
      </c>
      <c r="BZ173" s="37">
        <v>0</v>
      </c>
      <c r="CA173" s="37">
        <v>0</v>
      </c>
      <c r="CB173" s="37">
        <v>3400000</v>
      </c>
      <c r="CC173" s="37">
        <v>750000</v>
      </c>
      <c r="CD173" s="37">
        <v>1400000</v>
      </c>
      <c r="CE173" s="37">
        <v>660000</v>
      </c>
      <c r="CF173" s="37">
        <v>0</v>
      </c>
      <c r="CG173" s="59">
        <v>6210000</v>
      </c>
      <c r="CH173" s="37">
        <v>0</v>
      </c>
      <c r="CI173" s="37">
        <v>0</v>
      </c>
      <c r="CJ173" s="37">
        <v>0</v>
      </c>
      <c r="CK173" s="37">
        <v>0</v>
      </c>
      <c r="CL173" s="37">
        <v>0</v>
      </c>
      <c r="CM173" s="37">
        <v>0</v>
      </c>
      <c r="CN173" s="59">
        <v>0</v>
      </c>
      <c r="CO173" s="59">
        <v>6210000</v>
      </c>
      <c r="CP173" s="58"/>
      <c r="CQ173" s="3">
        <v>6210000</v>
      </c>
    </row>
    <row r="174" spans="1:95" customFormat="1" x14ac:dyDescent="0.2">
      <c r="A174" s="209">
        <v>43227</v>
      </c>
      <c r="B174" s="33" t="s">
        <v>55</v>
      </c>
      <c r="C174" s="33" t="s">
        <v>56</v>
      </c>
      <c r="D174" s="43">
        <v>0</v>
      </c>
      <c r="E174" s="43">
        <v>0</v>
      </c>
      <c r="F174" s="43">
        <v>0</v>
      </c>
      <c r="G174" s="43">
        <v>0</v>
      </c>
      <c r="H174" s="43">
        <v>0</v>
      </c>
      <c r="I174" s="43">
        <v>0</v>
      </c>
      <c r="J174" s="43">
        <v>0</v>
      </c>
      <c r="K174" s="43">
        <v>0</v>
      </c>
      <c r="L174" s="43">
        <v>0</v>
      </c>
      <c r="M174" s="43">
        <v>0</v>
      </c>
      <c r="N174" s="43">
        <v>0</v>
      </c>
      <c r="O174" s="43">
        <v>0</v>
      </c>
      <c r="P174" s="4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59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5</v>
      </c>
      <c r="AM174" s="37">
        <v>0</v>
      </c>
      <c r="AN174" s="37">
        <v>4</v>
      </c>
      <c r="AO174" s="37">
        <v>0</v>
      </c>
      <c r="AP174" s="37">
        <v>2</v>
      </c>
      <c r="AQ174" s="37">
        <v>0</v>
      </c>
      <c r="AR174" s="37">
        <v>0</v>
      </c>
      <c r="AS174" s="59">
        <v>11</v>
      </c>
      <c r="AT174" s="59">
        <v>11</v>
      </c>
      <c r="AU174" s="45"/>
      <c r="AV174" s="37">
        <v>0</v>
      </c>
      <c r="AW174" s="37">
        <v>0</v>
      </c>
      <c r="AX174" s="37">
        <v>0</v>
      </c>
      <c r="AY174" s="37">
        <v>0</v>
      </c>
      <c r="AZ174" s="37">
        <v>0</v>
      </c>
      <c r="BA174" s="37">
        <v>0</v>
      </c>
      <c r="BB174" s="37">
        <v>0</v>
      </c>
      <c r="BC174" s="37">
        <v>0</v>
      </c>
      <c r="BD174" s="37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0</v>
      </c>
      <c r="BJ174" s="37">
        <v>0</v>
      </c>
      <c r="BK174" s="59">
        <v>0</v>
      </c>
      <c r="BL174" s="37">
        <v>0</v>
      </c>
      <c r="BM174" s="37">
        <v>0</v>
      </c>
      <c r="BN174" s="37">
        <v>0</v>
      </c>
      <c r="BO174" s="37">
        <v>0</v>
      </c>
      <c r="BP174" s="37">
        <v>0</v>
      </c>
      <c r="BQ174" s="37">
        <v>0</v>
      </c>
      <c r="BR174" s="37">
        <v>0</v>
      </c>
      <c r="BS174" s="37">
        <v>0</v>
      </c>
      <c r="BT174" s="37">
        <v>0</v>
      </c>
      <c r="BU174" s="37">
        <v>0</v>
      </c>
      <c r="BV174" s="37">
        <v>0</v>
      </c>
      <c r="BW174" s="59">
        <v>0</v>
      </c>
      <c r="BX174" s="59">
        <v>0</v>
      </c>
      <c r="BZ174" s="37">
        <v>0</v>
      </c>
      <c r="CA174" s="37">
        <v>0</v>
      </c>
      <c r="CB174" s="37">
        <v>0</v>
      </c>
      <c r="CC174" s="37">
        <v>0</v>
      </c>
      <c r="CD174" s="37">
        <v>0</v>
      </c>
      <c r="CE174" s="37">
        <v>0</v>
      </c>
      <c r="CF174" s="37">
        <v>0</v>
      </c>
      <c r="CG174" s="59">
        <v>0</v>
      </c>
      <c r="CH174" s="37">
        <v>0</v>
      </c>
      <c r="CI174" s="37">
        <v>5</v>
      </c>
      <c r="CJ174" s="37">
        <v>4</v>
      </c>
      <c r="CK174" s="37">
        <v>2</v>
      </c>
      <c r="CL174" s="37">
        <v>0</v>
      </c>
      <c r="CM174" s="37">
        <v>0</v>
      </c>
      <c r="CN174" s="59">
        <v>11</v>
      </c>
      <c r="CO174" s="59">
        <v>11</v>
      </c>
      <c r="CP174" s="58"/>
      <c r="CQ174" s="3">
        <v>11</v>
      </c>
    </row>
    <row r="175" spans="1:95" customFormat="1" x14ac:dyDescent="0.2">
      <c r="A175" s="209">
        <v>43227</v>
      </c>
      <c r="B175" s="33" t="s">
        <v>53</v>
      </c>
      <c r="C175" s="33" t="s">
        <v>54</v>
      </c>
      <c r="D175" s="43">
        <v>1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  <c r="J175" s="43">
        <v>0</v>
      </c>
      <c r="K175" s="43">
        <v>0</v>
      </c>
      <c r="L175" s="43"/>
      <c r="M175" s="43"/>
      <c r="N175" s="43">
        <v>0</v>
      </c>
      <c r="O175" s="43">
        <v>0</v>
      </c>
      <c r="P175" s="47" t="s">
        <v>45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59">
        <v>0</v>
      </c>
      <c r="AH175" s="37">
        <v>0</v>
      </c>
      <c r="AI175" s="37">
        <v>6250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59">
        <v>6250</v>
      </c>
      <c r="AT175" s="59">
        <v>6250</v>
      </c>
      <c r="AU175" s="45"/>
      <c r="AV175" s="37">
        <v>0</v>
      </c>
      <c r="AW175" s="37">
        <v>0</v>
      </c>
      <c r="AX175" s="37">
        <v>0</v>
      </c>
      <c r="AY175" s="37">
        <v>0</v>
      </c>
      <c r="AZ175" s="37">
        <v>0</v>
      </c>
      <c r="BA175" s="37">
        <v>0</v>
      </c>
      <c r="BB175" s="37">
        <v>0</v>
      </c>
      <c r="BC175" s="37">
        <v>0</v>
      </c>
      <c r="BD175" s="37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0</v>
      </c>
      <c r="BJ175" s="37">
        <v>0</v>
      </c>
      <c r="BK175" s="59">
        <v>0</v>
      </c>
      <c r="BL175" s="37">
        <v>0</v>
      </c>
      <c r="BM175" s="37">
        <v>0</v>
      </c>
      <c r="BN175" s="37">
        <v>0</v>
      </c>
      <c r="BO175" s="37">
        <v>0</v>
      </c>
      <c r="BP175" s="37">
        <v>0</v>
      </c>
      <c r="BQ175" s="37">
        <v>0</v>
      </c>
      <c r="BR175" s="37">
        <v>0</v>
      </c>
      <c r="BS175" s="37">
        <v>0</v>
      </c>
      <c r="BT175" s="37">
        <v>0</v>
      </c>
      <c r="BU175" s="37">
        <v>0</v>
      </c>
      <c r="BV175" s="37">
        <v>0</v>
      </c>
      <c r="BW175" s="59">
        <v>0</v>
      </c>
      <c r="BX175" s="59">
        <v>0</v>
      </c>
      <c r="BZ175" s="37">
        <v>0</v>
      </c>
      <c r="CA175" s="37">
        <v>0</v>
      </c>
      <c r="CB175" s="37">
        <v>0</v>
      </c>
      <c r="CC175" s="37">
        <v>0</v>
      </c>
      <c r="CD175" s="37">
        <v>0</v>
      </c>
      <c r="CE175" s="37">
        <v>0</v>
      </c>
      <c r="CF175" s="37">
        <v>0</v>
      </c>
      <c r="CG175" s="59">
        <v>0</v>
      </c>
      <c r="CH175" s="37">
        <v>6250</v>
      </c>
      <c r="CI175" s="37">
        <v>0</v>
      </c>
      <c r="CJ175" s="37">
        <v>0</v>
      </c>
      <c r="CK175" s="37">
        <v>0</v>
      </c>
      <c r="CL175" s="37">
        <v>0</v>
      </c>
      <c r="CM175" s="37">
        <v>0</v>
      </c>
      <c r="CN175" s="59">
        <v>6250</v>
      </c>
      <c r="CO175" s="59">
        <v>6250</v>
      </c>
      <c r="CP175" s="58"/>
      <c r="CQ175" s="3">
        <v>6250</v>
      </c>
    </row>
    <row r="176" spans="1:95" customFormat="1" x14ac:dyDescent="0.2">
      <c r="A176" s="209">
        <v>43227</v>
      </c>
      <c r="B176" s="33" t="s">
        <v>53</v>
      </c>
      <c r="C176" s="33" t="s">
        <v>108</v>
      </c>
      <c r="D176" s="43">
        <v>0</v>
      </c>
      <c r="E176" s="43">
        <v>0</v>
      </c>
      <c r="F176" s="43">
        <v>0</v>
      </c>
      <c r="G176" s="43">
        <v>0</v>
      </c>
      <c r="H176" s="43">
        <v>0</v>
      </c>
      <c r="I176" s="43">
        <v>0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47">
        <v>0</v>
      </c>
      <c r="R176" s="37">
        <v>0</v>
      </c>
      <c r="S176" s="37">
        <v>0</v>
      </c>
      <c r="T176" s="37">
        <v>640000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59">
        <v>640000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59">
        <v>0</v>
      </c>
      <c r="AT176" s="59">
        <v>640000</v>
      </c>
      <c r="AU176" s="45"/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59">
        <v>0</v>
      </c>
      <c r="BL176" s="37">
        <v>0</v>
      </c>
      <c r="BM176" s="37">
        <v>0</v>
      </c>
      <c r="BN176" s="37">
        <v>0</v>
      </c>
      <c r="BO176" s="37">
        <v>0</v>
      </c>
      <c r="BP176" s="37">
        <v>0</v>
      </c>
      <c r="BQ176" s="37">
        <v>0</v>
      </c>
      <c r="BR176" s="37">
        <v>0</v>
      </c>
      <c r="BS176" s="37">
        <v>0</v>
      </c>
      <c r="BT176" s="37">
        <v>0</v>
      </c>
      <c r="BU176" s="37">
        <v>0</v>
      </c>
      <c r="BV176" s="37">
        <v>0</v>
      </c>
      <c r="BW176" s="59">
        <v>0</v>
      </c>
      <c r="BX176" s="59">
        <v>0</v>
      </c>
      <c r="BZ176" s="37">
        <v>640000</v>
      </c>
      <c r="CA176" s="37">
        <v>0</v>
      </c>
      <c r="CB176" s="37">
        <v>0</v>
      </c>
      <c r="CC176" s="37">
        <v>0</v>
      </c>
      <c r="CD176" s="37">
        <v>0</v>
      </c>
      <c r="CE176" s="37">
        <v>0</v>
      </c>
      <c r="CF176" s="37">
        <v>0</v>
      </c>
      <c r="CG176" s="59">
        <v>640000</v>
      </c>
      <c r="CH176" s="37">
        <v>0</v>
      </c>
      <c r="CI176" s="37">
        <v>0</v>
      </c>
      <c r="CJ176" s="37">
        <v>0</v>
      </c>
      <c r="CK176" s="37">
        <v>0</v>
      </c>
      <c r="CL176" s="37">
        <v>0</v>
      </c>
      <c r="CM176" s="37">
        <v>0</v>
      </c>
      <c r="CN176" s="59">
        <v>0</v>
      </c>
      <c r="CO176" s="59">
        <v>640000</v>
      </c>
      <c r="CP176" s="58"/>
      <c r="CQ176" s="3">
        <v>640000</v>
      </c>
    </row>
    <row r="177" spans="1:95" customFormat="1" x14ac:dyDescent="0.2">
      <c r="A177" s="209">
        <v>43227</v>
      </c>
      <c r="B177" s="33" t="s">
        <v>85</v>
      </c>
      <c r="C177" s="33" t="s">
        <v>76</v>
      </c>
      <c r="D177" s="43">
        <v>0</v>
      </c>
      <c r="E177" s="43">
        <v>1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7" t="s">
        <v>45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25000</v>
      </c>
      <c r="AC177" s="37">
        <v>0</v>
      </c>
      <c r="AD177" s="37">
        <v>40000</v>
      </c>
      <c r="AE177" s="37">
        <v>0</v>
      </c>
      <c r="AF177" s="37">
        <v>0</v>
      </c>
      <c r="AG177" s="59">
        <v>65000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59">
        <v>0</v>
      </c>
      <c r="AT177" s="59">
        <v>65000</v>
      </c>
      <c r="AU177" s="45"/>
      <c r="AV177" s="37">
        <v>0</v>
      </c>
      <c r="AW177" s="37">
        <v>0</v>
      </c>
      <c r="AX177" s="37">
        <v>0</v>
      </c>
      <c r="AY177" s="37">
        <v>0</v>
      </c>
      <c r="AZ177" s="37">
        <v>0</v>
      </c>
      <c r="BA177" s="37">
        <v>0</v>
      </c>
      <c r="BB177" s="37">
        <v>0</v>
      </c>
      <c r="BC177" s="37">
        <v>0</v>
      </c>
      <c r="BD177" s="37">
        <v>0</v>
      </c>
      <c r="BE177" s="37">
        <v>0</v>
      </c>
      <c r="BF177" s="37">
        <v>0</v>
      </c>
      <c r="BG177" s="37">
        <v>0</v>
      </c>
      <c r="BH177" s="37">
        <v>0</v>
      </c>
      <c r="BI177" s="37">
        <v>0</v>
      </c>
      <c r="BJ177" s="37">
        <v>0</v>
      </c>
      <c r="BK177" s="59">
        <v>0</v>
      </c>
      <c r="BL177" s="37">
        <v>0</v>
      </c>
      <c r="BM177" s="37">
        <v>0</v>
      </c>
      <c r="BN177" s="37">
        <v>0</v>
      </c>
      <c r="BO177" s="37">
        <v>0</v>
      </c>
      <c r="BP177" s="37">
        <v>0</v>
      </c>
      <c r="BQ177" s="37">
        <v>0</v>
      </c>
      <c r="BR177" s="37">
        <v>0</v>
      </c>
      <c r="BS177" s="37">
        <v>0</v>
      </c>
      <c r="BT177" s="37">
        <v>0</v>
      </c>
      <c r="BU177" s="37">
        <v>0</v>
      </c>
      <c r="BV177" s="37">
        <v>0</v>
      </c>
      <c r="BW177" s="59">
        <v>0</v>
      </c>
      <c r="BX177" s="59">
        <v>0</v>
      </c>
      <c r="BZ177" s="37">
        <v>0</v>
      </c>
      <c r="CA177" s="37">
        <v>0</v>
      </c>
      <c r="CB177" s="37">
        <v>0</v>
      </c>
      <c r="CC177" s="37">
        <v>0</v>
      </c>
      <c r="CD177" s="37">
        <v>25000</v>
      </c>
      <c r="CE177" s="37">
        <v>40000</v>
      </c>
      <c r="CF177" s="37">
        <v>0</v>
      </c>
      <c r="CG177" s="59">
        <v>65000</v>
      </c>
      <c r="CH177" s="37">
        <v>0</v>
      </c>
      <c r="CI177" s="37">
        <v>0</v>
      </c>
      <c r="CJ177" s="37">
        <v>0</v>
      </c>
      <c r="CK177" s="37">
        <v>0</v>
      </c>
      <c r="CL177" s="37">
        <v>0</v>
      </c>
      <c r="CM177" s="37">
        <v>0</v>
      </c>
      <c r="CN177" s="59">
        <v>0</v>
      </c>
      <c r="CO177" s="59">
        <v>65000</v>
      </c>
      <c r="CP177" s="58"/>
      <c r="CQ177" s="3">
        <v>65000</v>
      </c>
    </row>
    <row r="178" spans="1:95" customFormat="1" x14ac:dyDescent="0.2">
      <c r="A178" s="209">
        <v>43228</v>
      </c>
      <c r="B178" s="33" t="s">
        <v>55</v>
      </c>
      <c r="C178" s="33" t="s">
        <v>56</v>
      </c>
      <c r="D178" s="43">
        <v>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47">
        <v>0</v>
      </c>
      <c r="R178" s="37">
        <v>0</v>
      </c>
      <c r="S178" s="37">
        <v>0</v>
      </c>
      <c r="T178" s="37">
        <v>4000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59">
        <v>4000</v>
      </c>
      <c r="AH178" s="37">
        <v>0</v>
      </c>
      <c r="AI178" s="37">
        <v>0</v>
      </c>
      <c r="AJ178" s="37">
        <v>0</v>
      </c>
      <c r="AK178" s="37">
        <v>0</v>
      </c>
      <c r="AL178" s="37">
        <v>5</v>
      </c>
      <c r="AM178" s="37">
        <v>0</v>
      </c>
      <c r="AN178" s="37">
        <v>4</v>
      </c>
      <c r="AO178" s="37">
        <v>0</v>
      </c>
      <c r="AP178" s="37">
        <v>2</v>
      </c>
      <c r="AQ178" s="37">
        <v>0</v>
      </c>
      <c r="AR178" s="37">
        <v>0</v>
      </c>
      <c r="AS178" s="59">
        <v>11</v>
      </c>
      <c r="AT178" s="59">
        <v>4011</v>
      </c>
      <c r="AU178" s="45"/>
      <c r="AV178" s="37">
        <v>0</v>
      </c>
      <c r="AW178" s="37">
        <v>0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0</v>
      </c>
      <c r="BK178" s="59">
        <v>0</v>
      </c>
      <c r="BL178" s="37">
        <v>0</v>
      </c>
      <c r="BM178" s="37">
        <v>0</v>
      </c>
      <c r="BN178" s="37">
        <v>0</v>
      </c>
      <c r="BO178" s="37">
        <v>0</v>
      </c>
      <c r="BP178" s="37">
        <v>0</v>
      </c>
      <c r="BQ178" s="37">
        <v>0</v>
      </c>
      <c r="BR178" s="37">
        <v>0</v>
      </c>
      <c r="BS178" s="37">
        <v>0</v>
      </c>
      <c r="BT178" s="37">
        <v>0</v>
      </c>
      <c r="BU178" s="37">
        <v>0</v>
      </c>
      <c r="BV178" s="37">
        <v>0</v>
      </c>
      <c r="BW178" s="59">
        <v>0</v>
      </c>
      <c r="BX178" s="59">
        <v>0</v>
      </c>
      <c r="BZ178" s="37">
        <v>4000</v>
      </c>
      <c r="CA178" s="37">
        <v>0</v>
      </c>
      <c r="CB178" s="37">
        <v>0</v>
      </c>
      <c r="CC178" s="37">
        <v>0</v>
      </c>
      <c r="CD178" s="37">
        <v>0</v>
      </c>
      <c r="CE178" s="37">
        <v>0</v>
      </c>
      <c r="CF178" s="37">
        <v>0</v>
      </c>
      <c r="CG178" s="59">
        <v>4000</v>
      </c>
      <c r="CH178" s="37">
        <v>0</v>
      </c>
      <c r="CI178" s="37">
        <v>5</v>
      </c>
      <c r="CJ178" s="37">
        <v>4</v>
      </c>
      <c r="CK178" s="37">
        <v>2</v>
      </c>
      <c r="CL178" s="37">
        <v>0</v>
      </c>
      <c r="CM178" s="37">
        <v>0</v>
      </c>
      <c r="CN178" s="59">
        <v>11</v>
      </c>
      <c r="CO178" s="59">
        <v>4011</v>
      </c>
      <c r="CP178" s="58"/>
      <c r="CQ178" s="3">
        <v>4011</v>
      </c>
    </row>
    <row r="179" spans="1:95" customFormat="1" x14ac:dyDescent="0.2">
      <c r="A179" s="209">
        <v>43228</v>
      </c>
      <c r="B179" s="33" t="s">
        <v>53</v>
      </c>
      <c r="C179" s="33" t="s">
        <v>54</v>
      </c>
      <c r="D179" s="43">
        <v>1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47" t="s">
        <v>45</v>
      </c>
      <c r="R179" s="37">
        <v>0</v>
      </c>
      <c r="S179" s="37">
        <v>0</v>
      </c>
      <c r="T179" s="37">
        <v>196000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59">
        <v>196000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59">
        <v>0</v>
      </c>
      <c r="AT179" s="59">
        <v>196000</v>
      </c>
      <c r="AU179" s="45"/>
      <c r="AV179" s="37">
        <v>0</v>
      </c>
      <c r="AW179" s="37">
        <v>0</v>
      </c>
      <c r="AX179" s="37">
        <v>0</v>
      </c>
      <c r="AY179" s="37">
        <v>0</v>
      </c>
      <c r="AZ179" s="37">
        <v>0</v>
      </c>
      <c r="BA179" s="37">
        <v>0</v>
      </c>
      <c r="BB179" s="37">
        <v>0</v>
      </c>
      <c r="BC179" s="37">
        <v>0</v>
      </c>
      <c r="BD179" s="37">
        <v>0</v>
      </c>
      <c r="BE179" s="37">
        <v>0</v>
      </c>
      <c r="BF179" s="37">
        <v>0</v>
      </c>
      <c r="BG179" s="37">
        <v>0</v>
      </c>
      <c r="BH179" s="37">
        <v>0</v>
      </c>
      <c r="BI179" s="37">
        <v>0</v>
      </c>
      <c r="BJ179" s="37">
        <v>0</v>
      </c>
      <c r="BK179" s="59">
        <v>0</v>
      </c>
      <c r="BL179" s="37">
        <v>0</v>
      </c>
      <c r="BM179" s="37">
        <v>0</v>
      </c>
      <c r="BN179" s="37">
        <v>0</v>
      </c>
      <c r="BO179" s="37">
        <v>0</v>
      </c>
      <c r="BP179" s="37">
        <v>0</v>
      </c>
      <c r="BQ179" s="37">
        <v>0</v>
      </c>
      <c r="BR179" s="37">
        <v>0</v>
      </c>
      <c r="BS179" s="37">
        <v>0</v>
      </c>
      <c r="BT179" s="37">
        <v>0</v>
      </c>
      <c r="BU179" s="37">
        <v>0</v>
      </c>
      <c r="BV179" s="37">
        <v>0</v>
      </c>
      <c r="BW179" s="59">
        <v>0</v>
      </c>
      <c r="BX179" s="59">
        <v>0</v>
      </c>
      <c r="BZ179" s="37">
        <v>196000</v>
      </c>
      <c r="CA179" s="37">
        <v>0</v>
      </c>
      <c r="CB179" s="37">
        <v>0</v>
      </c>
      <c r="CC179" s="37">
        <v>0</v>
      </c>
      <c r="CD179" s="37">
        <v>0</v>
      </c>
      <c r="CE179" s="37">
        <v>0</v>
      </c>
      <c r="CF179" s="37">
        <v>0</v>
      </c>
      <c r="CG179" s="59">
        <v>196000</v>
      </c>
      <c r="CH179" s="37">
        <v>0</v>
      </c>
      <c r="CI179" s="37">
        <v>0</v>
      </c>
      <c r="CJ179" s="37">
        <v>0</v>
      </c>
      <c r="CK179" s="37">
        <v>0</v>
      </c>
      <c r="CL179" s="37">
        <v>0</v>
      </c>
      <c r="CM179" s="37">
        <v>0</v>
      </c>
      <c r="CN179" s="59">
        <v>0</v>
      </c>
      <c r="CO179" s="59">
        <v>196000</v>
      </c>
      <c r="CP179" s="58"/>
      <c r="CQ179" s="3">
        <v>196000</v>
      </c>
    </row>
    <row r="180" spans="1:95" customFormat="1" x14ac:dyDescent="0.2">
      <c r="A180" s="209">
        <v>43229</v>
      </c>
      <c r="B180" s="33" t="s">
        <v>55</v>
      </c>
      <c r="C180" s="33" t="s">
        <v>56</v>
      </c>
      <c r="D180" s="43">
        <v>0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0</v>
      </c>
      <c r="O180" s="43">
        <v>0</v>
      </c>
      <c r="P180" s="47">
        <v>0</v>
      </c>
      <c r="R180" s="37">
        <v>0</v>
      </c>
      <c r="S180" s="37">
        <v>0</v>
      </c>
      <c r="T180" s="37">
        <v>4000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200</v>
      </c>
      <c r="AC180" s="37">
        <v>0</v>
      </c>
      <c r="AD180" s="37">
        <v>0</v>
      </c>
      <c r="AE180" s="37">
        <v>0</v>
      </c>
      <c r="AF180" s="37">
        <v>0</v>
      </c>
      <c r="AG180" s="59">
        <v>4200</v>
      </c>
      <c r="AH180" s="37">
        <v>0</v>
      </c>
      <c r="AI180" s="37">
        <v>0</v>
      </c>
      <c r="AJ180" s="37">
        <v>0</v>
      </c>
      <c r="AK180" s="37">
        <v>0</v>
      </c>
      <c r="AL180" s="37">
        <v>5</v>
      </c>
      <c r="AM180" s="37">
        <v>0</v>
      </c>
      <c r="AN180" s="37">
        <v>4</v>
      </c>
      <c r="AO180" s="37">
        <v>0</v>
      </c>
      <c r="AP180" s="37">
        <v>2</v>
      </c>
      <c r="AQ180" s="37">
        <v>0</v>
      </c>
      <c r="AR180" s="37">
        <v>0</v>
      </c>
      <c r="AS180" s="59">
        <v>11</v>
      </c>
      <c r="AT180" s="59">
        <v>4211</v>
      </c>
      <c r="AU180" s="45"/>
      <c r="AV180" s="37">
        <v>0</v>
      </c>
      <c r="AW180" s="37">
        <v>0</v>
      </c>
      <c r="AX180" s="37">
        <v>0</v>
      </c>
      <c r="AY180" s="37">
        <v>0</v>
      </c>
      <c r="AZ180" s="37">
        <v>0</v>
      </c>
      <c r="BA180" s="37">
        <v>0</v>
      </c>
      <c r="BB180" s="37">
        <v>0</v>
      </c>
      <c r="BC180" s="37">
        <v>0</v>
      </c>
      <c r="BD180" s="37">
        <v>0</v>
      </c>
      <c r="BE180" s="37">
        <v>0</v>
      </c>
      <c r="BF180" s="37">
        <v>0</v>
      </c>
      <c r="BG180" s="37">
        <v>0</v>
      </c>
      <c r="BH180" s="37">
        <v>0</v>
      </c>
      <c r="BI180" s="37">
        <v>0</v>
      </c>
      <c r="BJ180" s="37">
        <v>0</v>
      </c>
      <c r="BK180" s="59">
        <v>0</v>
      </c>
      <c r="BL180" s="37">
        <v>0</v>
      </c>
      <c r="BM180" s="37">
        <v>0</v>
      </c>
      <c r="BN180" s="37">
        <v>0</v>
      </c>
      <c r="BO180" s="37">
        <v>0</v>
      </c>
      <c r="BP180" s="37">
        <v>0</v>
      </c>
      <c r="BQ180" s="37">
        <v>0</v>
      </c>
      <c r="BR180" s="37">
        <v>0</v>
      </c>
      <c r="BS180" s="37">
        <v>0</v>
      </c>
      <c r="BT180" s="37">
        <v>0</v>
      </c>
      <c r="BU180" s="37">
        <v>0</v>
      </c>
      <c r="BV180" s="37">
        <v>0</v>
      </c>
      <c r="BW180" s="59">
        <v>0</v>
      </c>
      <c r="BX180" s="59">
        <v>0</v>
      </c>
      <c r="BZ180" s="37">
        <v>4000</v>
      </c>
      <c r="CA180" s="37">
        <v>0</v>
      </c>
      <c r="CB180" s="37">
        <v>0</v>
      </c>
      <c r="CC180" s="37">
        <v>0</v>
      </c>
      <c r="CD180" s="37">
        <v>200</v>
      </c>
      <c r="CE180" s="37">
        <v>0</v>
      </c>
      <c r="CF180" s="37">
        <v>0</v>
      </c>
      <c r="CG180" s="59">
        <v>4200</v>
      </c>
      <c r="CH180" s="37">
        <v>0</v>
      </c>
      <c r="CI180" s="37">
        <v>5</v>
      </c>
      <c r="CJ180" s="37">
        <v>4</v>
      </c>
      <c r="CK180" s="37">
        <v>2</v>
      </c>
      <c r="CL180" s="37">
        <v>0</v>
      </c>
      <c r="CM180" s="37">
        <v>0</v>
      </c>
      <c r="CN180" s="59">
        <v>11</v>
      </c>
      <c r="CO180" s="59">
        <v>4211</v>
      </c>
      <c r="CP180" s="58"/>
      <c r="CQ180" s="3">
        <v>4211</v>
      </c>
    </row>
    <row r="181" spans="1:95" customFormat="1" x14ac:dyDescent="0.2">
      <c r="A181" s="209">
        <v>43229</v>
      </c>
      <c r="B181" s="33" t="s">
        <v>75</v>
      </c>
      <c r="C181" s="33" t="s">
        <v>76</v>
      </c>
      <c r="D181" s="43">
        <v>0</v>
      </c>
      <c r="E181" s="43">
        <v>0</v>
      </c>
      <c r="F181" s="43">
        <v>1</v>
      </c>
      <c r="G181" s="43">
        <v>0</v>
      </c>
      <c r="H181" s="43">
        <v>0</v>
      </c>
      <c r="I181" s="43">
        <v>0</v>
      </c>
      <c r="J181" s="43">
        <v>0</v>
      </c>
      <c r="K181" s="43">
        <v>0</v>
      </c>
      <c r="L181" s="43">
        <v>0</v>
      </c>
      <c r="M181" s="43">
        <v>0</v>
      </c>
      <c r="N181" s="43">
        <v>0</v>
      </c>
      <c r="O181" s="43">
        <v>0</v>
      </c>
      <c r="P181" s="47" t="s">
        <v>67</v>
      </c>
      <c r="R181" s="37">
        <v>0</v>
      </c>
      <c r="S181" s="37">
        <v>0</v>
      </c>
      <c r="T181" s="37">
        <v>200000</v>
      </c>
      <c r="U181" s="37">
        <v>0</v>
      </c>
      <c r="V181" s="37">
        <v>100000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59">
        <v>300000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59">
        <v>0</v>
      </c>
      <c r="AT181" s="59">
        <v>300000</v>
      </c>
      <c r="AU181" s="45"/>
      <c r="AV181" s="37">
        <v>0</v>
      </c>
      <c r="AW181" s="37">
        <v>0</v>
      </c>
      <c r="AX181" s="37">
        <v>0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59">
        <v>0</v>
      </c>
      <c r="BL181" s="37">
        <v>0</v>
      </c>
      <c r="BM181" s="37">
        <v>0</v>
      </c>
      <c r="BN181" s="37">
        <v>0</v>
      </c>
      <c r="BO181" s="37">
        <v>0</v>
      </c>
      <c r="BP181" s="37">
        <v>0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59">
        <v>0</v>
      </c>
      <c r="BX181" s="59">
        <v>0</v>
      </c>
      <c r="BZ181" s="37">
        <v>200000</v>
      </c>
      <c r="CA181" s="37">
        <v>100000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59">
        <v>300000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59">
        <v>0</v>
      </c>
      <c r="CO181" s="59">
        <v>300000</v>
      </c>
      <c r="CP181" s="58"/>
      <c r="CQ181" s="3">
        <v>300000</v>
      </c>
    </row>
    <row r="182" spans="1:95" customFormat="1" x14ac:dyDescent="0.2">
      <c r="A182" s="209">
        <v>43231</v>
      </c>
      <c r="B182" s="33" t="s">
        <v>53</v>
      </c>
      <c r="C182" s="33" t="s">
        <v>57</v>
      </c>
      <c r="D182" s="43">
        <v>0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7">
        <v>0</v>
      </c>
      <c r="R182" s="37">
        <v>0</v>
      </c>
      <c r="S182" s="37">
        <v>0</v>
      </c>
      <c r="T182" s="37">
        <v>4000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59">
        <v>4000</v>
      </c>
      <c r="AH182" s="37">
        <v>0</v>
      </c>
      <c r="AI182" s="37">
        <v>0</v>
      </c>
      <c r="AJ182" s="37">
        <v>0</v>
      </c>
      <c r="AK182" s="37">
        <v>0</v>
      </c>
      <c r="AL182" s="37">
        <v>15</v>
      </c>
      <c r="AM182" s="37">
        <v>0</v>
      </c>
      <c r="AN182" s="37">
        <v>16</v>
      </c>
      <c r="AO182" s="37">
        <v>0</v>
      </c>
      <c r="AP182" s="37">
        <v>6</v>
      </c>
      <c r="AQ182" s="37">
        <v>0</v>
      </c>
      <c r="AR182" s="37">
        <v>0</v>
      </c>
      <c r="AS182" s="59">
        <v>37</v>
      </c>
      <c r="AT182" s="59">
        <v>4037</v>
      </c>
      <c r="AU182" s="45"/>
      <c r="AV182" s="37">
        <v>0</v>
      </c>
      <c r="AW182" s="37">
        <v>0</v>
      </c>
      <c r="AX182" s="37">
        <v>0</v>
      </c>
      <c r="AY182" s="37">
        <v>0</v>
      </c>
      <c r="AZ182" s="37">
        <v>0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59">
        <v>0</v>
      </c>
      <c r="BL182" s="37">
        <v>0</v>
      </c>
      <c r="BM182" s="37">
        <v>0</v>
      </c>
      <c r="BN182" s="37">
        <v>0</v>
      </c>
      <c r="BO182" s="37">
        <v>0</v>
      </c>
      <c r="BP182" s="37">
        <v>0</v>
      </c>
      <c r="BQ182" s="37">
        <v>0</v>
      </c>
      <c r="BR182" s="37">
        <v>0</v>
      </c>
      <c r="BS182" s="37">
        <v>0</v>
      </c>
      <c r="BT182" s="37">
        <v>0</v>
      </c>
      <c r="BU182" s="37">
        <v>0</v>
      </c>
      <c r="BV182" s="37">
        <v>0</v>
      </c>
      <c r="BW182" s="59">
        <v>0</v>
      </c>
      <c r="BX182" s="59">
        <v>0</v>
      </c>
      <c r="BZ182" s="37">
        <v>4000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0</v>
      </c>
      <c r="CG182" s="59">
        <v>4000</v>
      </c>
      <c r="CH182" s="37">
        <v>0</v>
      </c>
      <c r="CI182" s="37">
        <v>15</v>
      </c>
      <c r="CJ182" s="37">
        <v>16</v>
      </c>
      <c r="CK182" s="37">
        <v>6</v>
      </c>
      <c r="CL182" s="37">
        <v>0</v>
      </c>
      <c r="CM182" s="37">
        <v>0</v>
      </c>
      <c r="CN182" s="59">
        <v>37</v>
      </c>
      <c r="CO182" s="59">
        <v>4037</v>
      </c>
      <c r="CP182" s="58"/>
      <c r="CQ182" s="3">
        <v>4037</v>
      </c>
    </row>
    <row r="183" spans="1:95" customFormat="1" x14ac:dyDescent="0.2">
      <c r="A183" s="209">
        <v>43231</v>
      </c>
      <c r="B183" s="33" t="s">
        <v>53</v>
      </c>
      <c r="C183" s="33" t="s">
        <v>54</v>
      </c>
      <c r="D183" s="43">
        <v>1</v>
      </c>
      <c r="E183" s="43">
        <v>0</v>
      </c>
      <c r="F183" s="43">
        <v>0</v>
      </c>
      <c r="G183" s="43">
        <v>0</v>
      </c>
      <c r="H183" s="43">
        <v>0</v>
      </c>
      <c r="I183" s="43">
        <v>0</v>
      </c>
      <c r="J183" s="43">
        <v>0</v>
      </c>
      <c r="K183" s="43">
        <v>0</v>
      </c>
      <c r="L183" s="43">
        <v>0</v>
      </c>
      <c r="M183" s="43">
        <v>0</v>
      </c>
      <c r="N183" s="43">
        <v>0</v>
      </c>
      <c r="O183" s="43">
        <v>0</v>
      </c>
      <c r="P183" s="47" t="s">
        <v>45</v>
      </c>
      <c r="R183" s="37">
        <v>0</v>
      </c>
      <c r="S183" s="37">
        <v>0</v>
      </c>
      <c r="T183" s="37">
        <v>720000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59">
        <v>720000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59">
        <v>0</v>
      </c>
      <c r="AT183" s="59">
        <v>720000</v>
      </c>
      <c r="AU183" s="45"/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59">
        <v>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59">
        <v>0</v>
      </c>
      <c r="BX183" s="59">
        <v>0</v>
      </c>
      <c r="BZ183" s="37">
        <v>720000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59">
        <v>720000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59">
        <v>0</v>
      </c>
      <c r="CO183" s="59">
        <v>720000</v>
      </c>
      <c r="CP183" s="58"/>
      <c r="CQ183" s="3">
        <v>720000</v>
      </c>
    </row>
    <row r="184" spans="1:95" customFormat="1" x14ac:dyDescent="0.2">
      <c r="A184" s="209">
        <v>43231</v>
      </c>
      <c r="B184" s="33" t="s">
        <v>64</v>
      </c>
      <c r="C184" s="33" t="s">
        <v>109</v>
      </c>
      <c r="D184" s="43">
        <v>0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  <c r="J184" s="43">
        <v>0</v>
      </c>
      <c r="K184" s="43">
        <v>1</v>
      </c>
      <c r="L184" s="43">
        <v>0</v>
      </c>
      <c r="M184" s="43">
        <v>0</v>
      </c>
      <c r="N184" s="43">
        <v>0</v>
      </c>
      <c r="O184" s="43">
        <v>0</v>
      </c>
      <c r="P184" s="47" t="s">
        <v>45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80000</v>
      </c>
      <c r="Y184" s="37">
        <v>0</v>
      </c>
      <c r="Z184" s="37">
        <v>0</v>
      </c>
      <c r="AA184" s="37">
        <v>0</v>
      </c>
      <c r="AB184" s="37">
        <v>20000</v>
      </c>
      <c r="AC184" s="37">
        <v>0</v>
      </c>
      <c r="AD184" s="37">
        <v>8000</v>
      </c>
      <c r="AE184" s="37">
        <v>0</v>
      </c>
      <c r="AF184" s="37">
        <v>0</v>
      </c>
      <c r="AG184" s="59">
        <v>108000</v>
      </c>
      <c r="AH184" s="37">
        <v>0</v>
      </c>
      <c r="AI184" s="37">
        <v>1250</v>
      </c>
      <c r="AJ184" s="37">
        <v>625</v>
      </c>
      <c r="AK184" s="37">
        <v>0</v>
      </c>
      <c r="AL184" s="37">
        <v>0</v>
      </c>
      <c r="AM184" s="37">
        <v>0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59">
        <v>1875</v>
      </c>
      <c r="AT184" s="59">
        <v>109875</v>
      </c>
      <c r="AU184" s="45"/>
      <c r="AV184" s="37">
        <v>0</v>
      </c>
      <c r="AW184" s="37">
        <v>0</v>
      </c>
      <c r="AX184" s="37">
        <v>0</v>
      </c>
      <c r="AY184" s="37">
        <v>0</v>
      </c>
      <c r="AZ184" s="37">
        <v>0</v>
      </c>
      <c r="BA184" s="37">
        <v>0</v>
      </c>
      <c r="BB184" s="37">
        <v>0</v>
      </c>
      <c r="BC184" s="37">
        <v>0</v>
      </c>
      <c r="BD184" s="37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59">
        <v>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7">
        <v>0</v>
      </c>
      <c r="BT184" s="37">
        <v>0</v>
      </c>
      <c r="BU184" s="37">
        <v>0</v>
      </c>
      <c r="BV184" s="37">
        <v>0</v>
      </c>
      <c r="BW184" s="59">
        <v>0</v>
      </c>
      <c r="BX184" s="59">
        <v>0</v>
      </c>
      <c r="BZ184" s="37">
        <v>0</v>
      </c>
      <c r="CA184" s="37">
        <v>0</v>
      </c>
      <c r="CB184" s="37">
        <v>80000</v>
      </c>
      <c r="CC184" s="37">
        <v>0</v>
      </c>
      <c r="CD184" s="37">
        <v>20000</v>
      </c>
      <c r="CE184" s="37">
        <v>8000</v>
      </c>
      <c r="CF184" s="37">
        <v>0</v>
      </c>
      <c r="CG184" s="59">
        <v>108000</v>
      </c>
      <c r="CH184" s="37">
        <v>1250</v>
      </c>
      <c r="CI184" s="37">
        <v>625</v>
      </c>
      <c r="CJ184" s="37">
        <v>0</v>
      </c>
      <c r="CK184" s="37">
        <v>0</v>
      </c>
      <c r="CL184" s="37">
        <v>0</v>
      </c>
      <c r="CM184" s="37">
        <v>0</v>
      </c>
      <c r="CN184" s="59">
        <v>1875</v>
      </c>
      <c r="CO184" s="59">
        <v>109875</v>
      </c>
      <c r="CP184" s="58"/>
      <c r="CQ184" s="3">
        <v>109875</v>
      </c>
    </row>
    <row r="185" spans="1:95" customFormat="1" x14ac:dyDescent="0.2">
      <c r="A185" s="209">
        <v>43231</v>
      </c>
      <c r="B185" s="33" t="s">
        <v>66</v>
      </c>
      <c r="C185" s="33" t="s">
        <v>110</v>
      </c>
      <c r="D185" s="43">
        <v>0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1</v>
      </c>
      <c r="L185" s="43">
        <v>0</v>
      </c>
      <c r="M185" s="43">
        <v>0</v>
      </c>
      <c r="N185" s="43">
        <v>0</v>
      </c>
      <c r="O185" s="43">
        <v>0</v>
      </c>
      <c r="P185" s="47" t="s">
        <v>45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140000</v>
      </c>
      <c r="X185" s="37">
        <v>60000</v>
      </c>
      <c r="Y185" s="37">
        <v>0</v>
      </c>
      <c r="Z185" s="37">
        <v>0</v>
      </c>
      <c r="AA185" s="37">
        <v>0</v>
      </c>
      <c r="AB185" s="37">
        <v>50000</v>
      </c>
      <c r="AC185" s="37">
        <v>0</v>
      </c>
      <c r="AD185" s="37">
        <v>54000</v>
      </c>
      <c r="AE185" s="37">
        <v>0</v>
      </c>
      <c r="AF185" s="37">
        <v>10000</v>
      </c>
      <c r="AG185" s="59">
        <v>314000</v>
      </c>
      <c r="AH185" s="37">
        <v>0</v>
      </c>
      <c r="AI185" s="37">
        <v>1000</v>
      </c>
      <c r="AJ185" s="37">
        <v>0</v>
      </c>
      <c r="AK185" s="37">
        <v>0</v>
      </c>
      <c r="AL185" s="37">
        <v>500</v>
      </c>
      <c r="AM185" s="37">
        <v>0</v>
      </c>
      <c r="AN185" s="37">
        <v>0</v>
      </c>
      <c r="AO185" s="37">
        <v>0</v>
      </c>
      <c r="AP185" s="37">
        <v>50</v>
      </c>
      <c r="AQ185" s="37">
        <v>0</v>
      </c>
      <c r="AR185" s="37">
        <v>0</v>
      </c>
      <c r="AS185" s="59">
        <v>1550</v>
      </c>
      <c r="AT185" s="59">
        <v>315550</v>
      </c>
      <c r="AU185" s="45"/>
      <c r="AV185" s="37">
        <v>0</v>
      </c>
      <c r="AW185" s="37">
        <v>0</v>
      </c>
      <c r="AX185" s="37">
        <v>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59">
        <v>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59">
        <v>0</v>
      </c>
      <c r="BX185" s="59">
        <v>0</v>
      </c>
      <c r="BZ185" s="37">
        <v>0</v>
      </c>
      <c r="CA185" s="37">
        <v>0</v>
      </c>
      <c r="CB185" s="37">
        <v>200000</v>
      </c>
      <c r="CC185" s="37">
        <v>0</v>
      </c>
      <c r="CD185" s="37">
        <v>50000</v>
      </c>
      <c r="CE185" s="37">
        <v>54000</v>
      </c>
      <c r="CF185" s="37">
        <v>10000</v>
      </c>
      <c r="CG185" s="59">
        <v>314000</v>
      </c>
      <c r="CH185" s="37">
        <v>1000</v>
      </c>
      <c r="CI185" s="37">
        <v>500</v>
      </c>
      <c r="CJ185" s="37">
        <v>0</v>
      </c>
      <c r="CK185" s="37">
        <v>50</v>
      </c>
      <c r="CL185" s="37">
        <v>0</v>
      </c>
      <c r="CM185" s="37">
        <v>0</v>
      </c>
      <c r="CN185" s="59">
        <v>1550</v>
      </c>
      <c r="CO185" s="59">
        <v>315550</v>
      </c>
      <c r="CP185" s="58"/>
      <c r="CQ185" s="3">
        <v>315550</v>
      </c>
    </row>
    <row r="186" spans="1:95" customFormat="1" x14ac:dyDescent="0.2">
      <c r="A186" s="209">
        <v>43231</v>
      </c>
      <c r="B186" s="33" t="s">
        <v>53</v>
      </c>
      <c r="C186" s="33" t="s">
        <v>54</v>
      </c>
      <c r="D186" s="43">
        <v>1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7" t="s">
        <v>45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59">
        <v>0</v>
      </c>
      <c r="AH186" s="37">
        <v>0</v>
      </c>
      <c r="AI186" s="37">
        <v>6250</v>
      </c>
      <c r="AJ186" s="37">
        <v>0</v>
      </c>
      <c r="AK186" s="37">
        <v>0</v>
      </c>
      <c r="AL186" s="37">
        <v>3125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59">
        <v>9375</v>
      </c>
      <c r="AT186" s="59">
        <v>9375</v>
      </c>
      <c r="AU186" s="45"/>
      <c r="AV186" s="37">
        <v>0</v>
      </c>
      <c r="AW186" s="37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59">
        <v>0</v>
      </c>
      <c r="BL186" s="37">
        <v>0</v>
      </c>
      <c r="BM186" s="37">
        <v>0</v>
      </c>
      <c r="BN186" s="37">
        <v>0</v>
      </c>
      <c r="BO186" s="37">
        <v>0</v>
      </c>
      <c r="BP186" s="37">
        <v>0</v>
      </c>
      <c r="BQ186" s="37">
        <v>0</v>
      </c>
      <c r="BR186" s="37">
        <v>0</v>
      </c>
      <c r="BS186" s="37">
        <v>0</v>
      </c>
      <c r="BT186" s="37">
        <v>0</v>
      </c>
      <c r="BU186" s="37">
        <v>0</v>
      </c>
      <c r="BV186" s="37">
        <v>0</v>
      </c>
      <c r="BW186" s="59">
        <v>0</v>
      </c>
      <c r="BX186" s="59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59">
        <v>0</v>
      </c>
      <c r="CH186" s="37">
        <v>6250</v>
      </c>
      <c r="CI186" s="37">
        <v>3125</v>
      </c>
      <c r="CJ186" s="37">
        <v>0</v>
      </c>
      <c r="CK186" s="37">
        <v>0</v>
      </c>
      <c r="CL186" s="37">
        <v>0</v>
      </c>
      <c r="CM186" s="37">
        <v>0</v>
      </c>
      <c r="CN186" s="59">
        <v>9375</v>
      </c>
      <c r="CO186" s="59">
        <v>9375</v>
      </c>
      <c r="CP186" s="58"/>
      <c r="CQ186" s="3">
        <v>9375</v>
      </c>
    </row>
    <row r="187" spans="1:95" customFormat="1" x14ac:dyDescent="0.2">
      <c r="A187" s="209">
        <v>43231</v>
      </c>
      <c r="B187" s="33" t="s">
        <v>74</v>
      </c>
      <c r="C187" s="33" t="s">
        <v>111</v>
      </c>
      <c r="D187" s="43">
        <v>0</v>
      </c>
      <c r="E187" s="43">
        <v>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1</v>
      </c>
      <c r="L187" s="43">
        <v>0</v>
      </c>
      <c r="M187" s="43">
        <v>0</v>
      </c>
      <c r="N187" s="43">
        <v>0</v>
      </c>
      <c r="O187" s="43">
        <v>0</v>
      </c>
      <c r="P187" s="47" t="s">
        <v>45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200000</v>
      </c>
      <c r="Y187" s="37">
        <v>0</v>
      </c>
      <c r="Z187" s="37">
        <v>0</v>
      </c>
      <c r="AA187" s="37">
        <v>0</v>
      </c>
      <c r="AB187" s="37">
        <v>25000</v>
      </c>
      <c r="AC187" s="37">
        <v>0</v>
      </c>
      <c r="AD187" s="37">
        <v>32000</v>
      </c>
      <c r="AE187" s="37">
        <v>0</v>
      </c>
      <c r="AF187" s="37">
        <v>0</v>
      </c>
      <c r="AG187" s="59">
        <v>257000</v>
      </c>
      <c r="AH187" s="37">
        <v>0</v>
      </c>
      <c r="AI187" s="37">
        <v>1750</v>
      </c>
      <c r="AJ187" s="37">
        <v>0</v>
      </c>
      <c r="AK187" s="37">
        <v>0</v>
      </c>
      <c r="AL187" s="37">
        <v>500</v>
      </c>
      <c r="AM187" s="37">
        <v>0</v>
      </c>
      <c r="AN187" s="37">
        <v>0</v>
      </c>
      <c r="AO187" s="37">
        <v>0</v>
      </c>
      <c r="AP187" s="37">
        <v>100</v>
      </c>
      <c r="AQ187" s="37">
        <v>0</v>
      </c>
      <c r="AR187" s="37">
        <v>0</v>
      </c>
      <c r="AS187" s="59">
        <v>2350</v>
      </c>
      <c r="AT187" s="59">
        <v>259350</v>
      </c>
      <c r="AU187" s="45"/>
      <c r="AV187" s="37">
        <v>0</v>
      </c>
      <c r="AW187" s="37">
        <v>0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59">
        <v>0</v>
      </c>
      <c r="BL187" s="37">
        <v>0</v>
      </c>
      <c r="BM187" s="37">
        <v>0</v>
      </c>
      <c r="BN187" s="37">
        <v>0</v>
      </c>
      <c r="BO187" s="37">
        <v>0</v>
      </c>
      <c r="BP187" s="37">
        <v>0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59">
        <v>0</v>
      </c>
      <c r="BX187" s="59">
        <v>0</v>
      </c>
      <c r="BZ187" s="37">
        <v>0</v>
      </c>
      <c r="CA187" s="37">
        <v>0</v>
      </c>
      <c r="CB187" s="37">
        <v>200000</v>
      </c>
      <c r="CC187" s="37">
        <v>0</v>
      </c>
      <c r="CD187" s="37">
        <v>25000</v>
      </c>
      <c r="CE187" s="37">
        <v>32000</v>
      </c>
      <c r="CF187" s="37">
        <v>0</v>
      </c>
      <c r="CG187" s="59">
        <v>257000</v>
      </c>
      <c r="CH187" s="37">
        <v>1750</v>
      </c>
      <c r="CI187" s="37">
        <v>500</v>
      </c>
      <c r="CJ187" s="37">
        <v>0</v>
      </c>
      <c r="CK187" s="37">
        <v>100</v>
      </c>
      <c r="CL187" s="37">
        <v>0</v>
      </c>
      <c r="CM187" s="37">
        <v>0</v>
      </c>
      <c r="CN187" s="59">
        <v>2350</v>
      </c>
      <c r="CO187" s="59">
        <v>259350</v>
      </c>
      <c r="CP187" s="58"/>
      <c r="CQ187" s="3">
        <v>259350</v>
      </c>
    </row>
    <row r="188" spans="1:95" customFormat="1" x14ac:dyDescent="0.2">
      <c r="A188" s="209">
        <v>43231</v>
      </c>
      <c r="B188" s="33" t="s">
        <v>62</v>
      </c>
      <c r="C188" s="33" t="s">
        <v>111</v>
      </c>
      <c r="D188" s="43">
        <v>0</v>
      </c>
      <c r="E188" s="43">
        <v>0</v>
      </c>
      <c r="F188" s="43">
        <v>0</v>
      </c>
      <c r="G188" s="43">
        <v>0</v>
      </c>
      <c r="H188" s="43">
        <v>0</v>
      </c>
      <c r="I188" s="43">
        <v>0</v>
      </c>
      <c r="J188" s="43">
        <v>0</v>
      </c>
      <c r="K188" s="43">
        <v>1</v>
      </c>
      <c r="L188" s="43">
        <v>0</v>
      </c>
      <c r="M188" s="43">
        <v>0</v>
      </c>
      <c r="N188" s="43">
        <v>0</v>
      </c>
      <c r="O188" s="43">
        <v>0</v>
      </c>
      <c r="P188" s="47" t="s">
        <v>45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360000</v>
      </c>
      <c r="Y188" s="37">
        <v>0</v>
      </c>
      <c r="Z188" s="37">
        <v>0</v>
      </c>
      <c r="AA188" s="37">
        <v>0</v>
      </c>
      <c r="AB188" s="37">
        <v>80000</v>
      </c>
      <c r="AC188" s="37">
        <v>0</v>
      </c>
      <c r="AD188" s="37">
        <v>32000</v>
      </c>
      <c r="AE188" s="37">
        <v>0</v>
      </c>
      <c r="AF188" s="37">
        <v>0</v>
      </c>
      <c r="AG188" s="59">
        <v>472000</v>
      </c>
      <c r="AH188" s="37">
        <v>0</v>
      </c>
      <c r="AI188" s="37">
        <v>4000</v>
      </c>
      <c r="AJ188" s="37">
        <v>0</v>
      </c>
      <c r="AK188" s="37">
        <v>0</v>
      </c>
      <c r="AL188" s="37">
        <v>1375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59">
        <v>5375</v>
      </c>
      <c r="AT188" s="59">
        <v>477375</v>
      </c>
      <c r="AU188" s="45"/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7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59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0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59">
        <v>0</v>
      </c>
      <c r="BX188" s="59">
        <v>0</v>
      </c>
      <c r="BZ188" s="37">
        <v>0</v>
      </c>
      <c r="CA188" s="37">
        <v>0</v>
      </c>
      <c r="CB188" s="37">
        <v>360000</v>
      </c>
      <c r="CC188" s="37">
        <v>0</v>
      </c>
      <c r="CD188" s="37">
        <v>80000</v>
      </c>
      <c r="CE188" s="37">
        <v>32000</v>
      </c>
      <c r="CF188" s="37">
        <v>0</v>
      </c>
      <c r="CG188" s="59">
        <v>472000</v>
      </c>
      <c r="CH188" s="37">
        <v>4000</v>
      </c>
      <c r="CI188" s="37">
        <v>1375</v>
      </c>
      <c r="CJ188" s="37">
        <v>0</v>
      </c>
      <c r="CK188" s="37">
        <v>0</v>
      </c>
      <c r="CL188" s="37">
        <v>0</v>
      </c>
      <c r="CM188" s="37">
        <v>0</v>
      </c>
      <c r="CN188" s="59">
        <v>5375</v>
      </c>
      <c r="CO188" s="59">
        <v>477375</v>
      </c>
      <c r="CP188" s="58"/>
      <c r="CQ188" s="3">
        <v>477375</v>
      </c>
    </row>
    <row r="189" spans="1:95" customFormat="1" x14ac:dyDescent="0.2">
      <c r="A189" s="209">
        <v>43234</v>
      </c>
      <c r="B189" s="33" t="s">
        <v>55</v>
      </c>
      <c r="C189" s="33" t="s">
        <v>56</v>
      </c>
      <c r="D189" s="43">
        <v>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7">
        <v>0</v>
      </c>
      <c r="R189" s="37">
        <v>0</v>
      </c>
      <c r="S189" s="37">
        <v>0</v>
      </c>
      <c r="T189" s="37">
        <v>4000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59">
        <v>4000</v>
      </c>
      <c r="AH189" s="37">
        <v>0</v>
      </c>
      <c r="AI189" s="37">
        <v>0</v>
      </c>
      <c r="AJ189" s="37">
        <v>0</v>
      </c>
      <c r="AK189" s="37">
        <v>0</v>
      </c>
      <c r="AL189" s="37">
        <v>5</v>
      </c>
      <c r="AM189" s="37">
        <v>0</v>
      </c>
      <c r="AN189" s="37">
        <v>4</v>
      </c>
      <c r="AO189" s="37">
        <v>0</v>
      </c>
      <c r="AP189" s="37">
        <v>2</v>
      </c>
      <c r="AQ189" s="37">
        <v>0</v>
      </c>
      <c r="AR189" s="37">
        <v>0</v>
      </c>
      <c r="AS189" s="59">
        <v>11</v>
      </c>
      <c r="AT189" s="59">
        <v>4011</v>
      </c>
      <c r="AU189" s="45"/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59">
        <v>0</v>
      </c>
      <c r="BL189" s="37">
        <v>0</v>
      </c>
      <c r="BM189" s="37">
        <v>0</v>
      </c>
      <c r="BN189" s="37">
        <v>0</v>
      </c>
      <c r="BO189" s="37">
        <v>0</v>
      </c>
      <c r="BP189" s="37">
        <v>0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59">
        <v>0</v>
      </c>
      <c r="BX189" s="59">
        <v>0</v>
      </c>
      <c r="BZ189" s="37">
        <v>4000</v>
      </c>
      <c r="CA189" s="37">
        <v>0</v>
      </c>
      <c r="CB189" s="37">
        <v>0</v>
      </c>
      <c r="CC189" s="37">
        <v>0</v>
      </c>
      <c r="CD189" s="37">
        <v>0</v>
      </c>
      <c r="CE189" s="37">
        <v>0</v>
      </c>
      <c r="CF189" s="37">
        <v>0</v>
      </c>
      <c r="CG189" s="59">
        <v>4000</v>
      </c>
      <c r="CH189" s="37">
        <v>0</v>
      </c>
      <c r="CI189" s="37">
        <v>5</v>
      </c>
      <c r="CJ189" s="37">
        <v>4</v>
      </c>
      <c r="CK189" s="37">
        <v>2</v>
      </c>
      <c r="CL189" s="37">
        <v>0</v>
      </c>
      <c r="CM189" s="37">
        <v>0</v>
      </c>
      <c r="CN189" s="59">
        <v>11</v>
      </c>
      <c r="CO189" s="59">
        <v>4011</v>
      </c>
      <c r="CP189" s="58"/>
      <c r="CQ189" s="3">
        <v>4011</v>
      </c>
    </row>
    <row r="190" spans="1:95" customFormat="1" x14ac:dyDescent="0.2">
      <c r="A190" s="209">
        <v>43234</v>
      </c>
      <c r="B190" s="33" t="s">
        <v>77</v>
      </c>
      <c r="C190" s="33" t="s">
        <v>78</v>
      </c>
      <c r="D190" s="43">
        <v>0</v>
      </c>
      <c r="E190" s="43">
        <v>0</v>
      </c>
      <c r="F190" s="43">
        <v>0</v>
      </c>
      <c r="G190" s="43">
        <v>0</v>
      </c>
      <c r="H190" s="43">
        <v>0</v>
      </c>
      <c r="I190" s="43">
        <v>0</v>
      </c>
      <c r="J190" s="43">
        <v>0</v>
      </c>
      <c r="K190" s="43">
        <v>1</v>
      </c>
      <c r="L190" s="43">
        <v>0</v>
      </c>
      <c r="M190" s="43">
        <v>0</v>
      </c>
      <c r="N190" s="43">
        <v>0</v>
      </c>
      <c r="O190" s="43">
        <v>0</v>
      </c>
      <c r="P190" s="47" t="s">
        <v>45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200000</v>
      </c>
      <c r="X190" s="37">
        <v>40000</v>
      </c>
      <c r="Y190" s="37">
        <v>0</v>
      </c>
      <c r="Z190" s="37">
        <v>0</v>
      </c>
      <c r="AA190" s="37">
        <v>0</v>
      </c>
      <c r="AB190" s="37">
        <v>30000</v>
      </c>
      <c r="AC190" s="37">
        <v>0</v>
      </c>
      <c r="AD190" s="37">
        <v>60000</v>
      </c>
      <c r="AE190" s="37">
        <v>0</v>
      </c>
      <c r="AF190" s="37">
        <v>0</v>
      </c>
      <c r="AG190" s="59">
        <v>330000</v>
      </c>
      <c r="AH190" s="37">
        <v>0</v>
      </c>
      <c r="AI190" s="37">
        <v>2000</v>
      </c>
      <c r="AJ190" s="37">
        <v>0</v>
      </c>
      <c r="AK190" s="37">
        <v>0</v>
      </c>
      <c r="AL190" s="37">
        <v>1000</v>
      </c>
      <c r="AM190" s="37">
        <v>0</v>
      </c>
      <c r="AN190" s="37">
        <v>0</v>
      </c>
      <c r="AO190" s="37">
        <v>0</v>
      </c>
      <c r="AP190" s="37">
        <v>100</v>
      </c>
      <c r="AQ190" s="37">
        <v>0</v>
      </c>
      <c r="AR190" s="37">
        <v>0</v>
      </c>
      <c r="AS190" s="59">
        <v>3100</v>
      </c>
      <c r="AT190" s="59">
        <v>333100</v>
      </c>
      <c r="AU190" s="45"/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59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0</v>
      </c>
      <c r="BQ190" s="37">
        <v>0</v>
      </c>
      <c r="BR190" s="37">
        <v>0</v>
      </c>
      <c r="BS190" s="37">
        <v>0</v>
      </c>
      <c r="BT190" s="37">
        <v>0</v>
      </c>
      <c r="BU190" s="37">
        <v>0</v>
      </c>
      <c r="BV190" s="37">
        <v>0</v>
      </c>
      <c r="BW190" s="59">
        <v>0</v>
      </c>
      <c r="BX190" s="59">
        <v>0</v>
      </c>
      <c r="BZ190" s="37">
        <v>0</v>
      </c>
      <c r="CA190" s="37">
        <v>0</v>
      </c>
      <c r="CB190" s="37">
        <v>240000</v>
      </c>
      <c r="CC190" s="37">
        <v>0</v>
      </c>
      <c r="CD190" s="37">
        <v>30000</v>
      </c>
      <c r="CE190" s="37">
        <v>60000</v>
      </c>
      <c r="CF190" s="37">
        <v>0</v>
      </c>
      <c r="CG190" s="59">
        <v>330000</v>
      </c>
      <c r="CH190" s="37">
        <v>2000</v>
      </c>
      <c r="CI190" s="37">
        <v>1000</v>
      </c>
      <c r="CJ190" s="37">
        <v>0</v>
      </c>
      <c r="CK190" s="37">
        <v>100</v>
      </c>
      <c r="CL190" s="37">
        <v>0</v>
      </c>
      <c r="CM190" s="37">
        <v>0</v>
      </c>
      <c r="CN190" s="59">
        <v>3100</v>
      </c>
      <c r="CO190" s="59">
        <v>333100</v>
      </c>
      <c r="CP190" s="58"/>
      <c r="CQ190" s="3">
        <v>333100</v>
      </c>
    </row>
    <row r="191" spans="1:95" customFormat="1" x14ac:dyDescent="0.2">
      <c r="A191" s="209">
        <v>43234</v>
      </c>
      <c r="B191" s="33" t="s">
        <v>83</v>
      </c>
      <c r="C191" s="33" t="s">
        <v>76</v>
      </c>
      <c r="D191" s="43">
        <v>0</v>
      </c>
      <c r="E191" s="43">
        <v>1</v>
      </c>
      <c r="F191" s="43">
        <v>0</v>
      </c>
      <c r="G191" s="43">
        <v>0</v>
      </c>
      <c r="H191" s="43">
        <v>0</v>
      </c>
      <c r="I191" s="43">
        <v>0</v>
      </c>
      <c r="J191" s="43">
        <v>0</v>
      </c>
      <c r="K191" s="43">
        <v>0</v>
      </c>
      <c r="L191" s="43">
        <v>0</v>
      </c>
      <c r="M191" s="43">
        <v>0</v>
      </c>
      <c r="N191" s="43">
        <v>0</v>
      </c>
      <c r="O191" s="43">
        <v>0</v>
      </c>
      <c r="P191" s="47" t="s">
        <v>45</v>
      </c>
      <c r="R191" s="37">
        <v>0</v>
      </c>
      <c r="S191" s="37">
        <v>0</v>
      </c>
      <c r="T191" s="37">
        <v>200000</v>
      </c>
      <c r="U191" s="37">
        <v>0</v>
      </c>
      <c r="V191" s="37">
        <v>100000</v>
      </c>
      <c r="W191" s="37">
        <v>0</v>
      </c>
      <c r="X191" s="37">
        <v>120000</v>
      </c>
      <c r="Y191" s="37">
        <v>0</v>
      </c>
      <c r="Z191" s="37">
        <v>0</v>
      </c>
      <c r="AA191" s="37">
        <v>0</v>
      </c>
      <c r="AB191" s="37">
        <v>20000</v>
      </c>
      <c r="AC191" s="37">
        <v>0</v>
      </c>
      <c r="AD191" s="37">
        <v>0</v>
      </c>
      <c r="AE191" s="37">
        <v>0</v>
      </c>
      <c r="AF191" s="37">
        <v>0</v>
      </c>
      <c r="AG191" s="59">
        <v>440000</v>
      </c>
      <c r="AH191" s="37">
        <v>0</v>
      </c>
      <c r="AI191" s="37">
        <v>0</v>
      </c>
      <c r="AJ191" s="37">
        <v>0</v>
      </c>
      <c r="AK191" s="37">
        <v>0</v>
      </c>
      <c r="AL191" s="37">
        <v>500</v>
      </c>
      <c r="AM191" s="37">
        <v>0</v>
      </c>
      <c r="AN191" s="37">
        <v>0</v>
      </c>
      <c r="AO191" s="37">
        <v>0</v>
      </c>
      <c r="AP191" s="37">
        <v>100</v>
      </c>
      <c r="AQ191" s="37">
        <v>0</v>
      </c>
      <c r="AR191" s="37">
        <v>0</v>
      </c>
      <c r="AS191" s="59">
        <v>600</v>
      </c>
      <c r="AT191" s="59">
        <v>440600</v>
      </c>
      <c r="AU191" s="45"/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59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59">
        <v>0</v>
      </c>
      <c r="BX191" s="59">
        <v>0</v>
      </c>
      <c r="BZ191" s="37">
        <v>200000</v>
      </c>
      <c r="CA191" s="37">
        <v>100000</v>
      </c>
      <c r="CB191" s="37">
        <v>120000</v>
      </c>
      <c r="CC191" s="37">
        <v>0</v>
      </c>
      <c r="CD191" s="37">
        <v>20000</v>
      </c>
      <c r="CE191" s="37">
        <v>0</v>
      </c>
      <c r="CF191" s="37">
        <v>0</v>
      </c>
      <c r="CG191" s="59">
        <v>440000</v>
      </c>
      <c r="CH191" s="37">
        <v>0</v>
      </c>
      <c r="CI191" s="37">
        <v>500</v>
      </c>
      <c r="CJ191" s="37">
        <v>0</v>
      </c>
      <c r="CK191" s="37">
        <v>100</v>
      </c>
      <c r="CL191" s="37">
        <v>0</v>
      </c>
      <c r="CM191" s="37">
        <v>0</v>
      </c>
      <c r="CN191" s="59">
        <v>600</v>
      </c>
      <c r="CO191" s="59">
        <v>440600</v>
      </c>
      <c r="CP191" s="58"/>
      <c r="CQ191" s="3">
        <v>440600</v>
      </c>
    </row>
    <row r="192" spans="1:95" customFormat="1" x14ac:dyDescent="0.2">
      <c r="A192" s="209">
        <v>43234</v>
      </c>
      <c r="B192" s="33" t="s">
        <v>53</v>
      </c>
      <c r="C192" s="33" t="s">
        <v>54</v>
      </c>
      <c r="D192" s="43">
        <v>1</v>
      </c>
      <c r="E192" s="43">
        <v>0</v>
      </c>
      <c r="F192" s="43">
        <v>0</v>
      </c>
      <c r="G192" s="43">
        <v>0</v>
      </c>
      <c r="H192" s="43">
        <v>0</v>
      </c>
      <c r="I192" s="43">
        <v>0</v>
      </c>
      <c r="J192" s="43">
        <v>0</v>
      </c>
      <c r="K192" s="43">
        <v>0</v>
      </c>
      <c r="L192" s="43">
        <v>0</v>
      </c>
      <c r="M192" s="43">
        <v>0</v>
      </c>
      <c r="N192" s="43">
        <v>0</v>
      </c>
      <c r="O192" s="43">
        <v>0</v>
      </c>
      <c r="P192" s="47" t="s">
        <v>45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59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74</v>
      </c>
      <c r="AQ192" s="37">
        <v>0</v>
      </c>
      <c r="AR192" s="37">
        <v>0</v>
      </c>
      <c r="AS192" s="59">
        <v>74</v>
      </c>
      <c r="AT192" s="59">
        <v>74</v>
      </c>
      <c r="AU192" s="45"/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59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59">
        <v>0</v>
      </c>
      <c r="BX192" s="59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59">
        <v>0</v>
      </c>
      <c r="CH192" s="37">
        <v>0</v>
      </c>
      <c r="CI192" s="37">
        <v>0</v>
      </c>
      <c r="CJ192" s="37">
        <v>0</v>
      </c>
      <c r="CK192" s="37">
        <v>74</v>
      </c>
      <c r="CL192" s="37">
        <v>0</v>
      </c>
      <c r="CM192" s="37">
        <v>0</v>
      </c>
      <c r="CN192" s="59">
        <v>74</v>
      </c>
      <c r="CO192" s="59">
        <v>74</v>
      </c>
      <c r="CP192" s="58"/>
      <c r="CQ192" s="3">
        <v>74</v>
      </c>
    </row>
    <row r="193" spans="1:95" customFormat="1" x14ac:dyDescent="0.2">
      <c r="A193" s="209">
        <v>43235</v>
      </c>
      <c r="B193" s="33" t="s">
        <v>85</v>
      </c>
      <c r="C193" s="33" t="s">
        <v>76</v>
      </c>
      <c r="D193" s="43">
        <v>0</v>
      </c>
      <c r="E193" s="43">
        <v>0</v>
      </c>
      <c r="F193" s="43">
        <v>1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7" t="s">
        <v>67</v>
      </c>
      <c r="R193" s="37">
        <v>0</v>
      </c>
      <c r="S193" s="37">
        <v>0</v>
      </c>
      <c r="T193" s="37">
        <v>1000000</v>
      </c>
      <c r="U193" s="37">
        <v>0</v>
      </c>
      <c r="V193" s="37">
        <v>250000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59">
        <v>1250000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59">
        <v>0</v>
      </c>
      <c r="AT193" s="59">
        <v>1250000</v>
      </c>
      <c r="AU193" s="45"/>
      <c r="AV193" s="37">
        <v>0</v>
      </c>
      <c r="AW193" s="37">
        <v>0</v>
      </c>
      <c r="AX193" s="37">
        <v>0</v>
      </c>
      <c r="AY193" s="37">
        <v>0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59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0</v>
      </c>
      <c r="BQ193" s="37">
        <v>0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59">
        <v>0</v>
      </c>
      <c r="BX193" s="59">
        <v>0</v>
      </c>
      <c r="BZ193" s="37">
        <v>1000000</v>
      </c>
      <c r="CA193" s="37">
        <v>250000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59">
        <v>1250000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59">
        <v>0</v>
      </c>
      <c r="CO193" s="59">
        <v>1250000</v>
      </c>
      <c r="CP193" s="58"/>
      <c r="CQ193" s="3">
        <v>1250000</v>
      </c>
    </row>
    <row r="194" spans="1:95" customFormat="1" x14ac:dyDescent="0.2">
      <c r="A194" s="209">
        <v>43235</v>
      </c>
      <c r="B194" s="33" t="s">
        <v>60</v>
      </c>
      <c r="C194" s="33" t="s">
        <v>61</v>
      </c>
      <c r="D194" s="43">
        <v>0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1</v>
      </c>
      <c r="O194" s="43">
        <v>0</v>
      </c>
      <c r="P194" s="47" t="s">
        <v>45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68000</v>
      </c>
      <c r="X194" s="37">
        <v>12000</v>
      </c>
      <c r="Y194" s="37">
        <v>0</v>
      </c>
      <c r="Z194" s="37">
        <v>0</v>
      </c>
      <c r="AA194" s="37">
        <v>0</v>
      </c>
      <c r="AB194" s="37">
        <v>40000</v>
      </c>
      <c r="AC194" s="37">
        <v>0</v>
      </c>
      <c r="AD194" s="37">
        <v>48000</v>
      </c>
      <c r="AE194" s="37">
        <v>0</v>
      </c>
      <c r="AF194" s="37">
        <v>0</v>
      </c>
      <c r="AG194" s="59">
        <v>168000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200</v>
      </c>
      <c r="AO194" s="37">
        <v>0</v>
      </c>
      <c r="AP194" s="37">
        <v>100</v>
      </c>
      <c r="AQ194" s="37">
        <v>0</v>
      </c>
      <c r="AR194" s="37">
        <v>0</v>
      </c>
      <c r="AS194" s="59">
        <v>300</v>
      </c>
      <c r="AT194" s="59">
        <v>168300</v>
      </c>
      <c r="AU194" s="45"/>
      <c r="AV194" s="37">
        <v>0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59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0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59">
        <v>0</v>
      </c>
      <c r="BX194" s="59">
        <v>0</v>
      </c>
      <c r="BZ194" s="37">
        <v>0</v>
      </c>
      <c r="CA194" s="37">
        <v>0</v>
      </c>
      <c r="CB194" s="37">
        <v>80000</v>
      </c>
      <c r="CC194" s="37">
        <v>0</v>
      </c>
      <c r="CD194" s="37">
        <v>40000</v>
      </c>
      <c r="CE194" s="37">
        <v>48000</v>
      </c>
      <c r="CF194" s="37">
        <v>0</v>
      </c>
      <c r="CG194" s="59">
        <v>168000</v>
      </c>
      <c r="CH194" s="37">
        <v>0</v>
      </c>
      <c r="CI194" s="37">
        <v>0</v>
      </c>
      <c r="CJ194" s="37">
        <v>200</v>
      </c>
      <c r="CK194" s="37">
        <v>100</v>
      </c>
      <c r="CL194" s="37">
        <v>0</v>
      </c>
      <c r="CM194" s="37">
        <v>0</v>
      </c>
      <c r="CN194" s="59">
        <v>300</v>
      </c>
      <c r="CO194" s="59">
        <v>168300</v>
      </c>
      <c r="CP194" s="58"/>
      <c r="CQ194" s="3">
        <v>168300</v>
      </c>
    </row>
    <row r="195" spans="1:95" customFormat="1" x14ac:dyDescent="0.2">
      <c r="A195" s="209">
        <v>43235</v>
      </c>
      <c r="B195" s="33" t="s">
        <v>53</v>
      </c>
      <c r="C195" s="33" t="s">
        <v>54</v>
      </c>
      <c r="D195" s="43">
        <v>1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59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>
        <v>0</v>
      </c>
      <c r="AN195" s="37">
        <v>800</v>
      </c>
      <c r="AO195" s="37">
        <v>0</v>
      </c>
      <c r="AP195" s="37">
        <v>600</v>
      </c>
      <c r="AQ195" s="37">
        <v>0</v>
      </c>
      <c r="AR195" s="37">
        <v>0</v>
      </c>
      <c r="AS195" s="59">
        <v>1400</v>
      </c>
      <c r="AT195" s="59">
        <v>1400</v>
      </c>
      <c r="AU195" s="45"/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59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0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59">
        <v>0</v>
      </c>
      <c r="BX195" s="59"/>
      <c r="BZ195" s="37">
        <v>0</v>
      </c>
      <c r="CA195" s="37">
        <v>0</v>
      </c>
      <c r="CB195" s="37">
        <v>0</v>
      </c>
      <c r="CC195" s="37">
        <v>0</v>
      </c>
      <c r="CD195" s="37">
        <v>0</v>
      </c>
      <c r="CE195" s="37">
        <v>0</v>
      </c>
      <c r="CF195" s="37">
        <v>0</v>
      </c>
      <c r="CG195" s="59">
        <v>0</v>
      </c>
      <c r="CH195" s="37">
        <v>0</v>
      </c>
      <c r="CI195" s="37">
        <v>0</v>
      </c>
      <c r="CJ195" s="37">
        <v>800</v>
      </c>
      <c r="CK195" s="37">
        <v>600</v>
      </c>
      <c r="CL195" s="37">
        <v>0</v>
      </c>
      <c r="CM195" s="37">
        <v>0</v>
      </c>
      <c r="CN195" s="59">
        <v>1400</v>
      </c>
      <c r="CO195" s="59">
        <v>1400</v>
      </c>
      <c r="CP195" s="58"/>
      <c r="CQ195" s="3">
        <v>1400</v>
      </c>
    </row>
    <row r="196" spans="1:95" customFormat="1" x14ac:dyDescent="0.2">
      <c r="A196" s="209">
        <v>43236</v>
      </c>
      <c r="B196" s="33" t="s">
        <v>79</v>
      </c>
      <c r="C196" s="33" t="s">
        <v>76</v>
      </c>
      <c r="D196" s="43">
        <v>0</v>
      </c>
      <c r="E196" s="43">
        <v>1</v>
      </c>
      <c r="F196" s="43">
        <v>0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47" t="s">
        <v>88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40000</v>
      </c>
      <c r="AA196" s="37">
        <v>0</v>
      </c>
      <c r="AB196" s="37">
        <v>20000</v>
      </c>
      <c r="AC196" s="37">
        <v>0</v>
      </c>
      <c r="AD196" s="37">
        <v>8000</v>
      </c>
      <c r="AE196" s="37">
        <v>0</v>
      </c>
      <c r="AF196" s="37">
        <v>0</v>
      </c>
      <c r="AG196" s="59">
        <v>68000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59">
        <v>0</v>
      </c>
      <c r="AT196" s="59">
        <v>68000</v>
      </c>
      <c r="AU196" s="45"/>
      <c r="AV196" s="37">
        <v>0</v>
      </c>
      <c r="AW196" s="37">
        <v>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59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0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59">
        <v>0</v>
      </c>
      <c r="BX196" s="59">
        <v>0</v>
      </c>
      <c r="BZ196" s="37">
        <v>0</v>
      </c>
      <c r="CA196" s="37">
        <v>0</v>
      </c>
      <c r="CB196" s="37">
        <v>0</v>
      </c>
      <c r="CC196" s="37">
        <v>40000</v>
      </c>
      <c r="CD196" s="37">
        <v>20000</v>
      </c>
      <c r="CE196" s="37">
        <v>8000</v>
      </c>
      <c r="CF196" s="37">
        <v>0</v>
      </c>
      <c r="CG196" s="59">
        <v>68000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59">
        <v>0</v>
      </c>
      <c r="CO196" s="59">
        <v>68000</v>
      </c>
      <c r="CP196" s="58"/>
      <c r="CQ196" s="3">
        <v>68000</v>
      </c>
    </row>
    <row r="197" spans="1:95" customFormat="1" x14ac:dyDescent="0.2">
      <c r="A197" s="209">
        <v>43237</v>
      </c>
      <c r="B197" s="33" t="s">
        <v>85</v>
      </c>
      <c r="C197" s="33" t="s">
        <v>76</v>
      </c>
      <c r="D197" s="43">
        <v>0</v>
      </c>
      <c r="E197" s="43">
        <v>1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7" t="s">
        <v>45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40000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40000</v>
      </c>
      <c r="AE197" s="37">
        <v>0</v>
      </c>
      <c r="AF197" s="37">
        <v>0</v>
      </c>
      <c r="AG197" s="59">
        <v>80000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150</v>
      </c>
      <c r="AQ197" s="37">
        <v>0</v>
      </c>
      <c r="AR197" s="37">
        <v>0</v>
      </c>
      <c r="AS197" s="59">
        <v>150</v>
      </c>
      <c r="AT197" s="59">
        <v>80150</v>
      </c>
      <c r="AU197" s="45"/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59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0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59">
        <v>0</v>
      </c>
      <c r="BX197" s="59">
        <v>0</v>
      </c>
      <c r="BZ197" s="37">
        <v>0</v>
      </c>
      <c r="CA197" s="37">
        <v>0</v>
      </c>
      <c r="CB197" s="37">
        <v>40000</v>
      </c>
      <c r="CC197" s="37">
        <v>0</v>
      </c>
      <c r="CD197" s="37">
        <v>0</v>
      </c>
      <c r="CE197" s="37">
        <v>40000</v>
      </c>
      <c r="CF197" s="37">
        <v>0</v>
      </c>
      <c r="CG197" s="59">
        <v>80000</v>
      </c>
      <c r="CH197" s="37">
        <v>0</v>
      </c>
      <c r="CI197" s="37">
        <v>0</v>
      </c>
      <c r="CJ197" s="37">
        <v>0</v>
      </c>
      <c r="CK197" s="37">
        <v>150</v>
      </c>
      <c r="CL197" s="37">
        <v>0</v>
      </c>
      <c r="CM197" s="37">
        <v>0</v>
      </c>
      <c r="CN197" s="59">
        <v>150</v>
      </c>
      <c r="CO197" s="59">
        <v>80150</v>
      </c>
      <c r="CP197" s="58"/>
      <c r="CQ197" s="3">
        <v>80150</v>
      </c>
    </row>
    <row r="198" spans="1:95" customFormat="1" x14ac:dyDescent="0.2">
      <c r="A198" s="209">
        <v>43237</v>
      </c>
      <c r="B198" s="33" t="s">
        <v>70</v>
      </c>
      <c r="C198" s="33" t="s">
        <v>103</v>
      </c>
      <c r="D198" s="43">
        <v>0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  <c r="J198" s="43">
        <v>0</v>
      </c>
      <c r="K198" s="43">
        <v>0</v>
      </c>
      <c r="L198" s="43">
        <v>0</v>
      </c>
      <c r="M198" s="43">
        <v>0</v>
      </c>
      <c r="N198" s="43">
        <v>1</v>
      </c>
      <c r="O198" s="43">
        <v>0</v>
      </c>
      <c r="P198" s="47" t="s">
        <v>45</v>
      </c>
      <c r="R198" s="37">
        <v>0</v>
      </c>
      <c r="S198" s="37">
        <v>0</v>
      </c>
      <c r="T198" s="37">
        <v>1000000</v>
      </c>
      <c r="U198" s="37">
        <v>0</v>
      </c>
      <c r="V198" s="37">
        <v>250000</v>
      </c>
      <c r="W198" s="37">
        <v>0</v>
      </c>
      <c r="X198" s="37">
        <v>200000</v>
      </c>
      <c r="Y198" s="37">
        <v>0</v>
      </c>
      <c r="Z198" s="37">
        <v>100000</v>
      </c>
      <c r="AA198" s="37">
        <v>0</v>
      </c>
      <c r="AB198" s="37">
        <v>70000</v>
      </c>
      <c r="AC198" s="37">
        <v>0</v>
      </c>
      <c r="AD198" s="37">
        <v>0</v>
      </c>
      <c r="AE198" s="37">
        <v>0</v>
      </c>
      <c r="AF198" s="37">
        <v>0</v>
      </c>
      <c r="AG198" s="59">
        <v>1620000</v>
      </c>
      <c r="AH198" s="37">
        <v>0</v>
      </c>
      <c r="AI198" s="37">
        <v>1000</v>
      </c>
      <c r="AJ198" s="37">
        <v>0</v>
      </c>
      <c r="AK198" s="37">
        <v>0</v>
      </c>
      <c r="AL198" s="37">
        <v>625</v>
      </c>
      <c r="AM198" s="37">
        <v>0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59">
        <v>1625</v>
      </c>
      <c r="AT198" s="59">
        <v>1621625</v>
      </c>
      <c r="AU198" s="45"/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59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0</v>
      </c>
      <c r="BQ198" s="37">
        <v>0</v>
      </c>
      <c r="BR198" s="37">
        <v>0</v>
      </c>
      <c r="BS198" s="37">
        <v>0</v>
      </c>
      <c r="BT198" s="37">
        <v>0</v>
      </c>
      <c r="BU198" s="37">
        <v>0</v>
      </c>
      <c r="BV198" s="37">
        <v>0</v>
      </c>
      <c r="BW198" s="59">
        <v>0</v>
      </c>
      <c r="BX198" s="59">
        <v>0</v>
      </c>
      <c r="BZ198" s="37">
        <v>1000000</v>
      </c>
      <c r="CA198" s="37">
        <v>250000</v>
      </c>
      <c r="CB198" s="37">
        <v>200000</v>
      </c>
      <c r="CC198" s="37">
        <v>100000</v>
      </c>
      <c r="CD198" s="37">
        <v>70000</v>
      </c>
      <c r="CE198" s="37">
        <v>0</v>
      </c>
      <c r="CF198" s="37">
        <v>0</v>
      </c>
      <c r="CG198" s="59">
        <v>1620000</v>
      </c>
      <c r="CH198" s="37">
        <v>1000</v>
      </c>
      <c r="CI198" s="37">
        <v>625</v>
      </c>
      <c r="CJ198" s="37">
        <v>0</v>
      </c>
      <c r="CK198" s="37">
        <v>0</v>
      </c>
      <c r="CL198" s="37">
        <v>0</v>
      </c>
      <c r="CM198" s="37">
        <v>0</v>
      </c>
      <c r="CN198" s="59">
        <v>1625</v>
      </c>
      <c r="CO198" s="59">
        <v>1621625</v>
      </c>
      <c r="CP198" s="58"/>
      <c r="CQ198" s="3">
        <v>1621625</v>
      </c>
    </row>
    <row r="199" spans="1:95" customFormat="1" x14ac:dyDescent="0.2">
      <c r="A199" s="209">
        <v>43238</v>
      </c>
      <c r="B199" s="33" t="s">
        <v>53</v>
      </c>
      <c r="C199" s="33" t="s">
        <v>54</v>
      </c>
      <c r="D199" s="43">
        <v>1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  <c r="J199" s="43">
        <v>0</v>
      </c>
      <c r="K199" s="43">
        <v>0</v>
      </c>
      <c r="L199" s="43">
        <v>0</v>
      </c>
      <c r="M199" s="43">
        <v>0</v>
      </c>
      <c r="N199" s="43">
        <v>0</v>
      </c>
      <c r="O199" s="43">
        <v>0</v>
      </c>
      <c r="P199" s="47" t="s">
        <v>45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59">
        <v>0</v>
      </c>
      <c r="AH199" s="37">
        <v>0</v>
      </c>
      <c r="AI199" s="37">
        <v>3750</v>
      </c>
      <c r="AJ199" s="37">
        <v>0</v>
      </c>
      <c r="AK199" s="37">
        <v>0</v>
      </c>
      <c r="AL199" s="37">
        <v>1250</v>
      </c>
      <c r="AM199" s="37">
        <v>0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59">
        <v>5000</v>
      </c>
      <c r="AT199" s="59">
        <v>5000</v>
      </c>
      <c r="AU199" s="45"/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59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0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59">
        <v>0</v>
      </c>
      <c r="BX199" s="59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7">
        <v>0</v>
      </c>
      <c r="CF199" s="37">
        <v>0</v>
      </c>
      <c r="CG199" s="59">
        <v>0</v>
      </c>
      <c r="CH199" s="37">
        <v>3750</v>
      </c>
      <c r="CI199" s="37">
        <v>1250</v>
      </c>
      <c r="CJ199" s="37">
        <v>0</v>
      </c>
      <c r="CK199" s="37">
        <v>0</v>
      </c>
      <c r="CL199" s="37">
        <v>0</v>
      </c>
      <c r="CM199" s="37">
        <v>0</v>
      </c>
      <c r="CN199" s="59">
        <v>5000</v>
      </c>
      <c r="CO199" s="59">
        <v>5000</v>
      </c>
      <c r="CP199" s="58"/>
      <c r="CQ199" s="3">
        <v>5000</v>
      </c>
    </row>
    <row r="200" spans="1:95" customFormat="1" x14ac:dyDescent="0.2">
      <c r="A200" s="209">
        <v>43238</v>
      </c>
      <c r="B200" s="33" t="s">
        <v>83</v>
      </c>
      <c r="C200" s="33" t="s">
        <v>76</v>
      </c>
      <c r="D200" s="43">
        <v>0</v>
      </c>
      <c r="E200" s="43">
        <v>1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0</v>
      </c>
      <c r="P200" s="47" t="s">
        <v>88</v>
      </c>
      <c r="R200" s="37">
        <v>0</v>
      </c>
      <c r="S200" s="37">
        <v>0</v>
      </c>
      <c r="T200" s="37">
        <v>1390000</v>
      </c>
      <c r="U200" s="37">
        <v>0</v>
      </c>
      <c r="V200" s="37">
        <v>40000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59">
        <v>1430000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200</v>
      </c>
      <c r="AO200" s="37">
        <v>0</v>
      </c>
      <c r="AP200" s="37">
        <v>0</v>
      </c>
      <c r="AQ200" s="37">
        <v>0</v>
      </c>
      <c r="AR200" s="37">
        <v>0</v>
      </c>
      <c r="AS200" s="59">
        <v>200</v>
      </c>
      <c r="AT200" s="59">
        <v>1430200</v>
      </c>
      <c r="AU200" s="45"/>
      <c r="AV200" s="37">
        <v>0</v>
      </c>
      <c r="AW200" s="37">
        <v>0</v>
      </c>
      <c r="AX200" s="37">
        <v>0</v>
      </c>
      <c r="AY200" s="37">
        <v>0</v>
      </c>
      <c r="AZ200" s="37">
        <v>0</v>
      </c>
      <c r="BA200" s="37">
        <v>0</v>
      </c>
      <c r="BB200" s="37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59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0</v>
      </c>
      <c r="BQ200" s="37">
        <v>0</v>
      </c>
      <c r="BR200" s="37">
        <v>0</v>
      </c>
      <c r="BS200" s="37">
        <v>0</v>
      </c>
      <c r="BT200" s="37">
        <v>0</v>
      </c>
      <c r="BU200" s="37">
        <v>0</v>
      </c>
      <c r="BV200" s="37">
        <v>0</v>
      </c>
      <c r="BW200" s="59">
        <v>0</v>
      </c>
      <c r="BX200" s="59">
        <v>0</v>
      </c>
      <c r="BZ200" s="37">
        <v>1390000</v>
      </c>
      <c r="CA200" s="37">
        <v>40000</v>
      </c>
      <c r="CB200" s="37">
        <v>0</v>
      </c>
      <c r="CC200" s="37">
        <v>0</v>
      </c>
      <c r="CD200" s="37">
        <v>0</v>
      </c>
      <c r="CE200" s="37">
        <v>0</v>
      </c>
      <c r="CF200" s="37">
        <v>0</v>
      </c>
      <c r="CG200" s="59">
        <v>1430000</v>
      </c>
      <c r="CH200" s="37">
        <v>0</v>
      </c>
      <c r="CI200" s="37">
        <v>0</v>
      </c>
      <c r="CJ200" s="37">
        <v>200</v>
      </c>
      <c r="CK200" s="37">
        <v>0</v>
      </c>
      <c r="CL200" s="37">
        <v>0</v>
      </c>
      <c r="CM200" s="37">
        <v>0</v>
      </c>
      <c r="CN200" s="59">
        <v>200</v>
      </c>
      <c r="CO200" s="59">
        <v>1430200</v>
      </c>
      <c r="CP200" s="58"/>
      <c r="CQ200" s="3">
        <v>1430200</v>
      </c>
    </row>
    <row r="201" spans="1:95" customFormat="1" x14ac:dyDescent="0.2">
      <c r="A201" s="209">
        <v>43238</v>
      </c>
      <c r="B201" s="33" t="s">
        <v>72</v>
      </c>
      <c r="C201" s="33" t="s">
        <v>112</v>
      </c>
      <c r="D201" s="43">
        <v>0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  <c r="J201" s="43">
        <v>0</v>
      </c>
      <c r="K201" s="43">
        <v>0</v>
      </c>
      <c r="L201" s="43">
        <v>0</v>
      </c>
      <c r="M201" s="43">
        <v>0</v>
      </c>
      <c r="N201" s="43">
        <v>1</v>
      </c>
      <c r="O201" s="43">
        <v>0</v>
      </c>
      <c r="P201" s="47" t="s">
        <v>67</v>
      </c>
      <c r="R201" s="37">
        <v>0</v>
      </c>
      <c r="S201" s="37">
        <v>0</v>
      </c>
      <c r="T201" s="37">
        <v>1220000</v>
      </c>
      <c r="U201" s="37">
        <v>0</v>
      </c>
      <c r="V201" s="37">
        <v>180000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59">
        <v>1400000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59">
        <v>0</v>
      </c>
      <c r="AT201" s="59">
        <v>1400000</v>
      </c>
      <c r="AU201" s="45"/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59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0</v>
      </c>
      <c r="BQ201" s="37">
        <v>0</v>
      </c>
      <c r="BR201" s="37">
        <v>0</v>
      </c>
      <c r="BS201" s="37">
        <v>0</v>
      </c>
      <c r="BT201" s="37">
        <v>0</v>
      </c>
      <c r="BU201" s="37">
        <v>0</v>
      </c>
      <c r="BV201" s="37">
        <v>0</v>
      </c>
      <c r="BW201" s="59">
        <v>0</v>
      </c>
      <c r="BX201" s="59">
        <v>0</v>
      </c>
      <c r="BZ201" s="37">
        <v>1220000</v>
      </c>
      <c r="CA201" s="37">
        <v>180000</v>
      </c>
      <c r="CB201" s="37">
        <v>0</v>
      </c>
      <c r="CC201" s="37">
        <v>0</v>
      </c>
      <c r="CD201" s="37">
        <v>0</v>
      </c>
      <c r="CE201" s="37">
        <v>0</v>
      </c>
      <c r="CF201" s="37">
        <v>0</v>
      </c>
      <c r="CG201" s="59">
        <v>1400000</v>
      </c>
      <c r="CH201" s="37">
        <v>0</v>
      </c>
      <c r="CI201" s="37">
        <v>0</v>
      </c>
      <c r="CJ201" s="37">
        <v>0</v>
      </c>
      <c r="CK201" s="37">
        <v>0</v>
      </c>
      <c r="CL201" s="37">
        <v>0</v>
      </c>
      <c r="CM201" s="37">
        <v>0</v>
      </c>
      <c r="CN201" s="59">
        <v>0</v>
      </c>
      <c r="CO201" s="59">
        <v>1400000</v>
      </c>
      <c r="CP201" s="58"/>
      <c r="CQ201" s="3">
        <v>1400000</v>
      </c>
    </row>
    <row r="202" spans="1:95" customFormat="1" x14ac:dyDescent="0.2">
      <c r="A202" s="209">
        <v>43238</v>
      </c>
      <c r="B202" s="33" t="s">
        <v>66</v>
      </c>
      <c r="C202" s="33" t="s">
        <v>113</v>
      </c>
      <c r="D202" s="43">
        <v>0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1</v>
      </c>
      <c r="L202" s="43">
        <v>0</v>
      </c>
      <c r="M202" s="43">
        <v>0</v>
      </c>
      <c r="N202" s="43">
        <v>0</v>
      </c>
      <c r="O202" s="43">
        <v>0</v>
      </c>
      <c r="P202" s="47" t="s">
        <v>45</v>
      </c>
      <c r="R202" s="37">
        <v>0</v>
      </c>
      <c r="S202" s="37">
        <v>0</v>
      </c>
      <c r="T202" s="37">
        <v>1200000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20000</v>
      </c>
      <c r="AC202" s="37">
        <v>0</v>
      </c>
      <c r="AD202" s="37">
        <v>12000</v>
      </c>
      <c r="AE202" s="37">
        <v>0</v>
      </c>
      <c r="AF202" s="37">
        <v>0</v>
      </c>
      <c r="AG202" s="59">
        <v>1232000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59">
        <v>0</v>
      </c>
      <c r="AT202" s="59">
        <v>1232000</v>
      </c>
      <c r="AU202" s="45"/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59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59">
        <v>0</v>
      </c>
      <c r="BX202" s="59">
        <v>0</v>
      </c>
      <c r="BZ202" s="37">
        <v>1200000</v>
      </c>
      <c r="CA202" s="37">
        <v>0</v>
      </c>
      <c r="CB202" s="37">
        <v>0</v>
      </c>
      <c r="CC202" s="37">
        <v>0</v>
      </c>
      <c r="CD202" s="37">
        <v>20000</v>
      </c>
      <c r="CE202" s="37">
        <v>12000</v>
      </c>
      <c r="CF202" s="37">
        <v>0</v>
      </c>
      <c r="CG202" s="59">
        <v>1232000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59">
        <v>0</v>
      </c>
      <c r="CO202" s="59">
        <v>1232000</v>
      </c>
      <c r="CP202" s="58"/>
      <c r="CQ202" s="3">
        <v>1232000</v>
      </c>
    </row>
    <row r="203" spans="1:95" customFormat="1" x14ac:dyDescent="0.2">
      <c r="A203" s="209">
        <v>43238</v>
      </c>
      <c r="B203" s="33" t="s">
        <v>58</v>
      </c>
      <c r="C203" s="33" t="s">
        <v>114</v>
      </c>
      <c r="D203" s="43">
        <v>0</v>
      </c>
      <c r="E203" s="43">
        <v>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1</v>
      </c>
      <c r="L203" s="43">
        <v>0</v>
      </c>
      <c r="M203" s="43">
        <v>0</v>
      </c>
      <c r="N203" s="43">
        <v>0</v>
      </c>
      <c r="O203" s="43">
        <v>0</v>
      </c>
      <c r="P203" s="47" t="s">
        <v>45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160000</v>
      </c>
      <c r="Y203" s="37">
        <v>0</v>
      </c>
      <c r="Z203" s="37">
        <v>0</v>
      </c>
      <c r="AA203" s="37">
        <v>0</v>
      </c>
      <c r="AB203" s="37">
        <v>50000</v>
      </c>
      <c r="AC203" s="37">
        <v>0</v>
      </c>
      <c r="AD203" s="37">
        <v>16000</v>
      </c>
      <c r="AE203" s="37">
        <v>0</v>
      </c>
      <c r="AF203" s="37">
        <v>0</v>
      </c>
      <c r="AG203" s="59">
        <v>226000</v>
      </c>
      <c r="AH203" s="37">
        <v>0</v>
      </c>
      <c r="AI203" s="37">
        <v>1500</v>
      </c>
      <c r="AJ203" s="37">
        <v>0</v>
      </c>
      <c r="AK203" s="37">
        <v>0</v>
      </c>
      <c r="AL203" s="37">
        <v>1000</v>
      </c>
      <c r="AM203" s="37">
        <v>0</v>
      </c>
      <c r="AN203" s="37">
        <v>200</v>
      </c>
      <c r="AO203" s="37">
        <v>0</v>
      </c>
      <c r="AP203" s="37">
        <v>100</v>
      </c>
      <c r="AQ203" s="37">
        <v>0</v>
      </c>
      <c r="AR203" s="37">
        <v>0</v>
      </c>
      <c r="AS203" s="59">
        <v>2800</v>
      </c>
      <c r="AT203" s="59">
        <v>228800</v>
      </c>
      <c r="AU203" s="45"/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37">
        <v>0</v>
      </c>
      <c r="BD203" s="37">
        <v>0</v>
      </c>
      <c r="BE203" s="37">
        <v>0</v>
      </c>
      <c r="BF203" s="37">
        <v>0</v>
      </c>
      <c r="BG203" s="37">
        <v>0</v>
      </c>
      <c r="BH203" s="37">
        <v>0</v>
      </c>
      <c r="BI203" s="37">
        <v>0</v>
      </c>
      <c r="BJ203" s="37">
        <v>0</v>
      </c>
      <c r="BK203" s="59">
        <v>0</v>
      </c>
      <c r="BL203" s="37">
        <v>0</v>
      </c>
      <c r="BM203" s="37">
        <v>0</v>
      </c>
      <c r="BN203" s="37">
        <v>0</v>
      </c>
      <c r="BO203" s="37">
        <v>0</v>
      </c>
      <c r="BP203" s="37">
        <v>0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59">
        <v>0</v>
      </c>
      <c r="BX203" s="59">
        <v>0</v>
      </c>
      <c r="BZ203" s="37">
        <v>0</v>
      </c>
      <c r="CA203" s="37">
        <v>0</v>
      </c>
      <c r="CB203" s="37">
        <v>160000</v>
      </c>
      <c r="CC203" s="37">
        <v>0</v>
      </c>
      <c r="CD203" s="37">
        <v>50000</v>
      </c>
      <c r="CE203" s="37">
        <v>16000</v>
      </c>
      <c r="CF203" s="37">
        <v>0</v>
      </c>
      <c r="CG203" s="59">
        <v>226000</v>
      </c>
      <c r="CH203" s="37">
        <v>1500</v>
      </c>
      <c r="CI203" s="37">
        <v>1000</v>
      </c>
      <c r="CJ203" s="37">
        <v>200</v>
      </c>
      <c r="CK203" s="37">
        <v>100</v>
      </c>
      <c r="CL203" s="37">
        <v>0</v>
      </c>
      <c r="CM203" s="37">
        <v>0</v>
      </c>
      <c r="CN203" s="59">
        <v>2800</v>
      </c>
      <c r="CO203" s="59">
        <v>228800</v>
      </c>
      <c r="CP203" s="58"/>
      <c r="CQ203" s="3">
        <v>228800</v>
      </c>
    </row>
    <row r="204" spans="1:95" customFormat="1" x14ac:dyDescent="0.2">
      <c r="A204" s="209">
        <v>0</v>
      </c>
      <c r="B204" s="33">
        <v>0</v>
      </c>
      <c r="C204" s="33">
        <v>0</v>
      </c>
      <c r="D204" s="43">
        <v>0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0</v>
      </c>
      <c r="N204" s="43">
        <v>0</v>
      </c>
      <c r="O204" s="43">
        <v>0</v>
      </c>
      <c r="P204" s="4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59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59">
        <v>0</v>
      </c>
      <c r="AT204" s="59">
        <v>0</v>
      </c>
      <c r="AU204" s="45"/>
      <c r="AV204" s="37">
        <v>0</v>
      </c>
      <c r="AW204" s="37">
        <v>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59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0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59">
        <v>0</v>
      </c>
      <c r="BX204" s="59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7">
        <v>0</v>
      </c>
      <c r="CF204" s="37">
        <v>0</v>
      </c>
      <c r="CG204" s="59">
        <v>0</v>
      </c>
      <c r="CH204" s="37">
        <v>0</v>
      </c>
      <c r="CI204" s="37">
        <v>0</v>
      </c>
      <c r="CJ204" s="37">
        <v>0</v>
      </c>
      <c r="CK204" s="37">
        <v>0</v>
      </c>
      <c r="CL204" s="37">
        <v>0</v>
      </c>
      <c r="CM204" s="37">
        <v>0</v>
      </c>
      <c r="CN204" s="59">
        <v>0</v>
      </c>
      <c r="CO204" s="59">
        <v>0</v>
      </c>
      <c r="CP204" s="58"/>
      <c r="CQ204" s="3">
        <v>0</v>
      </c>
    </row>
    <row r="205" spans="1:95" customFormat="1" x14ac:dyDescent="0.2">
      <c r="A205" s="209">
        <v>43241</v>
      </c>
      <c r="B205" s="33" t="s">
        <v>55</v>
      </c>
      <c r="C205" s="33" t="s">
        <v>56</v>
      </c>
      <c r="D205" s="43">
        <v>0</v>
      </c>
      <c r="E205" s="43">
        <v>0</v>
      </c>
      <c r="F205" s="43">
        <v>0</v>
      </c>
      <c r="G205" s="43">
        <v>0</v>
      </c>
      <c r="H205" s="43">
        <v>0</v>
      </c>
      <c r="I205" s="43">
        <v>0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0</v>
      </c>
      <c r="P205" s="47">
        <v>0</v>
      </c>
      <c r="R205" s="37">
        <v>0</v>
      </c>
      <c r="S205" s="37">
        <v>0</v>
      </c>
      <c r="T205" s="37">
        <v>4000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59">
        <v>4000</v>
      </c>
      <c r="AH205" s="37">
        <v>0</v>
      </c>
      <c r="AI205" s="37">
        <v>0</v>
      </c>
      <c r="AJ205" s="37">
        <v>0</v>
      </c>
      <c r="AK205" s="37">
        <v>0</v>
      </c>
      <c r="AL205" s="37">
        <v>5</v>
      </c>
      <c r="AM205" s="37">
        <v>0</v>
      </c>
      <c r="AN205" s="37">
        <v>0</v>
      </c>
      <c r="AO205" s="37">
        <v>0</v>
      </c>
      <c r="AP205" s="37">
        <v>2</v>
      </c>
      <c r="AQ205" s="37">
        <v>0</v>
      </c>
      <c r="AR205" s="37">
        <v>0</v>
      </c>
      <c r="AS205" s="59">
        <v>7</v>
      </c>
      <c r="AT205" s="59">
        <v>4007</v>
      </c>
      <c r="AU205" s="45"/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0</v>
      </c>
      <c r="BB205" s="37">
        <v>0</v>
      </c>
      <c r="BC205" s="37">
        <v>0</v>
      </c>
      <c r="BD205" s="37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59">
        <v>0</v>
      </c>
      <c r="BL205" s="37">
        <v>0</v>
      </c>
      <c r="BM205" s="37">
        <v>0</v>
      </c>
      <c r="BN205" s="37">
        <v>0</v>
      </c>
      <c r="BO205" s="37">
        <v>0</v>
      </c>
      <c r="BP205" s="37">
        <v>0</v>
      </c>
      <c r="BQ205" s="37">
        <v>0</v>
      </c>
      <c r="BR205" s="37">
        <v>0</v>
      </c>
      <c r="BS205" s="37">
        <v>0</v>
      </c>
      <c r="BT205" s="37">
        <v>0</v>
      </c>
      <c r="BU205" s="37">
        <v>0</v>
      </c>
      <c r="BV205" s="37">
        <v>0</v>
      </c>
      <c r="BW205" s="59">
        <v>0</v>
      </c>
      <c r="BX205" s="59">
        <v>0</v>
      </c>
      <c r="BZ205" s="37">
        <v>4000</v>
      </c>
      <c r="CA205" s="37">
        <v>0</v>
      </c>
      <c r="CB205" s="37">
        <v>0</v>
      </c>
      <c r="CC205" s="37">
        <v>0</v>
      </c>
      <c r="CD205" s="37">
        <v>0</v>
      </c>
      <c r="CE205" s="37">
        <v>0</v>
      </c>
      <c r="CF205" s="37">
        <v>0</v>
      </c>
      <c r="CG205" s="59">
        <v>4000</v>
      </c>
      <c r="CH205" s="37">
        <v>0</v>
      </c>
      <c r="CI205" s="37">
        <v>5</v>
      </c>
      <c r="CJ205" s="37">
        <v>0</v>
      </c>
      <c r="CK205" s="37">
        <v>2</v>
      </c>
      <c r="CL205" s="37">
        <v>0</v>
      </c>
      <c r="CM205" s="37">
        <v>0</v>
      </c>
      <c r="CN205" s="59">
        <v>7</v>
      </c>
      <c r="CO205" s="59">
        <v>4007</v>
      </c>
      <c r="CP205" s="58"/>
      <c r="CQ205" s="3">
        <v>4007</v>
      </c>
    </row>
    <row r="206" spans="1:95" customFormat="1" x14ac:dyDescent="0.2">
      <c r="A206" s="209">
        <v>43241</v>
      </c>
      <c r="B206" s="33" t="s">
        <v>53</v>
      </c>
      <c r="C206" s="33" t="s">
        <v>57</v>
      </c>
      <c r="D206" s="43">
        <v>0</v>
      </c>
      <c r="E206" s="43">
        <v>0</v>
      </c>
      <c r="F206" s="43">
        <v>0</v>
      </c>
      <c r="G206" s="43">
        <v>0</v>
      </c>
      <c r="H206" s="43">
        <v>0</v>
      </c>
      <c r="I206" s="43">
        <v>0</v>
      </c>
      <c r="J206" s="43">
        <v>0</v>
      </c>
      <c r="K206" s="43">
        <v>0</v>
      </c>
      <c r="L206" s="43">
        <v>0</v>
      </c>
      <c r="M206" s="43">
        <v>0</v>
      </c>
      <c r="N206" s="43">
        <v>0</v>
      </c>
      <c r="O206" s="43">
        <v>0</v>
      </c>
      <c r="P206" s="47">
        <v>0</v>
      </c>
      <c r="R206" s="37">
        <v>0</v>
      </c>
      <c r="S206" s="37">
        <v>0</v>
      </c>
      <c r="T206" s="37">
        <v>8000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200</v>
      </c>
      <c r="AC206" s="37">
        <v>0</v>
      </c>
      <c r="AD206" s="37">
        <v>0</v>
      </c>
      <c r="AE206" s="37">
        <v>0</v>
      </c>
      <c r="AF206" s="37">
        <v>0</v>
      </c>
      <c r="AG206" s="59">
        <v>8200</v>
      </c>
      <c r="AH206" s="37">
        <v>0</v>
      </c>
      <c r="AI206" s="37">
        <v>0</v>
      </c>
      <c r="AJ206" s="37">
        <v>0</v>
      </c>
      <c r="AK206" s="37">
        <v>0</v>
      </c>
      <c r="AL206" s="37">
        <v>20</v>
      </c>
      <c r="AM206" s="37">
        <v>0</v>
      </c>
      <c r="AN206" s="37">
        <v>16</v>
      </c>
      <c r="AO206" s="37">
        <v>0</v>
      </c>
      <c r="AP206" s="37">
        <v>8</v>
      </c>
      <c r="AQ206" s="37">
        <v>0</v>
      </c>
      <c r="AR206" s="37">
        <v>0</v>
      </c>
      <c r="AS206" s="59">
        <v>44</v>
      </c>
      <c r="AT206" s="59">
        <v>8244</v>
      </c>
      <c r="AU206" s="45"/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0</v>
      </c>
      <c r="BC206" s="37">
        <v>0</v>
      </c>
      <c r="BD206" s="37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59">
        <v>0</v>
      </c>
      <c r="BL206" s="37">
        <v>0</v>
      </c>
      <c r="BM206" s="37">
        <v>0</v>
      </c>
      <c r="BN206" s="37">
        <v>0</v>
      </c>
      <c r="BO206" s="37">
        <v>0</v>
      </c>
      <c r="BP206" s="37">
        <v>0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59">
        <v>0</v>
      </c>
      <c r="BX206" s="59">
        <v>0</v>
      </c>
      <c r="BZ206" s="37">
        <v>8000</v>
      </c>
      <c r="CA206" s="37">
        <v>0</v>
      </c>
      <c r="CB206" s="37">
        <v>0</v>
      </c>
      <c r="CC206" s="37">
        <v>0</v>
      </c>
      <c r="CD206" s="37">
        <v>200</v>
      </c>
      <c r="CE206" s="37">
        <v>0</v>
      </c>
      <c r="CF206" s="37">
        <v>0</v>
      </c>
      <c r="CG206" s="59">
        <v>8200</v>
      </c>
      <c r="CH206" s="37">
        <v>0</v>
      </c>
      <c r="CI206" s="37">
        <v>20</v>
      </c>
      <c r="CJ206" s="37">
        <v>16</v>
      </c>
      <c r="CK206" s="37">
        <v>8</v>
      </c>
      <c r="CL206" s="37">
        <v>0</v>
      </c>
      <c r="CM206" s="37">
        <v>0</v>
      </c>
      <c r="CN206" s="59">
        <v>44</v>
      </c>
      <c r="CO206" s="59">
        <v>8244</v>
      </c>
      <c r="CP206" s="58"/>
      <c r="CQ206" s="3">
        <v>8244</v>
      </c>
    </row>
    <row r="207" spans="1:95" customFormat="1" x14ac:dyDescent="0.2">
      <c r="A207" s="209">
        <v>43241</v>
      </c>
      <c r="B207" s="33" t="s">
        <v>53</v>
      </c>
      <c r="C207" s="33" t="s">
        <v>54</v>
      </c>
      <c r="D207" s="43">
        <v>1</v>
      </c>
      <c r="E207" s="43">
        <v>0</v>
      </c>
      <c r="F207" s="43">
        <v>0</v>
      </c>
      <c r="G207" s="43">
        <v>0</v>
      </c>
      <c r="H207" s="43">
        <v>0</v>
      </c>
      <c r="I207" s="43">
        <v>0</v>
      </c>
      <c r="J207" s="43">
        <v>0</v>
      </c>
      <c r="K207" s="43">
        <v>0</v>
      </c>
      <c r="L207" s="43">
        <v>0</v>
      </c>
      <c r="M207" s="43">
        <v>0</v>
      </c>
      <c r="N207" s="43">
        <v>0</v>
      </c>
      <c r="O207" s="43">
        <v>0</v>
      </c>
      <c r="P207" s="47" t="s">
        <v>45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59">
        <v>0</v>
      </c>
      <c r="AH207" s="37">
        <v>0</v>
      </c>
      <c r="AI207" s="37">
        <v>2750</v>
      </c>
      <c r="AJ207" s="37">
        <v>0</v>
      </c>
      <c r="AK207" s="37">
        <v>0</v>
      </c>
      <c r="AL207" s="37">
        <v>1750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59">
        <v>4500</v>
      </c>
      <c r="AT207" s="59">
        <v>4500</v>
      </c>
      <c r="AU207" s="45"/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59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59">
        <v>0</v>
      </c>
      <c r="BX207" s="59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59">
        <v>0</v>
      </c>
      <c r="CH207" s="37">
        <v>2750</v>
      </c>
      <c r="CI207" s="37">
        <v>1750</v>
      </c>
      <c r="CJ207" s="37">
        <v>0</v>
      </c>
      <c r="CK207" s="37">
        <v>0</v>
      </c>
      <c r="CL207" s="37">
        <v>0</v>
      </c>
      <c r="CM207" s="37">
        <v>0</v>
      </c>
      <c r="CN207" s="59">
        <v>4500</v>
      </c>
      <c r="CO207" s="59">
        <v>4500</v>
      </c>
      <c r="CP207" s="58"/>
      <c r="CQ207" s="3">
        <v>4500</v>
      </c>
    </row>
    <row r="208" spans="1:95" customFormat="1" x14ac:dyDescent="0.2">
      <c r="A208" s="209">
        <v>43241</v>
      </c>
      <c r="B208" s="33" t="s">
        <v>85</v>
      </c>
      <c r="C208" s="33" t="s">
        <v>76</v>
      </c>
      <c r="D208" s="43">
        <v>0</v>
      </c>
      <c r="E208" s="43">
        <v>1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7" t="s">
        <v>45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40000</v>
      </c>
      <c r="Y208" s="37">
        <v>0</v>
      </c>
      <c r="Z208" s="37">
        <v>0</v>
      </c>
      <c r="AA208" s="37">
        <v>0</v>
      </c>
      <c r="AB208" s="37">
        <v>10000</v>
      </c>
      <c r="AC208" s="37">
        <v>0</v>
      </c>
      <c r="AD208" s="37">
        <v>40000</v>
      </c>
      <c r="AE208" s="37">
        <v>0</v>
      </c>
      <c r="AF208" s="37">
        <v>0</v>
      </c>
      <c r="AG208" s="59">
        <v>90000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  <c r="AN208" s="37">
        <v>0</v>
      </c>
      <c r="AO208" s="37">
        <v>0</v>
      </c>
      <c r="AP208" s="37">
        <v>50</v>
      </c>
      <c r="AQ208" s="37">
        <v>0</v>
      </c>
      <c r="AR208" s="37">
        <v>0</v>
      </c>
      <c r="AS208" s="59">
        <v>50</v>
      </c>
      <c r="AT208" s="59">
        <v>90050</v>
      </c>
      <c r="AU208" s="45"/>
      <c r="AV208" s="37">
        <v>0</v>
      </c>
      <c r="AW208" s="37">
        <v>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59">
        <v>0</v>
      </c>
      <c r="BL208" s="37">
        <v>0</v>
      </c>
      <c r="BM208" s="37">
        <v>0</v>
      </c>
      <c r="BN208" s="37">
        <v>0</v>
      </c>
      <c r="BO208" s="37">
        <v>0</v>
      </c>
      <c r="BP208" s="37">
        <v>0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59">
        <v>0</v>
      </c>
      <c r="BX208" s="59">
        <v>0</v>
      </c>
      <c r="BZ208" s="37">
        <v>0</v>
      </c>
      <c r="CA208" s="37">
        <v>0</v>
      </c>
      <c r="CB208" s="37">
        <v>40000</v>
      </c>
      <c r="CC208" s="37">
        <v>0</v>
      </c>
      <c r="CD208" s="37">
        <v>10000</v>
      </c>
      <c r="CE208" s="37">
        <v>40000</v>
      </c>
      <c r="CF208" s="37">
        <v>0</v>
      </c>
      <c r="CG208" s="59">
        <v>90000</v>
      </c>
      <c r="CH208" s="37">
        <v>0</v>
      </c>
      <c r="CI208" s="37">
        <v>0</v>
      </c>
      <c r="CJ208" s="37">
        <v>0</v>
      </c>
      <c r="CK208" s="37">
        <v>50</v>
      </c>
      <c r="CL208" s="37">
        <v>0</v>
      </c>
      <c r="CM208" s="37">
        <v>0</v>
      </c>
      <c r="CN208" s="59">
        <v>50</v>
      </c>
      <c r="CO208" s="59">
        <v>90050</v>
      </c>
      <c r="CP208" s="58"/>
      <c r="CQ208" s="3">
        <v>90050</v>
      </c>
    </row>
    <row r="209" spans="1:95" customFormat="1" x14ac:dyDescent="0.2">
      <c r="A209" s="209">
        <v>43241</v>
      </c>
      <c r="B209" s="33" t="s">
        <v>72</v>
      </c>
      <c r="C209" s="33" t="s">
        <v>101</v>
      </c>
      <c r="D209" s="43">
        <v>0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  <c r="J209" s="43">
        <v>0</v>
      </c>
      <c r="K209" s="43">
        <v>1</v>
      </c>
      <c r="L209" s="43">
        <v>0</v>
      </c>
      <c r="M209" s="43">
        <v>0</v>
      </c>
      <c r="N209" s="43">
        <v>0</v>
      </c>
      <c r="O209" s="43">
        <v>0</v>
      </c>
      <c r="P209" s="47" t="s">
        <v>45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120000</v>
      </c>
      <c r="Y209" s="37">
        <v>0</v>
      </c>
      <c r="Z209" s="37">
        <v>0</v>
      </c>
      <c r="AA209" s="37">
        <v>0</v>
      </c>
      <c r="AB209" s="37">
        <v>70000</v>
      </c>
      <c r="AC209" s="37">
        <v>0</v>
      </c>
      <c r="AD209" s="37">
        <v>40000</v>
      </c>
      <c r="AE209" s="37">
        <v>0</v>
      </c>
      <c r="AF209" s="37">
        <v>0</v>
      </c>
      <c r="AG209" s="59">
        <v>230000</v>
      </c>
      <c r="AH209" s="37">
        <v>0</v>
      </c>
      <c r="AI209" s="37">
        <v>2750</v>
      </c>
      <c r="AJ209" s="37">
        <v>0</v>
      </c>
      <c r="AK209" s="37">
        <v>0</v>
      </c>
      <c r="AL209" s="37">
        <v>1375</v>
      </c>
      <c r="AM209" s="37">
        <v>0</v>
      </c>
      <c r="AN209" s="37">
        <v>200</v>
      </c>
      <c r="AO209" s="37">
        <v>0</v>
      </c>
      <c r="AP209" s="37">
        <v>100</v>
      </c>
      <c r="AQ209" s="37">
        <v>0</v>
      </c>
      <c r="AR209" s="37">
        <v>0</v>
      </c>
      <c r="AS209" s="59">
        <v>4425</v>
      </c>
      <c r="AT209" s="59">
        <v>234425</v>
      </c>
      <c r="AU209" s="45"/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59">
        <v>0</v>
      </c>
      <c r="BL209" s="37">
        <v>0</v>
      </c>
      <c r="BM209" s="37">
        <v>0</v>
      </c>
      <c r="BN209" s="37">
        <v>0</v>
      </c>
      <c r="BO209" s="37">
        <v>0</v>
      </c>
      <c r="BP209" s="37">
        <v>0</v>
      </c>
      <c r="BQ209" s="37">
        <v>0</v>
      </c>
      <c r="BR209" s="37">
        <v>0</v>
      </c>
      <c r="BS209" s="37">
        <v>0</v>
      </c>
      <c r="BT209" s="37">
        <v>0</v>
      </c>
      <c r="BU209" s="37">
        <v>0</v>
      </c>
      <c r="BV209" s="37">
        <v>0</v>
      </c>
      <c r="BW209" s="59">
        <v>0</v>
      </c>
      <c r="BX209" s="59">
        <v>0</v>
      </c>
      <c r="BZ209" s="37">
        <v>0</v>
      </c>
      <c r="CA209" s="37">
        <v>0</v>
      </c>
      <c r="CB209" s="37">
        <v>120000</v>
      </c>
      <c r="CC209" s="37">
        <v>0</v>
      </c>
      <c r="CD209" s="37">
        <v>70000</v>
      </c>
      <c r="CE209" s="37">
        <v>40000</v>
      </c>
      <c r="CF209" s="37">
        <v>0</v>
      </c>
      <c r="CG209" s="59">
        <v>230000</v>
      </c>
      <c r="CH209" s="37">
        <v>2750</v>
      </c>
      <c r="CI209" s="37">
        <v>1375</v>
      </c>
      <c r="CJ209" s="37">
        <v>200</v>
      </c>
      <c r="CK209" s="37">
        <v>100</v>
      </c>
      <c r="CL209" s="37">
        <v>0</v>
      </c>
      <c r="CM209" s="37">
        <v>0</v>
      </c>
      <c r="CN209" s="59">
        <v>4425</v>
      </c>
      <c r="CO209" s="59">
        <v>234425</v>
      </c>
      <c r="CP209" s="58"/>
      <c r="CQ209" s="3">
        <v>234425</v>
      </c>
    </row>
    <row r="210" spans="1:95" customFormat="1" x14ac:dyDescent="0.2">
      <c r="A210" s="209">
        <v>43242</v>
      </c>
      <c r="B210" s="33" t="s">
        <v>55</v>
      </c>
      <c r="C210" s="33" t="s">
        <v>56</v>
      </c>
      <c r="D210" s="43">
        <v>0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200</v>
      </c>
      <c r="AC210" s="37">
        <v>0</v>
      </c>
      <c r="AD210" s="37">
        <v>0</v>
      </c>
      <c r="AE210" s="37">
        <v>0</v>
      </c>
      <c r="AF210" s="37">
        <v>0</v>
      </c>
      <c r="AG210" s="59">
        <v>200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  <c r="AN210" s="37">
        <v>4</v>
      </c>
      <c r="AO210" s="37">
        <v>0</v>
      </c>
      <c r="AP210" s="37">
        <v>0</v>
      </c>
      <c r="AQ210" s="37">
        <v>0</v>
      </c>
      <c r="AR210" s="37">
        <v>0</v>
      </c>
      <c r="AS210" s="59">
        <v>4</v>
      </c>
      <c r="AT210" s="59">
        <v>204</v>
      </c>
      <c r="AU210" s="45"/>
      <c r="AV210" s="37">
        <v>0</v>
      </c>
      <c r="AW210" s="37">
        <v>0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59">
        <v>0</v>
      </c>
      <c r="BL210" s="37">
        <v>0</v>
      </c>
      <c r="BM210" s="37">
        <v>0</v>
      </c>
      <c r="BN210" s="37">
        <v>0</v>
      </c>
      <c r="BO210" s="37">
        <v>0</v>
      </c>
      <c r="BP210" s="37">
        <v>0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59">
        <v>0</v>
      </c>
      <c r="BX210" s="59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200</v>
      </c>
      <c r="CE210" s="37">
        <v>0</v>
      </c>
      <c r="CF210" s="37">
        <v>0</v>
      </c>
      <c r="CG210" s="59">
        <v>200</v>
      </c>
      <c r="CH210" s="37">
        <v>0</v>
      </c>
      <c r="CI210" s="37">
        <v>0</v>
      </c>
      <c r="CJ210" s="37">
        <v>4</v>
      </c>
      <c r="CK210" s="37">
        <v>0</v>
      </c>
      <c r="CL210" s="37">
        <v>0</v>
      </c>
      <c r="CM210" s="37">
        <v>0</v>
      </c>
      <c r="CN210" s="59">
        <v>4</v>
      </c>
      <c r="CO210" s="59">
        <v>204</v>
      </c>
      <c r="CP210" s="58"/>
      <c r="CQ210" s="3">
        <v>204</v>
      </c>
    </row>
    <row r="211" spans="1:95" customFormat="1" x14ac:dyDescent="0.2">
      <c r="A211" s="209">
        <v>43242</v>
      </c>
      <c r="B211" s="33" t="s">
        <v>70</v>
      </c>
      <c r="C211" s="33" t="s">
        <v>103</v>
      </c>
      <c r="D211" s="43">
        <v>0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0</v>
      </c>
      <c r="M211" s="43">
        <v>0</v>
      </c>
      <c r="N211" s="43">
        <v>1</v>
      </c>
      <c r="O211" s="43">
        <v>0</v>
      </c>
      <c r="P211" s="47" t="s">
        <v>45</v>
      </c>
      <c r="R211" s="37">
        <v>0</v>
      </c>
      <c r="S211" s="37">
        <v>0</v>
      </c>
      <c r="T211" s="37">
        <v>800000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105000</v>
      </c>
      <c r="AC211" s="37">
        <v>0</v>
      </c>
      <c r="AD211" s="37">
        <v>60000</v>
      </c>
      <c r="AE211" s="37">
        <v>0</v>
      </c>
      <c r="AF211" s="37">
        <v>0</v>
      </c>
      <c r="AG211" s="59">
        <v>965000</v>
      </c>
      <c r="AH211" s="37">
        <v>0</v>
      </c>
      <c r="AI211" s="37">
        <v>250</v>
      </c>
      <c r="AJ211" s="37">
        <v>0</v>
      </c>
      <c r="AK211" s="37">
        <v>0</v>
      </c>
      <c r="AL211" s="37">
        <v>0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59">
        <v>250</v>
      </c>
      <c r="AT211" s="59">
        <v>965250</v>
      </c>
      <c r="AU211" s="45"/>
      <c r="AV211" s="37">
        <v>0</v>
      </c>
      <c r="AW211" s="37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59">
        <v>0</v>
      </c>
      <c r="BL211" s="37">
        <v>0</v>
      </c>
      <c r="BM211" s="37">
        <v>0</v>
      </c>
      <c r="BN211" s="37">
        <v>0</v>
      </c>
      <c r="BO211" s="37">
        <v>0</v>
      </c>
      <c r="BP211" s="37">
        <v>0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59">
        <v>0</v>
      </c>
      <c r="BX211" s="59">
        <v>0</v>
      </c>
      <c r="BZ211" s="37">
        <v>800000</v>
      </c>
      <c r="CA211" s="37">
        <v>0</v>
      </c>
      <c r="CB211" s="37">
        <v>0</v>
      </c>
      <c r="CC211" s="37">
        <v>0</v>
      </c>
      <c r="CD211" s="37">
        <v>105000</v>
      </c>
      <c r="CE211" s="37">
        <v>60000</v>
      </c>
      <c r="CF211" s="37">
        <v>0</v>
      </c>
      <c r="CG211" s="59">
        <v>965000</v>
      </c>
      <c r="CH211" s="37">
        <v>250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59">
        <v>250</v>
      </c>
      <c r="CO211" s="59">
        <v>965250</v>
      </c>
      <c r="CP211" s="58"/>
      <c r="CQ211" s="3">
        <v>965250</v>
      </c>
    </row>
    <row r="212" spans="1:95" customFormat="1" x14ac:dyDescent="0.2">
      <c r="A212" s="209">
        <v>43243</v>
      </c>
      <c r="B212" s="33" t="s">
        <v>64</v>
      </c>
      <c r="C212" s="33" t="s">
        <v>65</v>
      </c>
      <c r="D212" s="43">
        <v>0</v>
      </c>
      <c r="E212" s="43">
        <v>0</v>
      </c>
      <c r="F212" s="43">
        <v>0</v>
      </c>
      <c r="G212" s="43">
        <v>0</v>
      </c>
      <c r="H212" s="43">
        <v>0</v>
      </c>
      <c r="I212" s="43">
        <v>1</v>
      </c>
      <c r="J212" s="43">
        <v>0</v>
      </c>
      <c r="K212" s="43">
        <v>0</v>
      </c>
      <c r="L212" s="43">
        <v>0</v>
      </c>
      <c r="M212" s="43">
        <v>0</v>
      </c>
      <c r="N212" s="43">
        <v>0</v>
      </c>
      <c r="O212" s="43">
        <v>0</v>
      </c>
      <c r="P212" s="47" t="s">
        <v>45</v>
      </c>
      <c r="R212" s="37">
        <v>0</v>
      </c>
      <c r="S212" s="37">
        <v>0</v>
      </c>
      <c r="T212" s="37">
        <v>700000</v>
      </c>
      <c r="U212" s="37">
        <v>0</v>
      </c>
      <c r="V212" s="37">
        <v>375000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20000</v>
      </c>
      <c r="AC212" s="37">
        <v>0</v>
      </c>
      <c r="AD212" s="37">
        <v>5000</v>
      </c>
      <c r="AE212" s="37">
        <v>0</v>
      </c>
      <c r="AF212" s="37">
        <v>0</v>
      </c>
      <c r="AG212" s="59">
        <v>1100000</v>
      </c>
      <c r="AH212" s="37">
        <v>0</v>
      </c>
      <c r="AI212" s="37">
        <v>1000</v>
      </c>
      <c r="AJ212" s="37">
        <v>0</v>
      </c>
      <c r="AK212" s="37">
        <v>0</v>
      </c>
      <c r="AL212" s="37">
        <v>500</v>
      </c>
      <c r="AM212" s="37">
        <v>0</v>
      </c>
      <c r="AN212" s="37">
        <v>200</v>
      </c>
      <c r="AO212" s="37">
        <v>0</v>
      </c>
      <c r="AP212" s="37">
        <v>100</v>
      </c>
      <c r="AQ212" s="37">
        <v>0</v>
      </c>
      <c r="AR212" s="37">
        <v>0</v>
      </c>
      <c r="AS212" s="59">
        <v>1800</v>
      </c>
      <c r="AT212" s="59">
        <v>1101800</v>
      </c>
      <c r="AU212" s="45"/>
      <c r="AV212" s="37">
        <v>0</v>
      </c>
      <c r="AW212" s="37">
        <v>0</v>
      </c>
      <c r="AX212" s="37">
        <v>0</v>
      </c>
      <c r="AY212" s="37">
        <v>0</v>
      </c>
      <c r="AZ212" s="37">
        <v>0</v>
      </c>
      <c r="BA212" s="37">
        <v>0</v>
      </c>
      <c r="BB212" s="37">
        <v>0</v>
      </c>
      <c r="BC212" s="37">
        <v>0</v>
      </c>
      <c r="BD212" s="37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59">
        <v>0</v>
      </c>
      <c r="BL212" s="37">
        <v>0</v>
      </c>
      <c r="BM212" s="37">
        <v>0</v>
      </c>
      <c r="BN212" s="37">
        <v>0</v>
      </c>
      <c r="BO212" s="37">
        <v>0</v>
      </c>
      <c r="BP212" s="37">
        <v>0</v>
      </c>
      <c r="BQ212" s="37">
        <v>0</v>
      </c>
      <c r="BR212" s="37">
        <v>0</v>
      </c>
      <c r="BS212" s="37">
        <v>0</v>
      </c>
      <c r="BT212" s="37">
        <v>0</v>
      </c>
      <c r="BU212" s="37">
        <v>0</v>
      </c>
      <c r="BV212" s="37">
        <v>0</v>
      </c>
      <c r="BW212" s="59">
        <v>0</v>
      </c>
      <c r="BX212" s="59">
        <v>0</v>
      </c>
      <c r="BZ212" s="37">
        <v>700000</v>
      </c>
      <c r="CA212" s="37">
        <v>375000</v>
      </c>
      <c r="CB212" s="37">
        <v>0</v>
      </c>
      <c r="CC212" s="37">
        <v>0</v>
      </c>
      <c r="CD212" s="37">
        <v>20000</v>
      </c>
      <c r="CE212" s="37">
        <v>5000</v>
      </c>
      <c r="CF212" s="37">
        <v>0</v>
      </c>
      <c r="CG212" s="59">
        <v>1100000</v>
      </c>
      <c r="CH212" s="37">
        <v>1000</v>
      </c>
      <c r="CI212" s="37">
        <v>500</v>
      </c>
      <c r="CJ212" s="37">
        <v>200</v>
      </c>
      <c r="CK212" s="37">
        <v>100</v>
      </c>
      <c r="CL212" s="37">
        <v>0</v>
      </c>
      <c r="CM212" s="37">
        <v>0</v>
      </c>
      <c r="CN212" s="59">
        <v>1800</v>
      </c>
      <c r="CO212" s="59">
        <v>1101800</v>
      </c>
      <c r="CP212" s="58"/>
      <c r="CQ212" s="3">
        <v>1101800</v>
      </c>
    </row>
    <row r="213" spans="1:95" customFormat="1" x14ac:dyDescent="0.2">
      <c r="A213" s="209">
        <v>43243</v>
      </c>
      <c r="B213" s="33" t="s">
        <v>75</v>
      </c>
      <c r="C213" s="33" t="s">
        <v>76</v>
      </c>
      <c r="D213" s="43">
        <v>0</v>
      </c>
      <c r="E213" s="43">
        <v>1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0</v>
      </c>
      <c r="M213" s="43">
        <v>0</v>
      </c>
      <c r="N213" s="43">
        <v>0</v>
      </c>
      <c r="O213" s="43">
        <v>0</v>
      </c>
      <c r="P213" s="47" t="s">
        <v>67</v>
      </c>
      <c r="R213" s="37">
        <v>0</v>
      </c>
      <c r="S213" s="37">
        <v>0</v>
      </c>
      <c r="T213" s="37">
        <v>340000</v>
      </c>
      <c r="U213" s="37">
        <v>0</v>
      </c>
      <c r="V213" s="37">
        <v>100000</v>
      </c>
      <c r="W213" s="37">
        <v>0</v>
      </c>
      <c r="X213" s="37">
        <v>80000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59">
        <v>520000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130</v>
      </c>
      <c r="AQ213" s="37">
        <v>0</v>
      </c>
      <c r="AR213" s="37">
        <v>0</v>
      </c>
      <c r="AS213" s="59">
        <v>130</v>
      </c>
      <c r="AT213" s="59">
        <v>520130</v>
      </c>
      <c r="AU213" s="45"/>
      <c r="AV213" s="37">
        <v>0</v>
      </c>
      <c r="AW213" s="37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59">
        <v>0</v>
      </c>
      <c r="BL213" s="37">
        <v>0</v>
      </c>
      <c r="BM213" s="37">
        <v>0</v>
      </c>
      <c r="BN213" s="37">
        <v>0</v>
      </c>
      <c r="BO213" s="37">
        <v>0</v>
      </c>
      <c r="BP213" s="37">
        <v>0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59">
        <v>0</v>
      </c>
      <c r="BX213" s="59">
        <v>0</v>
      </c>
      <c r="BZ213" s="37">
        <v>340000</v>
      </c>
      <c r="CA213" s="37">
        <v>100000</v>
      </c>
      <c r="CB213" s="37">
        <v>80000</v>
      </c>
      <c r="CC213" s="37">
        <v>0</v>
      </c>
      <c r="CD213" s="37">
        <v>0</v>
      </c>
      <c r="CE213" s="37">
        <v>0</v>
      </c>
      <c r="CF213" s="37">
        <v>0</v>
      </c>
      <c r="CG213" s="59">
        <v>520000</v>
      </c>
      <c r="CH213" s="37">
        <v>0</v>
      </c>
      <c r="CI213" s="37">
        <v>0</v>
      </c>
      <c r="CJ213" s="37">
        <v>0</v>
      </c>
      <c r="CK213" s="37">
        <v>130</v>
      </c>
      <c r="CL213" s="37">
        <v>0</v>
      </c>
      <c r="CM213" s="37">
        <v>0</v>
      </c>
      <c r="CN213" s="59">
        <v>130</v>
      </c>
      <c r="CO213" s="59">
        <v>520130</v>
      </c>
      <c r="CP213" s="58"/>
      <c r="CQ213" s="3">
        <v>520130</v>
      </c>
    </row>
    <row r="214" spans="1:95" customFormat="1" x14ac:dyDescent="0.2">
      <c r="A214" s="209">
        <v>43243</v>
      </c>
      <c r="B214" s="33" t="s">
        <v>68</v>
      </c>
      <c r="C214" s="33" t="s">
        <v>115</v>
      </c>
      <c r="D214" s="43">
        <v>0</v>
      </c>
      <c r="E214" s="43">
        <v>0</v>
      </c>
      <c r="F214" s="43">
        <v>0</v>
      </c>
      <c r="G214" s="43">
        <v>0</v>
      </c>
      <c r="H214" s="43">
        <v>0</v>
      </c>
      <c r="I214" s="43">
        <v>0</v>
      </c>
      <c r="J214" s="43">
        <v>0</v>
      </c>
      <c r="K214" s="43">
        <v>0</v>
      </c>
      <c r="L214" s="43">
        <v>0</v>
      </c>
      <c r="M214" s="43">
        <v>0</v>
      </c>
      <c r="N214" s="43">
        <v>1</v>
      </c>
      <c r="O214" s="43">
        <v>0</v>
      </c>
      <c r="P214" s="47" t="s">
        <v>45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80000</v>
      </c>
      <c r="Y214" s="37">
        <v>0</v>
      </c>
      <c r="Z214" s="37">
        <v>0</v>
      </c>
      <c r="AA214" s="37">
        <v>0</v>
      </c>
      <c r="AB214" s="37">
        <v>15000</v>
      </c>
      <c r="AC214" s="37">
        <v>0</v>
      </c>
      <c r="AD214" s="37">
        <v>18000</v>
      </c>
      <c r="AE214" s="37">
        <v>0</v>
      </c>
      <c r="AF214" s="37">
        <v>0</v>
      </c>
      <c r="AG214" s="59">
        <v>113000</v>
      </c>
      <c r="AH214" s="37">
        <v>0</v>
      </c>
      <c r="AI214" s="37">
        <v>5000</v>
      </c>
      <c r="AJ214" s="37">
        <v>0</v>
      </c>
      <c r="AK214" s="37">
        <v>0</v>
      </c>
      <c r="AL214" s="37">
        <v>2000</v>
      </c>
      <c r="AM214" s="37">
        <v>0</v>
      </c>
      <c r="AN214" s="37">
        <v>200</v>
      </c>
      <c r="AO214" s="37">
        <v>0</v>
      </c>
      <c r="AP214" s="37">
        <v>0</v>
      </c>
      <c r="AQ214" s="37">
        <v>0</v>
      </c>
      <c r="AR214" s="37">
        <v>0</v>
      </c>
      <c r="AS214" s="59">
        <v>7200</v>
      </c>
      <c r="AT214" s="59">
        <v>120200</v>
      </c>
      <c r="AU214" s="45"/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59">
        <v>0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59">
        <v>0</v>
      </c>
      <c r="BX214" s="59">
        <v>0</v>
      </c>
      <c r="BZ214" s="37">
        <v>0</v>
      </c>
      <c r="CA214" s="37">
        <v>0</v>
      </c>
      <c r="CB214" s="37">
        <v>80000</v>
      </c>
      <c r="CC214" s="37">
        <v>0</v>
      </c>
      <c r="CD214" s="37">
        <v>15000</v>
      </c>
      <c r="CE214" s="37">
        <v>18000</v>
      </c>
      <c r="CF214" s="37">
        <v>0</v>
      </c>
      <c r="CG214" s="59">
        <v>113000</v>
      </c>
      <c r="CH214" s="37">
        <v>5000</v>
      </c>
      <c r="CI214" s="37">
        <v>2000</v>
      </c>
      <c r="CJ214" s="37">
        <v>200</v>
      </c>
      <c r="CK214" s="37">
        <v>0</v>
      </c>
      <c r="CL214" s="37">
        <v>0</v>
      </c>
      <c r="CM214" s="37">
        <v>0</v>
      </c>
      <c r="CN214" s="59">
        <v>7200</v>
      </c>
      <c r="CO214" s="59">
        <v>120200</v>
      </c>
      <c r="CP214" s="58"/>
      <c r="CQ214" s="3">
        <v>120200</v>
      </c>
    </row>
    <row r="215" spans="1:95" customFormat="1" x14ac:dyDescent="0.2">
      <c r="A215" s="209">
        <v>43243</v>
      </c>
      <c r="B215" s="33" t="s">
        <v>53</v>
      </c>
      <c r="C215" s="33" t="s">
        <v>54</v>
      </c>
      <c r="D215" s="43">
        <v>1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0</v>
      </c>
      <c r="M215" s="43">
        <v>0</v>
      </c>
      <c r="N215" s="43">
        <v>0</v>
      </c>
      <c r="O215" s="43">
        <v>0</v>
      </c>
      <c r="P215" s="47" t="s">
        <v>45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59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0</v>
      </c>
      <c r="AN215" s="37">
        <v>200</v>
      </c>
      <c r="AO215" s="37">
        <v>0</v>
      </c>
      <c r="AP215" s="37">
        <v>20</v>
      </c>
      <c r="AQ215" s="37">
        <v>0</v>
      </c>
      <c r="AR215" s="37">
        <v>0</v>
      </c>
      <c r="AS215" s="59">
        <v>220</v>
      </c>
      <c r="AT215" s="59">
        <v>220</v>
      </c>
      <c r="AU215" s="45"/>
      <c r="AV215" s="37">
        <v>0</v>
      </c>
      <c r="AW215" s="37">
        <v>0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59">
        <v>0</v>
      </c>
      <c r="BL215" s="37">
        <v>0</v>
      </c>
      <c r="BM215" s="37">
        <v>0</v>
      </c>
      <c r="BN215" s="37">
        <v>0</v>
      </c>
      <c r="BO215" s="37">
        <v>0</v>
      </c>
      <c r="BP215" s="37">
        <v>0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59">
        <v>0</v>
      </c>
      <c r="BX215" s="59">
        <v>0</v>
      </c>
      <c r="BZ215" s="37">
        <v>0</v>
      </c>
      <c r="CA215" s="37">
        <v>0</v>
      </c>
      <c r="CB215" s="37">
        <v>0</v>
      </c>
      <c r="CC215" s="37">
        <v>0</v>
      </c>
      <c r="CD215" s="37">
        <v>0</v>
      </c>
      <c r="CE215" s="37">
        <v>0</v>
      </c>
      <c r="CF215" s="37">
        <v>0</v>
      </c>
      <c r="CG215" s="59">
        <v>0</v>
      </c>
      <c r="CH215" s="37">
        <v>0</v>
      </c>
      <c r="CI215" s="37">
        <v>0</v>
      </c>
      <c r="CJ215" s="37">
        <v>200</v>
      </c>
      <c r="CK215" s="37">
        <v>20</v>
      </c>
      <c r="CL215" s="37">
        <v>0</v>
      </c>
      <c r="CM215" s="37">
        <v>0</v>
      </c>
      <c r="CN215" s="59">
        <v>220</v>
      </c>
      <c r="CO215" s="59">
        <v>220</v>
      </c>
      <c r="CP215" s="58"/>
      <c r="CQ215" s="3">
        <v>220</v>
      </c>
    </row>
    <row r="216" spans="1:95" customFormat="1" x14ac:dyDescent="0.2">
      <c r="A216" s="209">
        <v>43244</v>
      </c>
      <c r="B216" s="33" t="s">
        <v>116</v>
      </c>
      <c r="C216" s="33" t="s">
        <v>117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1</v>
      </c>
      <c r="L216" s="43">
        <v>0</v>
      </c>
      <c r="M216" s="43">
        <v>0</v>
      </c>
      <c r="N216" s="43">
        <v>0</v>
      </c>
      <c r="O216" s="43">
        <v>0</v>
      </c>
      <c r="P216" s="47" t="s">
        <v>45</v>
      </c>
      <c r="R216" s="37">
        <v>0</v>
      </c>
      <c r="S216" s="37">
        <v>0</v>
      </c>
      <c r="T216" s="37">
        <v>1320000</v>
      </c>
      <c r="U216" s="37">
        <v>0</v>
      </c>
      <c r="V216" s="37">
        <v>230000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60000</v>
      </c>
      <c r="AC216" s="37">
        <v>0</v>
      </c>
      <c r="AD216" s="37">
        <v>0</v>
      </c>
      <c r="AE216" s="37">
        <v>0</v>
      </c>
      <c r="AF216" s="37">
        <v>0</v>
      </c>
      <c r="AG216" s="59">
        <v>1610000</v>
      </c>
      <c r="AH216" s="37">
        <v>0</v>
      </c>
      <c r="AI216" s="37">
        <v>5500</v>
      </c>
      <c r="AJ216" s="37">
        <v>0</v>
      </c>
      <c r="AK216" s="37">
        <v>0</v>
      </c>
      <c r="AL216" s="37">
        <v>1275</v>
      </c>
      <c r="AM216" s="37">
        <v>0</v>
      </c>
      <c r="AN216" s="37">
        <v>200</v>
      </c>
      <c r="AO216" s="37">
        <v>0</v>
      </c>
      <c r="AP216" s="37">
        <v>100</v>
      </c>
      <c r="AQ216" s="37">
        <v>0</v>
      </c>
      <c r="AR216" s="37">
        <v>0</v>
      </c>
      <c r="AS216" s="59">
        <v>7075</v>
      </c>
      <c r="AT216" s="59">
        <v>1617075</v>
      </c>
      <c r="AU216" s="45"/>
      <c r="AV216" s="37">
        <v>0</v>
      </c>
      <c r="AW216" s="37">
        <v>0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59">
        <v>0</v>
      </c>
      <c r="BL216" s="37">
        <v>0</v>
      </c>
      <c r="BM216" s="37">
        <v>0</v>
      </c>
      <c r="BN216" s="37">
        <v>0</v>
      </c>
      <c r="BO216" s="37">
        <v>0</v>
      </c>
      <c r="BP216" s="37">
        <v>0</v>
      </c>
      <c r="BQ216" s="37">
        <v>0</v>
      </c>
      <c r="BR216" s="37">
        <v>0</v>
      </c>
      <c r="BS216" s="37">
        <v>0</v>
      </c>
      <c r="BT216" s="37">
        <v>0</v>
      </c>
      <c r="BU216" s="37">
        <v>0</v>
      </c>
      <c r="BV216" s="37">
        <v>0</v>
      </c>
      <c r="BW216" s="59">
        <v>0</v>
      </c>
      <c r="BX216" s="59">
        <v>0</v>
      </c>
      <c r="BZ216" s="37">
        <v>1320000</v>
      </c>
      <c r="CA216" s="37">
        <v>230000</v>
      </c>
      <c r="CB216" s="37">
        <v>0</v>
      </c>
      <c r="CC216" s="37">
        <v>0</v>
      </c>
      <c r="CD216" s="37">
        <v>60000</v>
      </c>
      <c r="CE216" s="37">
        <v>0</v>
      </c>
      <c r="CF216" s="37">
        <v>0</v>
      </c>
      <c r="CG216" s="59">
        <v>1610000</v>
      </c>
      <c r="CH216" s="37">
        <v>5500</v>
      </c>
      <c r="CI216" s="37">
        <v>1275</v>
      </c>
      <c r="CJ216" s="37">
        <v>200</v>
      </c>
      <c r="CK216" s="37">
        <v>100</v>
      </c>
      <c r="CL216" s="37">
        <v>0</v>
      </c>
      <c r="CM216" s="37">
        <v>0</v>
      </c>
      <c r="CN216" s="59">
        <v>7075</v>
      </c>
      <c r="CO216" s="59">
        <v>1617075</v>
      </c>
      <c r="CP216" s="58"/>
      <c r="CQ216" s="3">
        <v>1617075</v>
      </c>
    </row>
    <row r="217" spans="1:95" customFormat="1" x14ac:dyDescent="0.2">
      <c r="A217" s="209">
        <v>43244</v>
      </c>
      <c r="B217" s="33" t="s">
        <v>53</v>
      </c>
      <c r="C217" s="33" t="s">
        <v>54</v>
      </c>
      <c r="D217" s="43">
        <v>1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0</v>
      </c>
      <c r="O217" s="43">
        <v>0</v>
      </c>
      <c r="P217" s="47" t="s">
        <v>45</v>
      </c>
      <c r="R217" s="37">
        <v>0</v>
      </c>
      <c r="S217" s="37">
        <v>0</v>
      </c>
      <c r="T217" s="37">
        <v>2500000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59">
        <v>2500000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  <c r="AN217" s="37">
        <v>800</v>
      </c>
      <c r="AO217" s="37">
        <v>0</v>
      </c>
      <c r="AP217" s="37">
        <v>730</v>
      </c>
      <c r="AQ217" s="37">
        <v>0</v>
      </c>
      <c r="AR217" s="37">
        <v>0</v>
      </c>
      <c r="AS217" s="59">
        <v>1530</v>
      </c>
      <c r="AT217" s="59">
        <v>2501530</v>
      </c>
      <c r="AU217" s="45"/>
      <c r="AV217" s="37">
        <v>0</v>
      </c>
      <c r="AW217" s="37">
        <v>0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59">
        <v>0</v>
      </c>
      <c r="BL217" s="37">
        <v>0</v>
      </c>
      <c r="BM217" s="37">
        <v>0</v>
      </c>
      <c r="BN217" s="37">
        <v>0</v>
      </c>
      <c r="BO217" s="37">
        <v>0</v>
      </c>
      <c r="BP217" s="37">
        <v>0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59">
        <v>0</v>
      </c>
      <c r="BX217" s="59">
        <v>0</v>
      </c>
      <c r="BZ217" s="37">
        <v>2500000</v>
      </c>
      <c r="CA217" s="37">
        <v>0</v>
      </c>
      <c r="CB217" s="37">
        <v>0</v>
      </c>
      <c r="CC217" s="37">
        <v>0</v>
      </c>
      <c r="CD217" s="37">
        <v>0</v>
      </c>
      <c r="CE217" s="37">
        <v>0</v>
      </c>
      <c r="CF217" s="37">
        <v>0</v>
      </c>
      <c r="CG217" s="59">
        <v>2500000</v>
      </c>
      <c r="CH217" s="37">
        <v>0</v>
      </c>
      <c r="CI217" s="37">
        <v>0</v>
      </c>
      <c r="CJ217" s="37">
        <v>800</v>
      </c>
      <c r="CK217" s="37">
        <v>730</v>
      </c>
      <c r="CL217" s="37">
        <v>0</v>
      </c>
      <c r="CM217" s="37">
        <v>0</v>
      </c>
      <c r="CN217" s="59">
        <v>1530</v>
      </c>
      <c r="CO217" s="59">
        <v>2501530</v>
      </c>
      <c r="CP217" s="58"/>
      <c r="CQ217" s="3">
        <v>2501530</v>
      </c>
    </row>
    <row r="218" spans="1:95" customFormat="1" x14ac:dyDescent="0.2">
      <c r="A218" s="209">
        <v>43245</v>
      </c>
      <c r="B218" s="33" t="s">
        <v>53</v>
      </c>
      <c r="C218" s="33" t="s">
        <v>54</v>
      </c>
      <c r="D218" s="43">
        <v>1</v>
      </c>
      <c r="E218" s="43">
        <v>0</v>
      </c>
      <c r="F218" s="43">
        <v>0</v>
      </c>
      <c r="G218" s="43">
        <v>0</v>
      </c>
      <c r="H218" s="43">
        <v>0</v>
      </c>
      <c r="I218" s="43">
        <v>0</v>
      </c>
      <c r="J218" s="43">
        <v>0</v>
      </c>
      <c r="K218" s="43">
        <v>0</v>
      </c>
      <c r="L218" s="43">
        <v>0</v>
      </c>
      <c r="M218" s="43">
        <v>0</v>
      </c>
      <c r="N218" s="43">
        <v>0</v>
      </c>
      <c r="O218" s="43">
        <v>0</v>
      </c>
      <c r="P218" s="47" t="s">
        <v>45</v>
      </c>
      <c r="R218" s="37">
        <v>0</v>
      </c>
      <c r="S218" s="37">
        <v>0</v>
      </c>
      <c r="T218" s="37">
        <v>500000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59">
        <v>500000</v>
      </c>
      <c r="AH218" s="37">
        <v>0</v>
      </c>
      <c r="AI218" s="37">
        <v>1250</v>
      </c>
      <c r="AJ218" s="37">
        <v>0</v>
      </c>
      <c r="AK218" s="37">
        <v>0</v>
      </c>
      <c r="AL218" s="37">
        <v>2500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59">
        <v>3750</v>
      </c>
      <c r="AT218" s="59">
        <v>503750</v>
      </c>
      <c r="AU218" s="45"/>
      <c r="AV218" s="37">
        <v>0</v>
      </c>
      <c r="AW218" s="37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59">
        <v>0</v>
      </c>
      <c r="BL218" s="37">
        <v>0</v>
      </c>
      <c r="BM218" s="37">
        <v>0</v>
      </c>
      <c r="BN218" s="37">
        <v>0</v>
      </c>
      <c r="BO218" s="37">
        <v>0</v>
      </c>
      <c r="BP218" s="37">
        <v>0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59">
        <v>0</v>
      </c>
      <c r="BX218" s="59">
        <v>0</v>
      </c>
      <c r="BZ218" s="37">
        <v>500000</v>
      </c>
      <c r="CA218" s="37">
        <v>0</v>
      </c>
      <c r="CB218" s="37">
        <v>0</v>
      </c>
      <c r="CC218" s="37">
        <v>0</v>
      </c>
      <c r="CD218" s="37">
        <v>0</v>
      </c>
      <c r="CE218" s="37">
        <v>0</v>
      </c>
      <c r="CF218" s="37">
        <v>0</v>
      </c>
      <c r="CG218" s="59">
        <v>500000</v>
      </c>
      <c r="CH218" s="37">
        <v>1250</v>
      </c>
      <c r="CI218" s="37">
        <v>2500</v>
      </c>
      <c r="CJ218" s="37">
        <v>0</v>
      </c>
      <c r="CK218" s="37">
        <v>0</v>
      </c>
      <c r="CL218" s="37">
        <v>0</v>
      </c>
      <c r="CM218" s="37">
        <v>0</v>
      </c>
      <c r="CN218" s="59">
        <v>3750</v>
      </c>
      <c r="CO218" s="59">
        <v>503750</v>
      </c>
      <c r="CP218" s="58"/>
      <c r="CQ218" s="3">
        <v>503750</v>
      </c>
    </row>
    <row r="219" spans="1:95" customFormat="1" x14ac:dyDescent="0.2">
      <c r="A219" s="209">
        <v>43248</v>
      </c>
      <c r="B219" s="33" t="s">
        <v>55</v>
      </c>
      <c r="C219" s="33" t="s">
        <v>56</v>
      </c>
      <c r="D219" s="43">
        <v>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0</v>
      </c>
      <c r="M219" s="43">
        <v>0</v>
      </c>
      <c r="N219" s="43">
        <v>0</v>
      </c>
      <c r="O219" s="43">
        <v>0</v>
      </c>
      <c r="P219" s="47">
        <v>0</v>
      </c>
      <c r="R219" s="37">
        <v>0</v>
      </c>
      <c r="S219" s="37">
        <v>0</v>
      </c>
      <c r="T219" s="37">
        <v>4000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59">
        <v>4000</v>
      </c>
      <c r="AH219" s="37">
        <v>0</v>
      </c>
      <c r="AI219" s="37">
        <v>0</v>
      </c>
      <c r="AJ219" s="37">
        <v>0</v>
      </c>
      <c r="AK219" s="37">
        <v>0</v>
      </c>
      <c r="AL219" s="37">
        <v>5</v>
      </c>
      <c r="AM219" s="37">
        <v>0</v>
      </c>
      <c r="AN219" s="37">
        <v>4</v>
      </c>
      <c r="AO219" s="37">
        <v>0</v>
      </c>
      <c r="AP219" s="37">
        <v>0</v>
      </c>
      <c r="AQ219" s="37">
        <v>0</v>
      </c>
      <c r="AR219" s="37">
        <v>0</v>
      </c>
      <c r="AS219" s="59">
        <v>9</v>
      </c>
      <c r="AT219" s="59">
        <v>4009</v>
      </c>
      <c r="AU219" s="45"/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37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59">
        <v>0</v>
      </c>
      <c r="BL219" s="37">
        <v>0</v>
      </c>
      <c r="BM219" s="37">
        <v>0</v>
      </c>
      <c r="BN219" s="37">
        <v>0</v>
      </c>
      <c r="BO219" s="37">
        <v>0</v>
      </c>
      <c r="BP219" s="37">
        <v>0</v>
      </c>
      <c r="BQ219" s="37">
        <v>0</v>
      </c>
      <c r="BR219" s="37">
        <v>0</v>
      </c>
      <c r="BS219" s="37">
        <v>0</v>
      </c>
      <c r="BT219" s="37">
        <v>0</v>
      </c>
      <c r="BU219" s="37">
        <v>0</v>
      </c>
      <c r="BV219" s="37">
        <v>0</v>
      </c>
      <c r="BW219" s="59">
        <v>0</v>
      </c>
      <c r="BX219" s="59">
        <v>0</v>
      </c>
      <c r="BZ219" s="37">
        <v>4000</v>
      </c>
      <c r="CA219" s="37">
        <v>0</v>
      </c>
      <c r="CB219" s="37">
        <v>0</v>
      </c>
      <c r="CC219" s="37">
        <v>0</v>
      </c>
      <c r="CD219" s="37">
        <v>0</v>
      </c>
      <c r="CE219" s="37">
        <v>0</v>
      </c>
      <c r="CF219" s="37">
        <v>0</v>
      </c>
      <c r="CG219" s="59">
        <v>4000</v>
      </c>
      <c r="CH219" s="37">
        <v>0</v>
      </c>
      <c r="CI219" s="37">
        <v>5</v>
      </c>
      <c r="CJ219" s="37">
        <v>4</v>
      </c>
      <c r="CK219" s="37">
        <v>0</v>
      </c>
      <c r="CL219" s="37">
        <v>0</v>
      </c>
      <c r="CM219" s="37">
        <v>0</v>
      </c>
      <c r="CN219" s="59">
        <v>9</v>
      </c>
      <c r="CO219" s="59">
        <v>4009</v>
      </c>
      <c r="CP219" s="58"/>
      <c r="CQ219" s="3">
        <v>4009</v>
      </c>
    </row>
    <row r="220" spans="1:95" customFormat="1" x14ac:dyDescent="0.2">
      <c r="A220" s="209">
        <v>43248</v>
      </c>
      <c r="B220" s="33" t="s">
        <v>70</v>
      </c>
      <c r="C220" s="33" t="s">
        <v>113</v>
      </c>
      <c r="D220" s="43">
        <v>0</v>
      </c>
      <c r="E220" s="43">
        <v>0</v>
      </c>
      <c r="F220" s="43">
        <v>0</v>
      </c>
      <c r="G220" s="43">
        <v>0</v>
      </c>
      <c r="H220" s="43">
        <v>0</v>
      </c>
      <c r="I220" s="43">
        <v>0</v>
      </c>
      <c r="J220" s="43">
        <v>0</v>
      </c>
      <c r="K220" s="43">
        <v>1</v>
      </c>
      <c r="L220" s="43">
        <v>0</v>
      </c>
      <c r="M220" s="43">
        <v>0</v>
      </c>
      <c r="N220" s="43">
        <v>0</v>
      </c>
      <c r="O220" s="43">
        <v>0</v>
      </c>
      <c r="P220" s="47" t="s">
        <v>45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200000</v>
      </c>
      <c r="Y220" s="37">
        <v>0</v>
      </c>
      <c r="Z220" s="37">
        <v>0</v>
      </c>
      <c r="AA220" s="37">
        <v>0</v>
      </c>
      <c r="AB220" s="37">
        <v>200000</v>
      </c>
      <c r="AC220" s="37">
        <v>0</v>
      </c>
      <c r="AD220" s="37">
        <v>90000</v>
      </c>
      <c r="AE220" s="37">
        <v>0</v>
      </c>
      <c r="AF220" s="37">
        <v>4000</v>
      </c>
      <c r="AG220" s="59">
        <v>494000</v>
      </c>
      <c r="AH220" s="37">
        <v>0</v>
      </c>
      <c r="AI220" s="37">
        <v>1750</v>
      </c>
      <c r="AJ220" s="37">
        <v>0</v>
      </c>
      <c r="AK220" s="37">
        <v>0</v>
      </c>
      <c r="AL220" s="37">
        <v>500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59">
        <v>2250</v>
      </c>
      <c r="AT220" s="59">
        <v>496250</v>
      </c>
      <c r="AU220" s="45"/>
      <c r="AV220" s="37">
        <v>0</v>
      </c>
      <c r="AW220" s="37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59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0</v>
      </c>
      <c r="BQ220" s="37">
        <v>0</v>
      </c>
      <c r="BR220" s="37">
        <v>0</v>
      </c>
      <c r="BS220" s="37">
        <v>0</v>
      </c>
      <c r="BT220" s="37">
        <v>0</v>
      </c>
      <c r="BU220" s="37">
        <v>0</v>
      </c>
      <c r="BV220" s="37">
        <v>0</v>
      </c>
      <c r="BW220" s="59">
        <v>0</v>
      </c>
      <c r="BX220" s="59">
        <v>0</v>
      </c>
      <c r="BZ220" s="37">
        <v>0</v>
      </c>
      <c r="CA220" s="37">
        <v>0</v>
      </c>
      <c r="CB220" s="37">
        <v>200000</v>
      </c>
      <c r="CC220" s="37">
        <v>0</v>
      </c>
      <c r="CD220" s="37">
        <v>200000</v>
      </c>
      <c r="CE220" s="37">
        <v>90000</v>
      </c>
      <c r="CF220" s="37">
        <v>4000</v>
      </c>
      <c r="CG220" s="59">
        <v>494000</v>
      </c>
      <c r="CH220" s="37">
        <v>1750</v>
      </c>
      <c r="CI220" s="37">
        <v>500</v>
      </c>
      <c r="CJ220" s="37">
        <v>0</v>
      </c>
      <c r="CK220" s="37">
        <v>0</v>
      </c>
      <c r="CL220" s="37">
        <v>0</v>
      </c>
      <c r="CM220" s="37">
        <v>0</v>
      </c>
      <c r="CN220" s="59">
        <v>2250</v>
      </c>
      <c r="CO220" s="59">
        <v>496250</v>
      </c>
      <c r="CP220" s="58"/>
      <c r="CQ220" s="3">
        <v>496250</v>
      </c>
    </row>
    <row r="221" spans="1:95" customFormat="1" x14ac:dyDescent="0.2">
      <c r="A221" s="209">
        <v>43248</v>
      </c>
      <c r="B221" s="33" t="s">
        <v>83</v>
      </c>
      <c r="C221" s="33" t="s">
        <v>76</v>
      </c>
      <c r="D221" s="43">
        <v>0</v>
      </c>
      <c r="E221" s="43">
        <v>1</v>
      </c>
      <c r="F221" s="43">
        <v>0</v>
      </c>
      <c r="G221" s="43">
        <v>0</v>
      </c>
      <c r="H221" s="43">
        <v>0</v>
      </c>
      <c r="I221" s="43">
        <v>0</v>
      </c>
      <c r="J221" s="43">
        <v>0</v>
      </c>
      <c r="K221" s="43">
        <v>0</v>
      </c>
      <c r="L221" s="43">
        <v>0</v>
      </c>
      <c r="M221" s="43">
        <v>0</v>
      </c>
      <c r="N221" s="43">
        <v>0</v>
      </c>
      <c r="O221" s="43">
        <v>0</v>
      </c>
      <c r="P221" s="47" t="s">
        <v>45</v>
      </c>
      <c r="R221" s="37">
        <v>0</v>
      </c>
      <c r="S221" s="37">
        <v>0</v>
      </c>
      <c r="T221" s="37">
        <v>1600000</v>
      </c>
      <c r="U221" s="37">
        <v>0</v>
      </c>
      <c r="V221" s="37">
        <v>100000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59">
        <v>1700000</v>
      </c>
      <c r="AH221" s="37">
        <v>0</v>
      </c>
      <c r="AI221" s="37">
        <v>500</v>
      </c>
      <c r="AJ221" s="37"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59">
        <v>500</v>
      </c>
      <c r="AT221" s="59">
        <v>1700500</v>
      </c>
      <c r="AU221" s="45"/>
      <c r="AV221" s="37">
        <v>0</v>
      </c>
      <c r="AW221" s="37">
        <v>0</v>
      </c>
      <c r="AX221" s="37">
        <v>0</v>
      </c>
      <c r="AY221" s="37">
        <v>0</v>
      </c>
      <c r="AZ221" s="37">
        <v>0</v>
      </c>
      <c r="BA221" s="37">
        <v>0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0</v>
      </c>
      <c r="BH221" s="37">
        <v>0</v>
      </c>
      <c r="BI221" s="37">
        <v>0</v>
      </c>
      <c r="BJ221" s="37">
        <v>0</v>
      </c>
      <c r="BK221" s="59">
        <v>0</v>
      </c>
      <c r="BL221" s="37">
        <v>0</v>
      </c>
      <c r="BM221" s="37">
        <v>0</v>
      </c>
      <c r="BN221" s="37">
        <v>0</v>
      </c>
      <c r="BO221" s="37">
        <v>0</v>
      </c>
      <c r="BP221" s="37">
        <v>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59">
        <v>0</v>
      </c>
      <c r="BX221" s="59">
        <v>0</v>
      </c>
      <c r="BZ221" s="37">
        <v>1600000</v>
      </c>
      <c r="CA221" s="37">
        <v>100000</v>
      </c>
      <c r="CB221" s="37">
        <v>0</v>
      </c>
      <c r="CC221" s="37">
        <v>0</v>
      </c>
      <c r="CD221" s="37">
        <v>0</v>
      </c>
      <c r="CE221" s="37">
        <v>0</v>
      </c>
      <c r="CF221" s="37">
        <v>0</v>
      </c>
      <c r="CG221" s="59">
        <v>1700000</v>
      </c>
      <c r="CH221" s="37">
        <v>500</v>
      </c>
      <c r="CI221" s="37">
        <v>0</v>
      </c>
      <c r="CJ221" s="37">
        <v>0</v>
      </c>
      <c r="CK221" s="37">
        <v>0</v>
      </c>
      <c r="CL221" s="37">
        <v>0</v>
      </c>
      <c r="CM221" s="37">
        <v>0</v>
      </c>
      <c r="CN221" s="59">
        <v>500</v>
      </c>
      <c r="CO221" s="59">
        <v>1700500</v>
      </c>
      <c r="CP221" s="58"/>
      <c r="CQ221" s="3">
        <v>1700500</v>
      </c>
    </row>
    <row r="222" spans="1:95" customFormat="1" x14ac:dyDescent="0.2">
      <c r="A222" s="209">
        <v>43248</v>
      </c>
      <c r="B222" s="33" t="s">
        <v>85</v>
      </c>
      <c r="C222" s="33" t="s">
        <v>76</v>
      </c>
      <c r="D222" s="43">
        <v>0</v>
      </c>
      <c r="E222" s="43">
        <v>1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0</v>
      </c>
      <c r="O222" s="43">
        <v>0</v>
      </c>
      <c r="P222" s="47" t="s">
        <v>45</v>
      </c>
      <c r="R222" s="37">
        <v>0</v>
      </c>
      <c r="S222" s="37">
        <v>0</v>
      </c>
      <c r="T222" s="37">
        <v>1000000</v>
      </c>
      <c r="U222" s="37">
        <v>0</v>
      </c>
      <c r="V222" s="37">
        <v>50000</v>
      </c>
      <c r="W222" s="37">
        <v>0</v>
      </c>
      <c r="X222" s="37">
        <v>100000</v>
      </c>
      <c r="Y222" s="37">
        <v>0</v>
      </c>
      <c r="Z222" s="37">
        <v>0</v>
      </c>
      <c r="AA222" s="37">
        <v>0</v>
      </c>
      <c r="AB222" s="37">
        <v>15000</v>
      </c>
      <c r="AC222" s="37">
        <v>0</v>
      </c>
      <c r="AD222" s="37">
        <v>8000</v>
      </c>
      <c r="AE222" s="37">
        <v>0</v>
      </c>
      <c r="AF222" s="37">
        <v>0</v>
      </c>
      <c r="AG222" s="59">
        <v>1173000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200</v>
      </c>
      <c r="AO222" s="37">
        <v>0</v>
      </c>
      <c r="AP222" s="37">
        <v>0</v>
      </c>
      <c r="AQ222" s="37">
        <v>0</v>
      </c>
      <c r="AR222" s="37">
        <v>0</v>
      </c>
      <c r="AS222" s="59">
        <v>200</v>
      </c>
      <c r="AT222" s="59">
        <v>1173200</v>
      </c>
      <c r="AU222" s="45"/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0</v>
      </c>
      <c r="BH222" s="37">
        <v>0</v>
      </c>
      <c r="BI222" s="37">
        <v>0</v>
      </c>
      <c r="BJ222" s="37">
        <v>0</v>
      </c>
      <c r="BK222" s="59">
        <v>0</v>
      </c>
      <c r="BL222" s="37">
        <v>0</v>
      </c>
      <c r="BM222" s="37">
        <v>0</v>
      </c>
      <c r="BN222" s="37">
        <v>0</v>
      </c>
      <c r="BO222" s="37">
        <v>0</v>
      </c>
      <c r="BP222" s="37">
        <v>0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59">
        <v>0</v>
      </c>
      <c r="BX222" s="59">
        <v>0</v>
      </c>
      <c r="BZ222" s="37">
        <v>1000000</v>
      </c>
      <c r="CA222" s="37">
        <v>50000</v>
      </c>
      <c r="CB222" s="37">
        <v>100000</v>
      </c>
      <c r="CC222" s="37">
        <v>0</v>
      </c>
      <c r="CD222" s="37">
        <v>15000</v>
      </c>
      <c r="CE222" s="37">
        <v>8000</v>
      </c>
      <c r="CF222" s="37">
        <v>0</v>
      </c>
      <c r="CG222" s="59">
        <v>1173000</v>
      </c>
      <c r="CH222" s="37">
        <v>0</v>
      </c>
      <c r="CI222" s="37">
        <v>0</v>
      </c>
      <c r="CJ222" s="37">
        <v>200</v>
      </c>
      <c r="CK222" s="37">
        <v>0</v>
      </c>
      <c r="CL222" s="37">
        <v>0</v>
      </c>
      <c r="CM222" s="37">
        <v>0</v>
      </c>
      <c r="CN222" s="59">
        <v>200</v>
      </c>
      <c r="CO222" s="59">
        <v>1173200</v>
      </c>
      <c r="CP222" s="58"/>
      <c r="CQ222" s="3">
        <v>1173200</v>
      </c>
    </row>
    <row r="223" spans="1:95" customFormat="1" x14ac:dyDescent="0.2">
      <c r="A223" s="209">
        <v>43248</v>
      </c>
      <c r="B223" s="33" t="s">
        <v>75</v>
      </c>
      <c r="C223" s="33" t="s">
        <v>76</v>
      </c>
      <c r="D223" s="43">
        <v>0</v>
      </c>
      <c r="E223" s="43">
        <v>1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3">
        <v>0</v>
      </c>
      <c r="M223" s="43">
        <v>0</v>
      </c>
      <c r="N223" s="43">
        <v>0</v>
      </c>
      <c r="O223" s="43">
        <v>0</v>
      </c>
      <c r="P223" s="47" t="s">
        <v>45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20000</v>
      </c>
      <c r="AA223" s="37">
        <v>0</v>
      </c>
      <c r="AB223" s="37">
        <v>10000</v>
      </c>
      <c r="AC223" s="37">
        <v>0</v>
      </c>
      <c r="AD223" s="37">
        <v>19000</v>
      </c>
      <c r="AE223" s="37">
        <v>0</v>
      </c>
      <c r="AF223" s="37">
        <v>0</v>
      </c>
      <c r="AG223" s="59">
        <v>49000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59">
        <v>0</v>
      </c>
      <c r="AT223" s="59">
        <v>49000</v>
      </c>
      <c r="AU223" s="45"/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59">
        <v>0</v>
      </c>
      <c r="BL223" s="37">
        <v>0</v>
      </c>
      <c r="BM223" s="37">
        <v>0</v>
      </c>
      <c r="BN223" s="37">
        <v>0</v>
      </c>
      <c r="BO223" s="37">
        <v>0</v>
      </c>
      <c r="BP223" s="37">
        <v>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59">
        <v>0</v>
      </c>
      <c r="BX223" s="59">
        <v>0</v>
      </c>
      <c r="BZ223" s="37">
        <v>0</v>
      </c>
      <c r="CA223" s="37">
        <v>0</v>
      </c>
      <c r="CB223" s="37">
        <v>0</v>
      </c>
      <c r="CC223" s="37">
        <v>20000</v>
      </c>
      <c r="CD223" s="37">
        <v>10000</v>
      </c>
      <c r="CE223" s="37">
        <v>19000</v>
      </c>
      <c r="CF223" s="37">
        <v>0</v>
      </c>
      <c r="CG223" s="59">
        <v>49000</v>
      </c>
      <c r="CH223" s="37">
        <v>0</v>
      </c>
      <c r="CI223" s="37">
        <v>0</v>
      </c>
      <c r="CJ223" s="37">
        <v>0</v>
      </c>
      <c r="CK223" s="37">
        <v>0</v>
      </c>
      <c r="CL223" s="37">
        <v>0</v>
      </c>
      <c r="CM223" s="37">
        <v>0</v>
      </c>
      <c r="CN223" s="59">
        <v>0</v>
      </c>
      <c r="CO223" s="59">
        <v>49000</v>
      </c>
      <c r="CP223" s="58"/>
      <c r="CQ223" s="3">
        <v>49000</v>
      </c>
    </row>
    <row r="224" spans="1:95" customFormat="1" x14ac:dyDescent="0.2">
      <c r="A224" s="209">
        <v>43248</v>
      </c>
      <c r="B224" s="33" t="s">
        <v>53</v>
      </c>
      <c r="C224" s="33" t="s">
        <v>54</v>
      </c>
      <c r="D224" s="43">
        <v>1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0</v>
      </c>
      <c r="N224" s="43">
        <v>0</v>
      </c>
      <c r="O224" s="43">
        <v>0</v>
      </c>
      <c r="P224" s="47" t="s">
        <v>45</v>
      </c>
      <c r="R224" s="37">
        <v>0</v>
      </c>
      <c r="S224" s="37">
        <v>0</v>
      </c>
      <c r="T224" s="37">
        <v>3000000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59">
        <v>3000000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59">
        <v>0</v>
      </c>
      <c r="AT224" s="59">
        <v>3000000</v>
      </c>
      <c r="AU224" s="45"/>
      <c r="AV224" s="37">
        <v>0</v>
      </c>
      <c r="AW224" s="37">
        <v>0</v>
      </c>
      <c r="AX224" s="37">
        <v>0</v>
      </c>
      <c r="AY224" s="37">
        <v>0</v>
      </c>
      <c r="AZ224" s="37">
        <v>0</v>
      </c>
      <c r="BA224" s="37">
        <v>0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0</v>
      </c>
      <c r="BH224" s="37">
        <v>0</v>
      </c>
      <c r="BI224" s="37">
        <v>0</v>
      </c>
      <c r="BJ224" s="37">
        <v>0</v>
      </c>
      <c r="BK224" s="59">
        <v>0</v>
      </c>
      <c r="BL224" s="37">
        <v>0</v>
      </c>
      <c r="BM224" s="37">
        <v>0</v>
      </c>
      <c r="BN224" s="37">
        <v>0</v>
      </c>
      <c r="BO224" s="37">
        <v>0</v>
      </c>
      <c r="BP224" s="37">
        <v>0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59">
        <v>0</v>
      </c>
      <c r="BX224" s="59">
        <v>0</v>
      </c>
      <c r="BZ224" s="37">
        <v>3000000</v>
      </c>
      <c r="CA224" s="37">
        <v>0</v>
      </c>
      <c r="CB224" s="37">
        <v>0</v>
      </c>
      <c r="CC224" s="37">
        <v>0</v>
      </c>
      <c r="CD224" s="37">
        <v>0</v>
      </c>
      <c r="CE224" s="37">
        <v>0</v>
      </c>
      <c r="CF224" s="37">
        <v>0</v>
      </c>
      <c r="CG224" s="59">
        <v>3000000</v>
      </c>
      <c r="CH224" s="37">
        <v>0</v>
      </c>
      <c r="CI224" s="37">
        <v>0</v>
      </c>
      <c r="CJ224" s="37">
        <v>0</v>
      </c>
      <c r="CK224" s="37">
        <v>0</v>
      </c>
      <c r="CL224" s="37">
        <v>0</v>
      </c>
      <c r="CM224" s="37">
        <v>0</v>
      </c>
      <c r="CN224" s="59">
        <v>0</v>
      </c>
      <c r="CO224" s="59">
        <v>3000000</v>
      </c>
      <c r="CP224" s="58"/>
      <c r="CQ224" s="3">
        <v>3000000</v>
      </c>
    </row>
    <row r="225" spans="1:95" customFormat="1" x14ac:dyDescent="0.2">
      <c r="A225" s="209">
        <v>43250</v>
      </c>
      <c r="B225" s="33" t="s">
        <v>55</v>
      </c>
      <c r="C225" s="33" t="s">
        <v>56</v>
      </c>
      <c r="D225" s="43">
        <v>0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0</v>
      </c>
      <c r="L225" s="43">
        <v>0</v>
      </c>
      <c r="M225" s="43">
        <v>0</v>
      </c>
      <c r="N225" s="43">
        <v>0</v>
      </c>
      <c r="O225" s="43">
        <v>0</v>
      </c>
      <c r="P225" s="4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  <c r="AE225" s="37">
        <v>0</v>
      </c>
      <c r="AF225" s="37">
        <v>0</v>
      </c>
      <c r="AG225" s="59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0</v>
      </c>
      <c r="AM225" s="37">
        <v>0</v>
      </c>
      <c r="AN225" s="37">
        <v>0</v>
      </c>
      <c r="AO225" s="37">
        <v>0</v>
      </c>
      <c r="AP225" s="37">
        <v>2</v>
      </c>
      <c r="AQ225" s="37">
        <v>0</v>
      </c>
      <c r="AR225" s="37">
        <v>0</v>
      </c>
      <c r="AS225" s="59">
        <v>2</v>
      </c>
      <c r="AT225" s="59">
        <v>2</v>
      </c>
      <c r="AU225" s="45"/>
      <c r="AV225" s="37">
        <v>0</v>
      </c>
      <c r="AW225" s="37">
        <v>0</v>
      </c>
      <c r="AX225" s="37">
        <v>0</v>
      </c>
      <c r="AY225" s="37">
        <v>0</v>
      </c>
      <c r="AZ225" s="37">
        <v>0</v>
      </c>
      <c r="BA225" s="37">
        <v>0</v>
      </c>
      <c r="BB225" s="37">
        <v>0</v>
      </c>
      <c r="BC225" s="37">
        <v>0</v>
      </c>
      <c r="BD225" s="37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59">
        <v>0</v>
      </c>
      <c r="BL225" s="37">
        <v>0</v>
      </c>
      <c r="BM225" s="37">
        <v>0</v>
      </c>
      <c r="BN225" s="37">
        <v>0</v>
      </c>
      <c r="BO225" s="37">
        <v>0</v>
      </c>
      <c r="BP225" s="37">
        <v>0</v>
      </c>
      <c r="BQ225" s="37">
        <v>0</v>
      </c>
      <c r="BR225" s="37">
        <v>0</v>
      </c>
      <c r="BS225" s="37">
        <v>0</v>
      </c>
      <c r="BT225" s="37">
        <v>0</v>
      </c>
      <c r="BU225" s="37">
        <v>0</v>
      </c>
      <c r="BV225" s="37">
        <v>0</v>
      </c>
      <c r="BW225" s="59">
        <v>0</v>
      </c>
      <c r="BX225" s="59">
        <v>0</v>
      </c>
      <c r="BZ225" s="37">
        <v>0</v>
      </c>
      <c r="CA225" s="37">
        <v>0</v>
      </c>
      <c r="CB225" s="37">
        <v>0</v>
      </c>
      <c r="CC225" s="37">
        <v>0</v>
      </c>
      <c r="CD225" s="37">
        <v>0</v>
      </c>
      <c r="CE225" s="37">
        <v>0</v>
      </c>
      <c r="CF225" s="37">
        <v>0</v>
      </c>
      <c r="CG225" s="59">
        <v>0</v>
      </c>
      <c r="CH225" s="37">
        <v>0</v>
      </c>
      <c r="CI225" s="37">
        <v>0</v>
      </c>
      <c r="CJ225" s="37">
        <v>0</v>
      </c>
      <c r="CK225" s="37">
        <v>2</v>
      </c>
      <c r="CL225" s="37">
        <v>0</v>
      </c>
      <c r="CM225" s="37">
        <v>0</v>
      </c>
      <c r="CN225" s="59">
        <v>2</v>
      </c>
      <c r="CO225" s="59">
        <v>2</v>
      </c>
      <c r="CP225" s="58"/>
      <c r="CQ225" s="3">
        <v>2</v>
      </c>
    </row>
    <row r="226" spans="1:95" customFormat="1" x14ac:dyDescent="0.2">
      <c r="A226" s="209">
        <v>43250</v>
      </c>
      <c r="B226" s="33" t="s">
        <v>68</v>
      </c>
      <c r="C226" s="33" t="s">
        <v>115</v>
      </c>
      <c r="D226" s="43">
        <v>0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0</v>
      </c>
      <c r="N226" s="43">
        <v>1</v>
      </c>
      <c r="O226" s="43">
        <v>0</v>
      </c>
      <c r="P226" s="47" t="s">
        <v>45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10000</v>
      </c>
      <c r="AC226" s="37">
        <v>0</v>
      </c>
      <c r="AD226" s="37">
        <v>20000</v>
      </c>
      <c r="AE226" s="37">
        <v>0</v>
      </c>
      <c r="AF226" s="37">
        <v>0</v>
      </c>
      <c r="AG226" s="59">
        <v>30000</v>
      </c>
      <c r="AH226" s="37">
        <v>0</v>
      </c>
      <c r="AI226" s="37">
        <v>2500</v>
      </c>
      <c r="AJ226" s="37">
        <v>0</v>
      </c>
      <c r="AK226" s="37">
        <v>0</v>
      </c>
      <c r="AL226" s="37">
        <v>2000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59">
        <v>4500</v>
      </c>
      <c r="AT226" s="59">
        <v>34500</v>
      </c>
      <c r="AU226" s="45"/>
      <c r="AV226" s="37">
        <v>0</v>
      </c>
      <c r="AW226" s="37">
        <v>0</v>
      </c>
      <c r="AX226" s="37">
        <v>0</v>
      </c>
      <c r="AY226" s="37">
        <v>0</v>
      </c>
      <c r="AZ226" s="37">
        <v>0</v>
      </c>
      <c r="BA226" s="37">
        <v>0</v>
      </c>
      <c r="BB226" s="37">
        <v>0</v>
      </c>
      <c r="BC226" s="37">
        <v>0</v>
      </c>
      <c r="BD226" s="37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59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0</v>
      </c>
      <c r="BQ226" s="37">
        <v>0</v>
      </c>
      <c r="BR226" s="37">
        <v>0</v>
      </c>
      <c r="BS226" s="37">
        <v>0</v>
      </c>
      <c r="BT226" s="37">
        <v>0</v>
      </c>
      <c r="BU226" s="37">
        <v>0</v>
      </c>
      <c r="BV226" s="37">
        <v>0</v>
      </c>
      <c r="BW226" s="59">
        <v>0</v>
      </c>
      <c r="BX226" s="59">
        <v>0</v>
      </c>
      <c r="BZ226" s="37">
        <v>0</v>
      </c>
      <c r="CA226" s="37">
        <v>0</v>
      </c>
      <c r="CB226" s="37">
        <v>0</v>
      </c>
      <c r="CC226" s="37">
        <v>0</v>
      </c>
      <c r="CD226" s="37">
        <v>10000</v>
      </c>
      <c r="CE226" s="37">
        <v>20000</v>
      </c>
      <c r="CF226" s="37">
        <v>0</v>
      </c>
      <c r="CG226" s="59">
        <v>30000</v>
      </c>
      <c r="CH226" s="37">
        <v>2500</v>
      </c>
      <c r="CI226" s="37">
        <v>2000</v>
      </c>
      <c r="CJ226" s="37">
        <v>0</v>
      </c>
      <c r="CK226" s="37">
        <v>0</v>
      </c>
      <c r="CL226" s="37">
        <v>0</v>
      </c>
      <c r="CM226" s="37">
        <v>0</v>
      </c>
      <c r="CN226" s="59">
        <v>4500</v>
      </c>
      <c r="CO226" s="59">
        <v>34500</v>
      </c>
      <c r="CP226" s="58"/>
      <c r="CQ226" s="3">
        <v>34500</v>
      </c>
    </row>
    <row r="227" spans="1:95" customFormat="1" x14ac:dyDescent="0.2">
      <c r="A227" s="209">
        <v>43250</v>
      </c>
      <c r="B227" s="33" t="s">
        <v>79</v>
      </c>
      <c r="C227" s="33" t="s">
        <v>76</v>
      </c>
      <c r="D227" s="43">
        <v>0</v>
      </c>
      <c r="E227" s="43">
        <v>0</v>
      </c>
      <c r="F227" s="43">
        <v>1</v>
      </c>
      <c r="G227" s="43">
        <v>0</v>
      </c>
      <c r="H227" s="43">
        <v>0</v>
      </c>
      <c r="I227" s="43">
        <v>0</v>
      </c>
      <c r="J227" s="43">
        <v>0</v>
      </c>
      <c r="K227" s="43">
        <v>0</v>
      </c>
      <c r="L227" s="43">
        <v>0</v>
      </c>
      <c r="M227" s="43">
        <v>0</v>
      </c>
      <c r="N227" s="43">
        <v>0</v>
      </c>
      <c r="O227" s="43">
        <v>0</v>
      </c>
      <c r="P227" s="47" t="s">
        <v>67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100000</v>
      </c>
      <c r="Y227" s="37">
        <v>0</v>
      </c>
      <c r="Z227" s="37">
        <v>0</v>
      </c>
      <c r="AA227" s="37">
        <v>0</v>
      </c>
      <c r="AB227" s="37">
        <v>25000</v>
      </c>
      <c r="AC227" s="37">
        <v>0</v>
      </c>
      <c r="AD227" s="37">
        <v>8000</v>
      </c>
      <c r="AE227" s="37">
        <v>0</v>
      </c>
      <c r="AF227" s="37">
        <v>1000</v>
      </c>
      <c r="AG227" s="59">
        <v>134000</v>
      </c>
      <c r="AH227" s="37">
        <v>0</v>
      </c>
      <c r="AI227" s="37">
        <v>300</v>
      </c>
      <c r="AJ227" s="37">
        <v>0</v>
      </c>
      <c r="AK227" s="37">
        <v>0</v>
      </c>
      <c r="AL227" s="37">
        <v>175</v>
      </c>
      <c r="AM227" s="37">
        <v>0</v>
      </c>
      <c r="AN227" s="37">
        <v>120</v>
      </c>
      <c r="AO227" s="37">
        <v>0</v>
      </c>
      <c r="AP227" s="37">
        <v>60</v>
      </c>
      <c r="AQ227" s="37">
        <v>0</v>
      </c>
      <c r="AR227" s="37">
        <v>0</v>
      </c>
      <c r="AS227" s="59">
        <v>655</v>
      </c>
      <c r="AT227" s="59">
        <v>134655</v>
      </c>
      <c r="AU227" s="45"/>
      <c r="AV227" s="37">
        <v>0</v>
      </c>
      <c r="AW227" s="37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59">
        <v>0</v>
      </c>
      <c r="BL227" s="37">
        <v>0</v>
      </c>
      <c r="BM227" s="37">
        <v>0</v>
      </c>
      <c r="BN227" s="37">
        <v>0</v>
      </c>
      <c r="BO227" s="37">
        <v>0</v>
      </c>
      <c r="BP227" s="37">
        <v>0</v>
      </c>
      <c r="BQ227" s="37">
        <v>0</v>
      </c>
      <c r="BR227" s="37">
        <v>0</v>
      </c>
      <c r="BS227" s="37">
        <v>0</v>
      </c>
      <c r="BT227" s="37">
        <v>0</v>
      </c>
      <c r="BU227" s="37">
        <v>0</v>
      </c>
      <c r="BV227" s="37">
        <v>0</v>
      </c>
      <c r="BW227" s="59">
        <v>0</v>
      </c>
      <c r="BX227" s="59">
        <v>0</v>
      </c>
      <c r="BZ227" s="37">
        <v>0</v>
      </c>
      <c r="CA227" s="37">
        <v>0</v>
      </c>
      <c r="CB227" s="37">
        <v>100000</v>
      </c>
      <c r="CC227" s="37">
        <v>0</v>
      </c>
      <c r="CD227" s="37">
        <v>25000</v>
      </c>
      <c r="CE227" s="37">
        <v>8000</v>
      </c>
      <c r="CF227" s="37">
        <v>1000</v>
      </c>
      <c r="CG227" s="59">
        <v>134000</v>
      </c>
      <c r="CH227" s="37">
        <v>300</v>
      </c>
      <c r="CI227" s="37">
        <v>175</v>
      </c>
      <c r="CJ227" s="37">
        <v>120</v>
      </c>
      <c r="CK227" s="37">
        <v>60</v>
      </c>
      <c r="CL227" s="37">
        <v>0</v>
      </c>
      <c r="CM227" s="37">
        <v>0</v>
      </c>
      <c r="CN227" s="59">
        <v>655</v>
      </c>
      <c r="CO227" s="59">
        <v>134655</v>
      </c>
      <c r="CP227" s="58"/>
      <c r="CQ227" s="3">
        <v>134655</v>
      </c>
    </row>
    <row r="228" spans="1:95" customFormat="1" x14ac:dyDescent="0.2">
      <c r="A228" s="209">
        <v>43250</v>
      </c>
      <c r="B228" s="33" t="s">
        <v>75</v>
      </c>
      <c r="C228" s="33" t="s">
        <v>76</v>
      </c>
      <c r="D228" s="43">
        <v>0</v>
      </c>
      <c r="E228" s="43">
        <v>0</v>
      </c>
      <c r="F228" s="43">
        <v>1</v>
      </c>
      <c r="G228" s="43">
        <v>0</v>
      </c>
      <c r="H228" s="43">
        <v>0</v>
      </c>
      <c r="I228" s="43">
        <v>0</v>
      </c>
      <c r="J228" s="43">
        <v>0</v>
      </c>
      <c r="K228" s="43">
        <v>0</v>
      </c>
      <c r="L228" s="43">
        <v>0</v>
      </c>
      <c r="M228" s="43">
        <v>0</v>
      </c>
      <c r="N228" s="43">
        <v>0</v>
      </c>
      <c r="O228" s="43">
        <v>0</v>
      </c>
      <c r="P228" s="47" t="s">
        <v>67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60000</v>
      </c>
      <c r="Y228" s="37">
        <v>0</v>
      </c>
      <c r="Z228" s="37">
        <v>0</v>
      </c>
      <c r="AA228" s="37">
        <v>0</v>
      </c>
      <c r="AB228" s="37">
        <v>30000</v>
      </c>
      <c r="AC228" s="37">
        <v>0</v>
      </c>
      <c r="AD228" s="37">
        <v>10000</v>
      </c>
      <c r="AE228" s="37">
        <v>0</v>
      </c>
      <c r="AF228" s="37">
        <v>0</v>
      </c>
      <c r="AG228" s="59">
        <v>100000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59">
        <v>0</v>
      </c>
      <c r="AT228" s="59">
        <v>100000</v>
      </c>
      <c r="AU228" s="45"/>
      <c r="AV228" s="37">
        <v>0</v>
      </c>
      <c r="AW228" s="37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59">
        <v>0</v>
      </c>
      <c r="BL228" s="37">
        <v>0</v>
      </c>
      <c r="BM228" s="37">
        <v>0</v>
      </c>
      <c r="BN228" s="37">
        <v>0</v>
      </c>
      <c r="BO228" s="37">
        <v>0</v>
      </c>
      <c r="BP228" s="37">
        <v>0</v>
      </c>
      <c r="BQ228" s="37">
        <v>0</v>
      </c>
      <c r="BR228" s="37">
        <v>0</v>
      </c>
      <c r="BS228" s="37">
        <v>0</v>
      </c>
      <c r="BT228" s="37">
        <v>0</v>
      </c>
      <c r="BU228" s="37">
        <v>0</v>
      </c>
      <c r="BV228" s="37">
        <v>0</v>
      </c>
      <c r="BW228" s="59">
        <v>0</v>
      </c>
      <c r="BX228" s="59">
        <v>0</v>
      </c>
      <c r="BZ228" s="37">
        <v>0</v>
      </c>
      <c r="CA228" s="37">
        <v>0</v>
      </c>
      <c r="CB228" s="37">
        <v>60000</v>
      </c>
      <c r="CC228" s="37">
        <v>0</v>
      </c>
      <c r="CD228" s="37">
        <v>30000</v>
      </c>
      <c r="CE228" s="37">
        <v>10000</v>
      </c>
      <c r="CF228" s="37">
        <v>0</v>
      </c>
      <c r="CG228" s="59">
        <v>100000</v>
      </c>
      <c r="CH228" s="37">
        <v>0</v>
      </c>
      <c r="CI228" s="37">
        <v>0</v>
      </c>
      <c r="CJ228" s="37">
        <v>0</v>
      </c>
      <c r="CK228" s="37">
        <v>0</v>
      </c>
      <c r="CL228" s="37">
        <v>0</v>
      </c>
      <c r="CM228" s="37">
        <v>0</v>
      </c>
      <c r="CN228" s="59">
        <v>0</v>
      </c>
      <c r="CO228" s="59">
        <v>100000</v>
      </c>
      <c r="CP228" s="58"/>
      <c r="CQ228" s="3">
        <v>100000</v>
      </c>
    </row>
    <row r="229" spans="1:95" customFormat="1" x14ac:dyDescent="0.2">
      <c r="A229" s="209">
        <v>43250</v>
      </c>
      <c r="B229" s="33" t="s">
        <v>53</v>
      </c>
      <c r="C229" s="33" t="s">
        <v>54</v>
      </c>
      <c r="D229" s="43">
        <v>1</v>
      </c>
      <c r="E229" s="43">
        <v>0</v>
      </c>
      <c r="F229" s="43">
        <v>0</v>
      </c>
      <c r="G229" s="43">
        <v>0</v>
      </c>
      <c r="H229" s="43">
        <v>0</v>
      </c>
      <c r="I229" s="43">
        <v>0</v>
      </c>
      <c r="J229" s="43">
        <v>0</v>
      </c>
      <c r="K229" s="43">
        <v>0</v>
      </c>
      <c r="L229" s="43">
        <v>0</v>
      </c>
      <c r="M229" s="43">
        <v>0</v>
      </c>
      <c r="N229" s="43">
        <v>0</v>
      </c>
      <c r="O229" s="43">
        <v>0</v>
      </c>
      <c r="P229" s="47" t="s">
        <v>45</v>
      </c>
      <c r="R229" s="37">
        <v>0</v>
      </c>
      <c r="S229" s="37">
        <v>0</v>
      </c>
      <c r="T229" s="37">
        <v>2500000</v>
      </c>
      <c r="U229" s="37">
        <v>0</v>
      </c>
      <c r="V229" s="37">
        <v>300000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59">
        <v>2800000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59">
        <v>0</v>
      </c>
      <c r="AT229" s="59">
        <v>2800000</v>
      </c>
      <c r="AU229" s="45"/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59">
        <v>0</v>
      </c>
      <c r="BL229" s="37">
        <v>0</v>
      </c>
      <c r="BM229" s="37">
        <v>0</v>
      </c>
      <c r="BN229" s="37">
        <v>0</v>
      </c>
      <c r="BO229" s="37">
        <v>0</v>
      </c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59">
        <v>0</v>
      </c>
      <c r="BX229" s="59">
        <v>0</v>
      </c>
      <c r="BZ229" s="37">
        <v>2500000</v>
      </c>
      <c r="CA229" s="37">
        <v>300000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59">
        <v>2800000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59">
        <v>0</v>
      </c>
      <c r="CO229" s="59">
        <v>2800000</v>
      </c>
      <c r="CP229" s="58"/>
      <c r="CQ229" s="3">
        <v>2800000</v>
      </c>
    </row>
    <row r="230" spans="1:95" customFormat="1" x14ac:dyDescent="0.2">
      <c r="A230" s="209">
        <v>43250</v>
      </c>
      <c r="B230" s="33" t="s">
        <v>85</v>
      </c>
      <c r="C230" s="33" t="s">
        <v>76</v>
      </c>
      <c r="D230" s="43">
        <v>0</v>
      </c>
      <c r="E230" s="43">
        <v>0</v>
      </c>
      <c r="F230" s="43">
        <v>1</v>
      </c>
      <c r="G230" s="43">
        <v>0</v>
      </c>
      <c r="H230" s="43">
        <v>0</v>
      </c>
      <c r="I230" s="43">
        <v>0</v>
      </c>
      <c r="J230" s="43">
        <v>0</v>
      </c>
      <c r="K230" s="43">
        <v>0</v>
      </c>
      <c r="L230" s="43">
        <v>0</v>
      </c>
      <c r="M230" s="43">
        <v>0</v>
      </c>
      <c r="N230" s="43">
        <v>0</v>
      </c>
      <c r="O230" s="43">
        <v>0</v>
      </c>
      <c r="P230" s="47" t="s">
        <v>67</v>
      </c>
      <c r="R230" s="37">
        <v>0</v>
      </c>
      <c r="S230" s="37">
        <v>0</v>
      </c>
      <c r="T230" s="37">
        <v>2030000</v>
      </c>
      <c r="U230" s="37">
        <v>0</v>
      </c>
      <c r="V230" s="37">
        <v>300000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59">
        <v>2330000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0</v>
      </c>
      <c r="AN230" s="37">
        <v>0</v>
      </c>
      <c r="AO230" s="37">
        <v>0</v>
      </c>
      <c r="AP230" s="37">
        <v>0</v>
      </c>
      <c r="AQ230" s="37">
        <v>0</v>
      </c>
      <c r="AR230" s="37">
        <v>0</v>
      </c>
      <c r="AS230" s="59">
        <v>0</v>
      </c>
      <c r="AT230" s="59">
        <v>2330000</v>
      </c>
      <c r="AU230" s="45"/>
      <c r="AV230" s="37">
        <v>0</v>
      </c>
      <c r="AW230" s="37">
        <v>0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0</v>
      </c>
      <c r="BH230" s="37">
        <v>0</v>
      </c>
      <c r="BI230" s="37">
        <v>0</v>
      </c>
      <c r="BJ230" s="37">
        <v>0</v>
      </c>
      <c r="BK230" s="59">
        <v>0</v>
      </c>
      <c r="BL230" s="37">
        <v>0</v>
      </c>
      <c r="BM230" s="37">
        <v>0</v>
      </c>
      <c r="BN230" s="37">
        <v>0</v>
      </c>
      <c r="BO230" s="37">
        <v>0</v>
      </c>
      <c r="BP230" s="37">
        <v>0</v>
      </c>
      <c r="BQ230" s="37">
        <v>0</v>
      </c>
      <c r="BR230" s="37">
        <v>0</v>
      </c>
      <c r="BS230" s="37">
        <v>0</v>
      </c>
      <c r="BT230" s="37">
        <v>0</v>
      </c>
      <c r="BU230" s="37">
        <v>0</v>
      </c>
      <c r="BV230" s="37">
        <v>0</v>
      </c>
      <c r="BW230" s="59">
        <v>0</v>
      </c>
      <c r="BX230" s="59">
        <v>0</v>
      </c>
      <c r="BZ230" s="37">
        <v>2030000</v>
      </c>
      <c r="CA230" s="37">
        <v>300000</v>
      </c>
      <c r="CB230" s="37">
        <v>0</v>
      </c>
      <c r="CC230" s="37">
        <v>0</v>
      </c>
      <c r="CD230" s="37">
        <v>0</v>
      </c>
      <c r="CE230" s="37">
        <v>0</v>
      </c>
      <c r="CF230" s="37">
        <v>0</v>
      </c>
      <c r="CG230" s="59">
        <v>2330000</v>
      </c>
      <c r="CH230" s="37">
        <v>0</v>
      </c>
      <c r="CI230" s="37">
        <v>0</v>
      </c>
      <c r="CJ230" s="37">
        <v>0</v>
      </c>
      <c r="CK230" s="37">
        <v>0</v>
      </c>
      <c r="CL230" s="37">
        <v>0</v>
      </c>
      <c r="CM230" s="37">
        <v>0</v>
      </c>
      <c r="CN230" s="59">
        <v>0</v>
      </c>
      <c r="CO230" s="59">
        <v>2330000</v>
      </c>
      <c r="CP230" s="58"/>
      <c r="CQ230" s="3">
        <v>2330000</v>
      </c>
    </row>
    <row r="231" spans="1:95" customFormat="1" x14ac:dyDescent="0.2">
      <c r="A231" s="209">
        <v>43251</v>
      </c>
      <c r="B231" s="33" t="s">
        <v>55</v>
      </c>
      <c r="C231" s="33" t="s">
        <v>56</v>
      </c>
      <c r="D231" s="43">
        <v>0</v>
      </c>
      <c r="E231" s="43">
        <v>0</v>
      </c>
      <c r="F231" s="43">
        <v>0</v>
      </c>
      <c r="G231" s="43">
        <v>0</v>
      </c>
      <c r="H231" s="43">
        <v>0</v>
      </c>
      <c r="I231" s="43">
        <v>0</v>
      </c>
      <c r="J231" s="43">
        <v>0</v>
      </c>
      <c r="K231" s="43">
        <v>0</v>
      </c>
      <c r="L231" s="43">
        <v>0</v>
      </c>
      <c r="M231" s="43">
        <v>0</v>
      </c>
      <c r="N231" s="43">
        <v>0</v>
      </c>
      <c r="O231" s="43">
        <v>0</v>
      </c>
      <c r="P231" s="4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200</v>
      </c>
      <c r="AC231" s="37">
        <v>0</v>
      </c>
      <c r="AD231" s="37">
        <v>0</v>
      </c>
      <c r="AE231" s="37">
        <v>0</v>
      </c>
      <c r="AF231" s="37">
        <v>0</v>
      </c>
      <c r="AG231" s="59">
        <v>200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v>0</v>
      </c>
      <c r="AP231" s="37">
        <v>0</v>
      </c>
      <c r="AQ231" s="37">
        <v>0</v>
      </c>
      <c r="AR231" s="37">
        <v>0</v>
      </c>
      <c r="AS231" s="59">
        <v>0</v>
      </c>
      <c r="AT231" s="59">
        <v>200</v>
      </c>
      <c r="AU231" s="45"/>
      <c r="AV231" s="37">
        <v>0</v>
      </c>
      <c r="AW231" s="37">
        <v>0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59">
        <v>0</v>
      </c>
      <c r="BL231" s="37">
        <v>0</v>
      </c>
      <c r="BM231" s="37">
        <v>0</v>
      </c>
      <c r="BN231" s="37">
        <v>0</v>
      </c>
      <c r="BO231" s="37">
        <v>0</v>
      </c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0</v>
      </c>
      <c r="BV231" s="37">
        <v>0</v>
      </c>
      <c r="BW231" s="59">
        <v>0</v>
      </c>
      <c r="BX231" s="59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200</v>
      </c>
      <c r="CE231" s="37">
        <v>0</v>
      </c>
      <c r="CF231" s="37">
        <v>0</v>
      </c>
      <c r="CG231" s="59">
        <v>200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59">
        <v>0</v>
      </c>
      <c r="CO231" s="59">
        <v>200</v>
      </c>
      <c r="CP231" s="58"/>
      <c r="CQ231" s="3">
        <v>200</v>
      </c>
    </row>
    <row r="232" spans="1:95" customFormat="1" x14ac:dyDescent="0.2">
      <c r="A232" s="209">
        <v>43251</v>
      </c>
      <c r="B232" s="33" t="s">
        <v>53</v>
      </c>
      <c r="C232" s="33" t="s">
        <v>57</v>
      </c>
      <c r="D232" s="43">
        <v>0</v>
      </c>
      <c r="E232" s="43">
        <v>0</v>
      </c>
      <c r="F232" s="43">
        <v>0</v>
      </c>
      <c r="G232" s="43">
        <v>0</v>
      </c>
      <c r="H232" s="43">
        <v>0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7">
        <v>0</v>
      </c>
      <c r="R232" s="37">
        <v>0</v>
      </c>
      <c r="S232" s="37">
        <v>0</v>
      </c>
      <c r="T232" s="37">
        <v>4000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200</v>
      </c>
      <c r="AC232" s="37">
        <v>0</v>
      </c>
      <c r="AD232" s="37">
        <v>0</v>
      </c>
      <c r="AE232" s="37">
        <v>0</v>
      </c>
      <c r="AF232" s="37">
        <v>0</v>
      </c>
      <c r="AG232" s="59">
        <v>4200</v>
      </c>
      <c r="AH232" s="37">
        <v>0</v>
      </c>
      <c r="AI232" s="37">
        <v>0</v>
      </c>
      <c r="AJ232" s="37">
        <v>0</v>
      </c>
      <c r="AK232" s="37">
        <v>0</v>
      </c>
      <c r="AL232" s="37">
        <v>5</v>
      </c>
      <c r="AM232" s="37">
        <v>0</v>
      </c>
      <c r="AN232" s="37">
        <v>4</v>
      </c>
      <c r="AO232" s="37">
        <v>0</v>
      </c>
      <c r="AP232" s="37">
        <v>2</v>
      </c>
      <c r="AQ232" s="37">
        <v>0</v>
      </c>
      <c r="AR232" s="37">
        <v>0</v>
      </c>
      <c r="AS232" s="59">
        <v>11</v>
      </c>
      <c r="AT232" s="59">
        <v>4211</v>
      </c>
      <c r="AU232" s="45"/>
      <c r="AV232" s="37">
        <v>0</v>
      </c>
      <c r="AW232" s="37">
        <v>0</v>
      </c>
      <c r="AX232" s="37">
        <v>0</v>
      </c>
      <c r="AY232" s="37">
        <v>0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59">
        <v>0</v>
      </c>
      <c r="BL232" s="37">
        <v>0</v>
      </c>
      <c r="BM232" s="37">
        <v>0</v>
      </c>
      <c r="BN232" s="37">
        <v>0</v>
      </c>
      <c r="BO232" s="37">
        <v>0</v>
      </c>
      <c r="BP232" s="37">
        <v>0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59">
        <v>0</v>
      </c>
      <c r="BX232" s="59">
        <v>0</v>
      </c>
      <c r="BZ232" s="37">
        <v>4000</v>
      </c>
      <c r="CA232" s="37">
        <v>0</v>
      </c>
      <c r="CB232" s="37">
        <v>0</v>
      </c>
      <c r="CC232" s="37">
        <v>0</v>
      </c>
      <c r="CD232" s="37">
        <v>200</v>
      </c>
      <c r="CE232" s="37">
        <v>0</v>
      </c>
      <c r="CF232" s="37">
        <v>0</v>
      </c>
      <c r="CG232" s="59">
        <v>4200</v>
      </c>
      <c r="CH232" s="37">
        <v>0</v>
      </c>
      <c r="CI232" s="37">
        <v>5</v>
      </c>
      <c r="CJ232" s="37">
        <v>4</v>
      </c>
      <c r="CK232" s="37">
        <v>2</v>
      </c>
      <c r="CL232" s="37">
        <v>0</v>
      </c>
      <c r="CM232" s="37">
        <v>0</v>
      </c>
      <c r="CN232" s="59">
        <v>11</v>
      </c>
      <c r="CO232" s="59">
        <v>4211</v>
      </c>
      <c r="CP232" s="58"/>
      <c r="CQ232" s="3">
        <v>4211</v>
      </c>
    </row>
    <row r="233" spans="1:95" customFormat="1" x14ac:dyDescent="0.2">
      <c r="A233" s="209">
        <v>43251</v>
      </c>
      <c r="B233" s="33" t="s">
        <v>62</v>
      </c>
      <c r="C233" s="33" t="s">
        <v>118</v>
      </c>
      <c r="D233" s="43">
        <v>0</v>
      </c>
      <c r="E233" s="43">
        <v>0</v>
      </c>
      <c r="F233" s="43">
        <v>0</v>
      </c>
      <c r="G233" s="43">
        <v>0</v>
      </c>
      <c r="H233" s="43">
        <v>0</v>
      </c>
      <c r="I233" s="43">
        <v>1</v>
      </c>
      <c r="J233" s="43">
        <v>0</v>
      </c>
      <c r="K233" s="43">
        <v>0</v>
      </c>
      <c r="L233" s="43">
        <v>0</v>
      </c>
      <c r="M233" s="43">
        <v>0</v>
      </c>
      <c r="N233" s="43">
        <v>0</v>
      </c>
      <c r="O233" s="43">
        <v>0</v>
      </c>
      <c r="P233" s="47" t="s">
        <v>45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100000</v>
      </c>
      <c r="Y233" s="37">
        <v>0</v>
      </c>
      <c r="Z233" s="37">
        <v>0</v>
      </c>
      <c r="AA233" s="37">
        <v>0</v>
      </c>
      <c r="AB233" s="37">
        <v>40000</v>
      </c>
      <c r="AC233" s="37">
        <v>0</v>
      </c>
      <c r="AD233" s="37">
        <v>28000</v>
      </c>
      <c r="AE233" s="37">
        <v>0</v>
      </c>
      <c r="AF233" s="37">
        <v>4000</v>
      </c>
      <c r="AG233" s="59">
        <v>172000</v>
      </c>
      <c r="AH233" s="37">
        <v>0</v>
      </c>
      <c r="AI233" s="37">
        <v>1500</v>
      </c>
      <c r="AJ233" s="37">
        <v>0</v>
      </c>
      <c r="AK233" s="37">
        <v>0</v>
      </c>
      <c r="AL233" s="37">
        <v>1500</v>
      </c>
      <c r="AM233" s="37">
        <v>0</v>
      </c>
      <c r="AN233" s="37">
        <v>200</v>
      </c>
      <c r="AO233" s="37">
        <v>0</v>
      </c>
      <c r="AP233" s="37">
        <v>200</v>
      </c>
      <c r="AQ233" s="37">
        <v>0</v>
      </c>
      <c r="AR233" s="37">
        <v>0</v>
      </c>
      <c r="AS233" s="59">
        <v>3400</v>
      </c>
      <c r="AT233" s="59">
        <v>175400</v>
      </c>
      <c r="AU233" s="45"/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59">
        <v>0</v>
      </c>
      <c r="BL233" s="37">
        <v>0</v>
      </c>
      <c r="BM233" s="37">
        <v>0</v>
      </c>
      <c r="BN233" s="37">
        <v>0</v>
      </c>
      <c r="BO233" s="37">
        <v>0</v>
      </c>
      <c r="BP233" s="37">
        <v>0</v>
      </c>
      <c r="BQ233" s="37">
        <v>0</v>
      </c>
      <c r="BR233" s="37">
        <v>0</v>
      </c>
      <c r="BS233" s="37">
        <v>0</v>
      </c>
      <c r="BT233" s="37">
        <v>0</v>
      </c>
      <c r="BU233" s="37">
        <v>0</v>
      </c>
      <c r="BV233" s="37">
        <v>0</v>
      </c>
      <c r="BW233" s="59">
        <v>0</v>
      </c>
      <c r="BX233" s="59">
        <v>0</v>
      </c>
      <c r="BZ233" s="37">
        <v>0</v>
      </c>
      <c r="CA233" s="37">
        <v>0</v>
      </c>
      <c r="CB233" s="37">
        <v>100000</v>
      </c>
      <c r="CC233" s="37">
        <v>0</v>
      </c>
      <c r="CD233" s="37">
        <v>40000</v>
      </c>
      <c r="CE233" s="37">
        <v>28000</v>
      </c>
      <c r="CF233" s="37">
        <v>4000</v>
      </c>
      <c r="CG233" s="59">
        <v>172000</v>
      </c>
      <c r="CH233" s="37">
        <v>1500</v>
      </c>
      <c r="CI233" s="37">
        <v>1500</v>
      </c>
      <c r="CJ233" s="37">
        <v>200</v>
      </c>
      <c r="CK233" s="37">
        <v>200</v>
      </c>
      <c r="CL233" s="37">
        <v>0</v>
      </c>
      <c r="CM233" s="37">
        <v>0</v>
      </c>
      <c r="CN233" s="59">
        <v>3400</v>
      </c>
      <c r="CO233" s="59">
        <v>175400</v>
      </c>
      <c r="CP233" s="58"/>
      <c r="CQ233" s="3">
        <v>175400</v>
      </c>
    </row>
    <row r="234" spans="1:95" customFormat="1" x14ac:dyDescent="0.2">
      <c r="A234" s="209">
        <v>43251</v>
      </c>
      <c r="B234" s="33" t="s">
        <v>70</v>
      </c>
      <c r="C234" s="33" t="s">
        <v>118</v>
      </c>
      <c r="D234" s="43">
        <v>0</v>
      </c>
      <c r="E234" s="43">
        <v>0</v>
      </c>
      <c r="F234" s="43">
        <v>0</v>
      </c>
      <c r="G234" s="43">
        <v>0</v>
      </c>
      <c r="H234" s="43">
        <v>0</v>
      </c>
      <c r="I234" s="43">
        <v>1</v>
      </c>
      <c r="J234" s="43">
        <v>0</v>
      </c>
      <c r="K234" s="43">
        <v>0</v>
      </c>
      <c r="L234" s="43">
        <v>0</v>
      </c>
      <c r="M234" s="43">
        <v>0</v>
      </c>
      <c r="N234" s="43">
        <v>0</v>
      </c>
      <c r="O234" s="43">
        <v>0</v>
      </c>
      <c r="P234" s="47" t="s">
        <v>45</v>
      </c>
      <c r="R234" s="37">
        <v>0</v>
      </c>
      <c r="S234" s="37">
        <v>0</v>
      </c>
      <c r="T234" s="37">
        <v>2000000</v>
      </c>
      <c r="U234" s="37">
        <v>0</v>
      </c>
      <c r="V234" s="37">
        <v>210000</v>
      </c>
      <c r="W234" s="37">
        <v>0</v>
      </c>
      <c r="X234" s="37">
        <v>200000</v>
      </c>
      <c r="Y234" s="37">
        <v>0</v>
      </c>
      <c r="Z234" s="37">
        <v>40000</v>
      </c>
      <c r="AA234" s="37">
        <v>0</v>
      </c>
      <c r="AB234" s="37">
        <v>100000</v>
      </c>
      <c r="AC234" s="37">
        <v>0</v>
      </c>
      <c r="AD234" s="37">
        <v>81600</v>
      </c>
      <c r="AE234" s="37">
        <v>0</v>
      </c>
      <c r="AF234" s="37">
        <v>0</v>
      </c>
      <c r="AG234" s="59">
        <v>2631600</v>
      </c>
      <c r="AH234" s="37">
        <v>0</v>
      </c>
      <c r="AI234" s="37">
        <v>0</v>
      </c>
      <c r="AJ234" s="37">
        <v>0</v>
      </c>
      <c r="AK234" s="37">
        <v>0</v>
      </c>
      <c r="AL234" s="37">
        <v>750</v>
      </c>
      <c r="AM234" s="37">
        <v>0</v>
      </c>
      <c r="AN234" s="37">
        <v>300</v>
      </c>
      <c r="AO234" s="37">
        <v>0</v>
      </c>
      <c r="AP234" s="37">
        <v>100</v>
      </c>
      <c r="AQ234" s="37">
        <v>0</v>
      </c>
      <c r="AR234" s="37">
        <v>0</v>
      </c>
      <c r="AS234" s="59">
        <v>1150</v>
      </c>
      <c r="AT234" s="59">
        <v>2632750</v>
      </c>
      <c r="AU234" s="45"/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59">
        <v>0</v>
      </c>
      <c r="BL234" s="37">
        <v>0</v>
      </c>
      <c r="BM234" s="37">
        <v>0</v>
      </c>
      <c r="BN234" s="37">
        <v>0</v>
      </c>
      <c r="BO234" s="37">
        <v>0</v>
      </c>
      <c r="BP234" s="37">
        <v>0</v>
      </c>
      <c r="BQ234" s="37">
        <v>0</v>
      </c>
      <c r="BR234" s="37">
        <v>0</v>
      </c>
      <c r="BS234" s="37">
        <v>0</v>
      </c>
      <c r="BT234" s="37">
        <v>0</v>
      </c>
      <c r="BU234" s="37">
        <v>0</v>
      </c>
      <c r="BV234" s="37">
        <v>0</v>
      </c>
      <c r="BW234" s="59">
        <v>0</v>
      </c>
      <c r="BX234" s="59">
        <v>0</v>
      </c>
      <c r="BZ234" s="37">
        <v>2000000</v>
      </c>
      <c r="CA234" s="37">
        <v>210000</v>
      </c>
      <c r="CB234" s="37">
        <v>200000</v>
      </c>
      <c r="CC234" s="37">
        <v>40000</v>
      </c>
      <c r="CD234" s="37">
        <v>100000</v>
      </c>
      <c r="CE234" s="37">
        <v>81600</v>
      </c>
      <c r="CF234" s="37">
        <v>0</v>
      </c>
      <c r="CG234" s="59">
        <v>2631600</v>
      </c>
      <c r="CH234" s="37">
        <v>0</v>
      </c>
      <c r="CI234" s="37">
        <v>750</v>
      </c>
      <c r="CJ234" s="37">
        <v>300</v>
      </c>
      <c r="CK234" s="37">
        <v>100</v>
      </c>
      <c r="CL234" s="37">
        <v>0</v>
      </c>
      <c r="CM234" s="37">
        <v>0</v>
      </c>
      <c r="CN234" s="59">
        <v>1150</v>
      </c>
      <c r="CO234" s="59">
        <v>2632750</v>
      </c>
      <c r="CP234" s="58"/>
      <c r="CQ234" s="3">
        <v>2632750</v>
      </c>
    </row>
    <row r="235" spans="1:95" customFormat="1" x14ac:dyDescent="0.2">
      <c r="A235" s="209">
        <v>43251</v>
      </c>
      <c r="B235" s="33" t="s">
        <v>60</v>
      </c>
      <c r="C235" s="33" t="s">
        <v>61</v>
      </c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1</v>
      </c>
      <c r="O235" s="43">
        <v>0</v>
      </c>
      <c r="P235" s="47" t="s">
        <v>45</v>
      </c>
      <c r="R235" s="37">
        <v>0</v>
      </c>
      <c r="S235" s="37">
        <v>0</v>
      </c>
      <c r="T235" s="37">
        <v>2600000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10000</v>
      </c>
      <c r="AC235" s="37">
        <v>0</v>
      </c>
      <c r="AD235" s="37">
        <v>0</v>
      </c>
      <c r="AE235" s="37">
        <v>0</v>
      </c>
      <c r="AF235" s="37">
        <v>0</v>
      </c>
      <c r="AG235" s="59">
        <v>2610000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400</v>
      </c>
      <c r="AO235" s="37">
        <v>0</v>
      </c>
      <c r="AP235" s="37">
        <v>200</v>
      </c>
      <c r="AQ235" s="37">
        <v>0</v>
      </c>
      <c r="AR235" s="37">
        <v>0</v>
      </c>
      <c r="AS235" s="59">
        <v>600</v>
      </c>
      <c r="AT235" s="59">
        <v>2610600</v>
      </c>
      <c r="AU235" s="45"/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59">
        <v>0</v>
      </c>
      <c r="BL235" s="37">
        <v>0</v>
      </c>
      <c r="BM235" s="37">
        <v>0</v>
      </c>
      <c r="BN235" s="37">
        <v>0</v>
      </c>
      <c r="BO235" s="37">
        <v>0</v>
      </c>
      <c r="BP235" s="37">
        <v>0</v>
      </c>
      <c r="BQ235" s="37">
        <v>0</v>
      </c>
      <c r="BR235" s="37">
        <v>0</v>
      </c>
      <c r="BS235" s="37">
        <v>0</v>
      </c>
      <c r="BT235" s="37">
        <v>0</v>
      </c>
      <c r="BU235" s="37">
        <v>0</v>
      </c>
      <c r="BV235" s="37">
        <v>0</v>
      </c>
      <c r="BW235" s="59">
        <v>0</v>
      </c>
      <c r="BX235" s="59">
        <v>0</v>
      </c>
      <c r="BZ235" s="37">
        <v>2600000</v>
      </c>
      <c r="CA235" s="37">
        <v>0</v>
      </c>
      <c r="CB235" s="37">
        <v>0</v>
      </c>
      <c r="CC235" s="37">
        <v>0</v>
      </c>
      <c r="CD235" s="37">
        <v>10000</v>
      </c>
      <c r="CE235" s="37">
        <v>0</v>
      </c>
      <c r="CF235" s="37">
        <v>0</v>
      </c>
      <c r="CG235" s="59">
        <v>2610000</v>
      </c>
      <c r="CH235" s="37">
        <v>0</v>
      </c>
      <c r="CI235" s="37">
        <v>0</v>
      </c>
      <c r="CJ235" s="37">
        <v>400</v>
      </c>
      <c r="CK235" s="37">
        <v>200</v>
      </c>
      <c r="CL235" s="37">
        <v>0</v>
      </c>
      <c r="CM235" s="37">
        <v>0</v>
      </c>
      <c r="CN235" s="59">
        <v>600</v>
      </c>
      <c r="CO235" s="59">
        <v>2610600</v>
      </c>
      <c r="CP235" s="58"/>
      <c r="CQ235" s="3">
        <v>2610600</v>
      </c>
    </row>
    <row r="236" spans="1:95" customFormat="1" x14ac:dyDescent="0.2">
      <c r="A236" s="209">
        <v>43251</v>
      </c>
      <c r="B236" s="33" t="s">
        <v>119</v>
      </c>
      <c r="C236" s="33" t="s">
        <v>120</v>
      </c>
      <c r="D236" s="43">
        <v>0</v>
      </c>
      <c r="E236" s="43">
        <v>0</v>
      </c>
      <c r="F236" s="43">
        <v>0</v>
      </c>
      <c r="G236" s="43">
        <v>0</v>
      </c>
      <c r="H236" s="43">
        <v>0</v>
      </c>
      <c r="I236" s="43">
        <v>0</v>
      </c>
      <c r="J236" s="43">
        <v>0</v>
      </c>
      <c r="K236" s="43">
        <v>0</v>
      </c>
      <c r="L236" s="43">
        <v>0</v>
      </c>
      <c r="M236" s="43">
        <v>0</v>
      </c>
      <c r="N236" s="43">
        <v>0</v>
      </c>
      <c r="O236" s="43">
        <v>0</v>
      </c>
      <c r="P236" s="4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850000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59">
        <v>850000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0</v>
      </c>
      <c r="AN236" s="37">
        <v>0</v>
      </c>
      <c r="AO236" s="37">
        <v>0</v>
      </c>
      <c r="AP236" s="37">
        <v>0</v>
      </c>
      <c r="AQ236" s="37">
        <v>0</v>
      </c>
      <c r="AR236" s="37">
        <v>0</v>
      </c>
      <c r="AS236" s="59">
        <v>0</v>
      </c>
      <c r="AT236" s="59">
        <v>850000</v>
      </c>
      <c r="AU236" s="45"/>
      <c r="AV236" s="37">
        <v>0</v>
      </c>
      <c r="AW236" s="37">
        <v>0</v>
      </c>
      <c r="AX236" s="37">
        <v>0</v>
      </c>
      <c r="AY236" s="37">
        <v>0</v>
      </c>
      <c r="AZ236" s="37">
        <v>0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0</v>
      </c>
      <c r="BJ236" s="37">
        <v>0</v>
      </c>
      <c r="BK236" s="59">
        <v>0</v>
      </c>
      <c r="BL236" s="37">
        <v>0</v>
      </c>
      <c r="BM236" s="37">
        <v>0</v>
      </c>
      <c r="BN236" s="37">
        <v>0</v>
      </c>
      <c r="BO236" s="37">
        <v>0</v>
      </c>
      <c r="BP236" s="37">
        <v>0</v>
      </c>
      <c r="BQ236" s="37">
        <v>0</v>
      </c>
      <c r="BR236" s="37">
        <v>0</v>
      </c>
      <c r="BS236" s="37">
        <v>0</v>
      </c>
      <c r="BT236" s="37">
        <v>0</v>
      </c>
      <c r="BU236" s="37">
        <v>0</v>
      </c>
      <c r="BV236" s="37">
        <v>0</v>
      </c>
      <c r="BW236" s="59">
        <v>0</v>
      </c>
      <c r="BX236" s="59">
        <v>0</v>
      </c>
      <c r="BZ236" s="37">
        <v>0</v>
      </c>
      <c r="CA236" s="37">
        <v>850000</v>
      </c>
      <c r="CB236" s="37">
        <v>0</v>
      </c>
      <c r="CC236" s="37">
        <v>0</v>
      </c>
      <c r="CD236" s="37">
        <v>0</v>
      </c>
      <c r="CE236" s="37">
        <v>0</v>
      </c>
      <c r="CF236" s="37">
        <v>0</v>
      </c>
      <c r="CG236" s="59">
        <v>850000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59">
        <v>0</v>
      </c>
      <c r="CO236" s="59">
        <v>850000</v>
      </c>
      <c r="CP236" s="58"/>
      <c r="CQ236" s="3">
        <v>850000</v>
      </c>
    </row>
    <row r="237" spans="1:95" customFormat="1" x14ac:dyDescent="0.2">
      <c r="A237" s="209">
        <v>43251</v>
      </c>
      <c r="B237" s="33" t="s">
        <v>72</v>
      </c>
      <c r="C237" s="33" t="s">
        <v>112</v>
      </c>
      <c r="D237" s="43">
        <v>0</v>
      </c>
      <c r="E237" s="43">
        <v>0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0</v>
      </c>
      <c r="L237" s="43">
        <v>0</v>
      </c>
      <c r="M237" s="43">
        <v>0</v>
      </c>
      <c r="N237" s="43">
        <v>1</v>
      </c>
      <c r="O237" s="43">
        <v>0</v>
      </c>
      <c r="P237" s="47" t="s">
        <v>45</v>
      </c>
      <c r="R237" s="37">
        <v>0</v>
      </c>
      <c r="S237" s="37">
        <v>0</v>
      </c>
      <c r="T237" s="37">
        <v>500000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59">
        <v>500000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59">
        <v>0</v>
      </c>
      <c r="AT237" s="59">
        <v>500000</v>
      </c>
      <c r="AU237" s="45"/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59">
        <v>0</v>
      </c>
      <c r="BL237" s="37">
        <v>0</v>
      </c>
      <c r="BM237" s="37">
        <v>0</v>
      </c>
      <c r="BN237" s="37">
        <v>0</v>
      </c>
      <c r="BO237" s="37">
        <v>0</v>
      </c>
      <c r="BP237" s="37">
        <v>0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59">
        <v>0</v>
      </c>
      <c r="BX237" s="59">
        <v>0</v>
      </c>
      <c r="BZ237" s="37">
        <v>500000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0</v>
      </c>
      <c r="CG237" s="59">
        <v>500000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59">
        <v>0</v>
      </c>
      <c r="CO237" s="59">
        <v>500000</v>
      </c>
      <c r="CP237" s="58"/>
      <c r="CQ237" s="3">
        <v>500000</v>
      </c>
    </row>
    <row r="238" spans="1:95" customFormat="1" x14ac:dyDescent="0.2">
      <c r="A238" s="209">
        <v>43251</v>
      </c>
      <c r="B238" s="33" t="s">
        <v>83</v>
      </c>
      <c r="C238" s="33" t="s">
        <v>76</v>
      </c>
      <c r="D238" s="43">
        <v>0</v>
      </c>
      <c r="E238" s="43">
        <v>1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0</v>
      </c>
      <c r="L238" s="43">
        <v>0</v>
      </c>
      <c r="M238" s="43">
        <v>0</v>
      </c>
      <c r="N238" s="43">
        <v>0</v>
      </c>
      <c r="O238" s="43">
        <v>0</v>
      </c>
      <c r="P238" s="47" t="s">
        <v>45</v>
      </c>
      <c r="R238" s="37">
        <v>0</v>
      </c>
      <c r="S238" s="37">
        <v>0</v>
      </c>
      <c r="T238" s="37">
        <v>0</v>
      </c>
      <c r="U238" s="37">
        <v>0</v>
      </c>
      <c r="V238" s="37">
        <v>265000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59">
        <v>265000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7">
        <v>0</v>
      </c>
      <c r="AS238" s="59">
        <v>0</v>
      </c>
      <c r="AT238" s="59">
        <v>265000</v>
      </c>
      <c r="AU238" s="45"/>
      <c r="AV238" s="37">
        <v>0</v>
      </c>
      <c r="AW238" s="37">
        <v>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0</v>
      </c>
      <c r="BK238" s="59">
        <v>0</v>
      </c>
      <c r="BL238" s="37">
        <v>0</v>
      </c>
      <c r="BM238" s="37">
        <v>0</v>
      </c>
      <c r="BN238" s="37">
        <v>0</v>
      </c>
      <c r="BO238" s="37">
        <v>0</v>
      </c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59">
        <v>0</v>
      </c>
      <c r="BX238" s="59">
        <v>0</v>
      </c>
      <c r="BZ238" s="37">
        <v>0</v>
      </c>
      <c r="CA238" s="37">
        <v>265000</v>
      </c>
      <c r="CB238" s="37">
        <v>0</v>
      </c>
      <c r="CC238" s="37">
        <v>0</v>
      </c>
      <c r="CD238" s="37">
        <v>0</v>
      </c>
      <c r="CE238" s="37">
        <v>0</v>
      </c>
      <c r="CF238" s="37">
        <v>0</v>
      </c>
      <c r="CG238" s="59">
        <v>265000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59">
        <v>0</v>
      </c>
      <c r="CO238" s="59">
        <v>265000</v>
      </c>
      <c r="CP238" s="58"/>
      <c r="CQ238" s="3">
        <v>265000</v>
      </c>
    </row>
    <row r="239" spans="1:95" customFormat="1" x14ac:dyDescent="0.2">
      <c r="A239" s="209">
        <v>43250</v>
      </c>
      <c r="B239" s="33" t="s">
        <v>70</v>
      </c>
      <c r="C239" s="33" t="s">
        <v>121</v>
      </c>
      <c r="D239" s="43">
        <v>0</v>
      </c>
      <c r="E239" s="43">
        <v>0</v>
      </c>
      <c r="F239" s="43">
        <v>0</v>
      </c>
      <c r="G239" s="43">
        <v>0</v>
      </c>
      <c r="H239" s="43">
        <v>0</v>
      </c>
      <c r="I239" s="43">
        <v>1</v>
      </c>
      <c r="J239" s="43">
        <v>0</v>
      </c>
      <c r="K239" s="43">
        <v>0</v>
      </c>
      <c r="L239" s="43">
        <v>0</v>
      </c>
      <c r="M239" s="43">
        <v>0</v>
      </c>
      <c r="N239" s="43">
        <v>0</v>
      </c>
      <c r="O239" s="43">
        <v>0</v>
      </c>
      <c r="P239" s="47" t="s">
        <v>67</v>
      </c>
      <c r="R239" s="37">
        <v>0</v>
      </c>
      <c r="S239" s="37">
        <v>0</v>
      </c>
      <c r="T239" s="37">
        <v>1100000</v>
      </c>
      <c r="U239" s="37">
        <v>0</v>
      </c>
      <c r="V239" s="37">
        <v>850000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59">
        <v>1950000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0</v>
      </c>
      <c r="AN239" s="37">
        <v>0</v>
      </c>
      <c r="AO239" s="37">
        <v>0</v>
      </c>
      <c r="AP239" s="37">
        <v>0</v>
      </c>
      <c r="AQ239" s="37">
        <v>0</v>
      </c>
      <c r="AR239" s="37">
        <v>0</v>
      </c>
      <c r="AS239" s="59">
        <v>0</v>
      </c>
      <c r="AT239" s="59">
        <v>1950000</v>
      </c>
      <c r="AU239" s="45"/>
      <c r="AV239" s="37">
        <v>0</v>
      </c>
      <c r="AW239" s="37">
        <v>0</v>
      </c>
      <c r="AX239" s="37">
        <v>0</v>
      </c>
      <c r="AY239" s="37">
        <v>0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0</v>
      </c>
      <c r="BK239" s="59">
        <v>0</v>
      </c>
      <c r="BL239" s="37">
        <v>0</v>
      </c>
      <c r="BM239" s="37">
        <v>0</v>
      </c>
      <c r="BN239" s="37">
        <v>0</v>
      </c>
      <c r="BO239" s="37">
        <v>0</v>
      </c>
      <c r="BP239" s="37">
        <v>0</v>
      </c>
      <c r="BQ239" s="37">
        <v>0</v>
      </c>
      <c r="BR239" s="37">
        <v>0</v>
      </c>
      <c r="BS239" s="37">
        <v>0</v>
      </c>
      <c r="BT239" s="37">
        <v>0</v>
      </c>
      <c r="BU239" s="37">
        <v>0</v>
      </c>
      <c r="BV239" s="37">
        <v>0</v>
      </c>
      <c r="BW239" s="59">
        <v>0</v>
      </c>
      <c r="BX239" s="59">
        <v>0</v>
      </c>
      <c r="BZ239" s="37">
        <v>1100000</v>
      </c>
      <c r="CA239" s="37">
        <v>850000</v>
      </c>
      <c r="CB239" s="37">
        <v>0</v>
      </c>
      <c r="CC239" s="37">
        <v>0</v>
      </c>
      <c r="CD239" s="37">
        <v>0</v>
      </c>
      <c r="CE239" s="37">
        <v>0</v>
      </c>
      <c r="CF239" s="37">
        <v>0</v>
      </c>
      <c r="CG239" s="59">
        <v>1950000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59">
        <v>0</v>
      </c>
      <c r="CO239" s="59">
        <v>1950000</v>
      </c>
      <c r="CP239" s="58"/>
      <c r="CQ239" s="3">
        <v>1950000</v>
      </c>
    </row>
    <row r="240" spans="1:95" customFormat="1" x14ac:dyDescent="0.2">
      <c r="A240" s="209">
        <v>43250</v>
      </c>
      <c r="B240" s="33" t="s">
        <v>58</v>
      </c>
      <c r="C240" s="33" t="s">
        <v>122</v>
      </c>
      <c r="D240" s="43">
        <v>0</v>
      </c>
      <c r="E240" s="43">
        <v>0</v>
      </c>
      <c r="F240" s="43">
        <v>1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0</v>
      </c>
      <c r="M240" s="43">
        <v>0</v>
      </c>
      <c r="N240" s="43">
        <v>0</v>
      </c>
      <c r="O240" s="43">
        <v>0</v>
      </c>
      <c r="P240" s="47" t="s">
        <v>67</v>
      </c>
      <c r="R240" s="37">
        <v>0</v>
      </c>
      <c r="S240" s="37">
        <v>0</v>
      </c>
      <c r="T240" s="37">
        <v>0</v>
      </c>
      <c r="U240" s="37">
        <v>0</v>
      </c>
      <c r="V240" s="37">
        <v>650000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59">
        <v>650000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  <c r="AN240" s="37">
        <v>0</v>
      </c>
      <c r="AO240" s="37">
        <v>0</v>
      </c>
      <c r="AP240" s="37">
        <v>0</v>
      </c>
      <c r="AQ240" s="37">
        <v>0</v>
      </c>
      <c r="AR240" s="37">
        <v>0</v>
      </c>
      <c r="AS240" s="59">
        <v>0</v>
      </c>
      <c r="AT240" s="59">
        <v>650000</v>
      </c>
      <c r="AU240" s="45"/>
      <c r="AV240" s="37">
        <v>0</v>
      </c>
      <c r="AW240" s="37">
        <v>0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0</v>
      </c>
      <c r="BK240" s="59">
        <v>0</v>
      </c>
      <c r="BL240" s="37">
        <v>0</v>
      </c>
      <c r="BM240" s="37">
        <v>0</v>
      </c>
      <c r="BN240" s="37">
        <v>0</v>
      </c>
      <c r="BO240" s="37">
        <v>0</v>
      </c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0</v>
      </c>
      <c r="BV240" s="37">
        <v>0</v>
      </c>
      <c r="BW240" s="59">
        <v>0</v>
      </c>
      <c r="BX240" s="59">
        <v>0</v>
      </c>
      <c r="BZ240" s="37">
        <v>0</v>
      </c>
      <c r="CA240" s="37">
        <v>650000</v>
      </c>
      <c r="CB240" s="37">
        <v>0</v>
      </c>
      <c r="CC240" s="37">
        <v>0</v>
      </c>
      <c r="CD240" s="37">
        <v>0</v>
      </c>
      <c r="CE240" s="37">
        <v>0</v>
      </c>
      <c r="CF240" s="37">
        <v>0</v>
      </c>
      <c r="CG240" s="59">
        <v>650000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59">
        <v>0</v>
      </c>
      <c r="CO240" s="59">
        <v>650000</v>
      </c>
      <c r="CP240" s="58"/>
      <c r="CQ240" s="3">
        <v>650000</v>
      </c>
    </row>
    <row r="241" spans="1:95" customFormat="1" x14ac:dyDescent="0.2">
      <c r="A241" s="209">
        <v>43255</v>
      </c>
      <c r="B241" s="33" t="s">
        <v>53</v>
      </c>
      <c r="C241" s="33" t="s">
        <v>54</v>
      </c>
      <c r="D241" s="43">
        <v>1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47" t="s">
        <v>45</v>
      </c>
      <c r="R241" s="37">
        <v>0</v>
      </c>
      <c r="S241" s="37">
        <v>0</v>
      </c>
      <c r="T241" s="37">
        <v>3000000</v>
      </c>
      <c r="U241" s="37">
        <v>0</v>
      </c>
      <c r="V241" s="37">
        <v>1200000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59">
        <v>4200000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59">
        <v>0</v>
      </c>
      <c r="AT241" s="59">
        <v>4200000</v>
      </c>
      <c r="AU241" s="45"/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59">
        <v>0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59">
        <v>0</v>
      </c>
      <c r="BX241" s="59">
        <v>0</v>
      </c>
      <c r="BZ241" s="37">
        <v>3000000</v>
      </c>
      <c r="CA241" s="37">
        <v>1200000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59">
        <v>4200000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59">
        <v>0</v>
      </c>
      <c r="CO241" s="59">
        <v>4200000</v>
      </c>
      <c r="CP241" s="58"/>
      <c r="CQ241" s="3">
        <v>4200000</v>
      </c>
    </row>
    <row r="242" spans="1:95" customFormat="1" x14ac:dyDescent="0.2">
      <c r="A242" s="209">
        <v>43255</v>
      </c>
      <c r="B242" s="33" t="s">
        <v>85</v>
      </c>
      <c r="C242" s="33" t="s">
        <v>76</v>
      </c>
      <c r="D242" s="43">
        <v>0</v>
      </c>
      <c r="E242" s="43">
        <v>0</v>
      </c>
      <c r="F242" s="43">
        <v>1</v>
      </c>
      <c r="G242" s="43">
        <v>0</v>
      </c>
      <c r="H242" s="43">
        <v>0</v>
      </c>
      <c r="I242" s="43">
        <v>0</v>
      </c>
      <c r="J242" s="43">
        <v>0</v>
      </c>
      <c r="K242" s="43">
        <v>0</v>
      </c>
      <c r="L242" s="43">
        <v>0</v>
      </c>
      <c r="M242" s="43">
        <v>0</v>
      </c>
      <c r="N242" s="43">
        <v>0</v>
      </c>
      <c r="O242" s="43">
        <v>0</v>
      </c>
      <c r="P242" s="47" t="s">
        <v>67</v>
      </c>
      <c r="R242" s="37">
        <v>0</v>
      </c>
      <c r="S242" s="37">
        <v>0</v>
      </c>
      <c r="T242" s="37">
        <v>1000000</v>
      </c>
      <c r="U242" s="37">
        <v>0</v>
      </c>
      <c r="V242" s="37">
        <v>500000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59">
        <v>1500000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59">
        <v>0</v>
      </c>
      <c r="AT242" s="59">
        <v>1500000</v>
      </c>
      <c r="AU242" s="45"/>
      <c r="AV242" s="37">
        <v>0</v>
      </c>
      <c r="AW242" s="37">
        <v>0</v>
      </c>
      <c r="AX242" s="37">
        <v>0</v>
      </c>
      <c r="AY242" s="37">
        <v>0</v>
      </c>
      <c r="AZ242" s="37">
        <v>0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59">
        <v>0</v>
      </c>
      <c r="BL242" s="37">
        <v>0</v>
      </c>
      <c r="BM242" s="37">
        <v>0</v>
      </c>
      <c r="BN242" s="37">
        <v>0</v>
      </c>
      <c r="BO242" s="37">
        <v>0</v>
      </c>
      <c r="BP242" s="37">
        <v>0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59">
        <v>0</v>
      </c>
      <c r="BX242" s="59">
        <v>0</v>
      </c>
      <c r="BZ242" s="37">
        <v>1000000</v>
      </c>
      <c r="CA242" s="37">
        <v>500000</v>
      </c>
      <c r="CB242" s="37">
        <v>0</v>
      </c>
      <c r="CC242" s="37">
        <v>0</v>
      </c>
      <c r="CD242" s="37">
        <v>0</v>
      </c>
      <c r="CE242" s="37">
        <v>0</v>
      </c>
      <c r="CF242" s="37">
        <v>0</v>
      </c>
      <c r="CG242" s="59">
        <v>1500000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59">
        <v>0</v>
      </c>
      <c r="CO242" s="59">
        <v>1500000</v>
      </c>
      <c r="CP242" s="58"/>
      <c r="CQ242" s="3">
        <v>1500000</v>
      </c>
    </row>
    <row r="243" spans="1:95" customFormat="1" x14ac:dyDescent="0.2">
      <c r="A243" s="209">
        <v>43255</v>
      </c>
      <c r="B243" s="33" t="s">
        <v>75</v>
      </c>
      <c r="C243" s="33" t="s">
        <v>76</v>
      </c>
      <c r="D243" s="43">
        <v>0</v>
      </c>
      <c r="E243" s="43">
        <v>0</v>
      </c>
      <c r="F243" s="43">
        <v>1</v>
      </c>
      <c r="G243" s="43">
        <v>0</v>
      </c>
      <c r="H243" s="43">
        <v>0</v>
      </c>
      <c r="I243" s="43">
        <v>0</v>
      </c>
      <c r="J243" s="43">
        <v>0</v>
      </c>
      <c r="K243" s="43">
        <v>0</v>
      </c>
      <c r="L243" s="43">
        <v>0</v>
      </c>
      <c r="M243" s="43">
        <v>0</v>
      </c>
      <c r="N243" s="43">
        <v>0</v>
      </c>
      <c r="O243" s="43">
        <v>0</v>
      </c>
      <c r="P243" s="47" t="s">
        <v>67</v>
      </c>
      <c r="R243" s="37">
        <v>0</v>
      </c>
      <c r="S243" s="37">
        <v>0</v>
      </c>
      <c r="T243" s="37">
        <v>500000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10000</v>
      </c>
      <c r="AA243" s="37">
        <v>0</v>
      </c>
      <c r="AB243" s="37">
        <v>20000</v>
      </c>
      <c r="AC243" s="37">
        <v>0</v>
      </c>
      <c r="AD243" s="37">
        <v>8000</v>
      </c>
      <c r="AE243" s="37">
        <v>0</v>
      </c>
      <c r="AF243" s="37">
        <v>0</v>
      </c>
      <c r="AG243" s="59">
        <v>538000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v>0</v>
      </c>
      <c r="AP243" s="37">
        <v>0</v>
      </c>
      <c r="AQ243" s="37">
        <v>0</v>
      </c>
      <c r="AR243" s="37">
        <v>0</v>
      </c>
      <c r="AS243" s="59">
        <v>0</v>
      </c>
      <c r="AT243" s="59">
        <v>538000</v>
      </c>
      <c r="AU243" s="45"/>
      <c r="AV243" s="37">
        <v>0</v>
      </c>
      <c r="AW243" s="37">
        <v>0</v>
      </c>
      <c r="AX243" s="37">
        <v>0</v>
      </c>
      <c r="AY243" s="37">
        <v>0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59">
        <v>0</v>
      </c>
      <c r="BL243" s="37">
        <v>0</v>
      </c>
      <c r="BM243" s="37">
        <v>0</v>
      </c>
      <c r="BN243" s="37">
        <v>0</v>
      </c>
      <c r="BO243" s="37">
        <v>0</v>
      </c>
      <c r="BP243" s="37">
        <v>0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59">
        <v>0</v>
      </c>
      <c r="BX243" s="59">
        <v>0</v>
      </c>
      <c r="BZ243" s="37">
        <v>500000</v>
      </c>
      <c r="CA243" s="37">
        <v>0</v>
      </c>
      <c r="CB243" s="37">
        <v>0</v>
      </c>
      <c r="CC243" s="37">
        <v>10000</v>
      </c>
      <c r="CD243" s="37">
        <v>20000</v>
      </c>
      <c r="CE243" s="37">
        <v>8000</v>
      </c>
      <c r="CF243" s="37">
        <v>0</v>
      </c>
      <c r="CG243" s="59">
        <v>538000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59">
        <v>0</v>
      </c>
      <c r="CO243" s="59">
        <v>538000</v>
      </c>
      <c r="CP243" s="58"/>
      <c r="CQ243" s="3">
        <v>538000</v>
      </c>
    </row>
    <row r="244" spans="1:95" customFormat="1" x14ac:dyDescent="0.2">
      <c r="A244" s="209">
        <v>43256</v>
      </c>
      <c r="B244" s="33" t="s">
        <v>55</v>
      </c>
      <c r="C244" s="33" t="s">
        <v>56</v>
      </c>
      <c r="D244" s="43">
        <v>0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0</v>
      </c>
      <c r="L244" s="43">
        <v>0</v>
      </c>
      <c r="M244" s="43">
        <v>0</v>
      </c>
      <c r="N244" s="43">
        <v>0</v>
      </c>
      <c r="O244" s="43">
        <v>0</v>
      </c>
      <c r="P244" s="47">
        <v>0</v>
      </c>
      <c r="R244" s="37">
        <v>0</v>
      </c>
      <c r="S244" s="37">
        <v>0</v>
      </c>
      <c r="T244" s="37">
        <v>4000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200</v>
      </c>
      <c r="AC244" s="37">
        <v>0</v>
      </c>
      <c r="AD244" s="37">
        <v>0</v>
      </c>
      <c r="AE244" s="37">
        <v>0</v>
      </c>
      <c r="AF244" s="37">
        <v>0</v>
      </c>
      <c r="AG244" s="59">
        <v>4200</v>
      </c>
      <c r="AH244" s="37">
        <v>0</v>
      </c>
      <c r="AI244" s="37">
        <v>0</v>
      </c>
      <c r="AJ244" s="37">
        <v>0</v>
      </c>
      <c r="AK244" s="37">
        <v>0</v>
      </c>
      <c r="AL244" s="37">
        <v>5</v>
      </c>
      <c r="AM244" s="37">
        <v>0</v>
      </c>
      <c r="AN244" s="37">
        <v>4</v>
      </c>
      <c r="AO244" s="37">
        <v>0</v>
      </c>
      <c r="AP244" s="37">
        <v>2</v>
      </c>
      <c r="AQ244" s="37">
        <v>0</v>
      </c>
      <c r="AR244" s="37">
        <v>0</v>
      </c>
      <c r="AS244" s="59">
        <v>11</v>
      </c>
      <c r="AT244" s="59">
        <v>4211</v>
      </c>
      <c r="AU244" s="45"/>
      <c r="AV244" s="37">
        <v>0</v>
      </c>
      <c r="AW244" s="37">
        <v>0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0</v>
      </c>
      <c r="BK244" s="59">
        <v>0</v>
      </c>
      <c r="BL244" s="37">
        <v>0</v>
      </c>
      <c r="BM244" s="37">
        <v>0</v>
      </c>
      <c r="BN244" s="37">
        <v>0</v>
      </c>
      <c r="BO244" s="37">
        <v>0</v>
      </c>
      <c r="BP244" s="37">
        <v>0</v>
      </c>
      <c r="BQ244" s="37">
        <v>0</v>
      </c>
      <c r="BR244" s="37">
        <v>0</v>
      </c>
      <c r="BS244" s="37">
        <v>0</v>
      </c>
      <c r="BT244" s="37">
        <v>0</v>
      </c>
      <c r="BU244" s="37">
        <v>0</v>
      </c>
      <c r="BV244" s="37">
        <v>0</v>
      </c>
      <c r="BW244" s="59">
        <v>0</v>
      </c>
      <c r="BX244" s="59">
        <v>0</v>
      </c>
      <c r="BZ244" s="37">
        <v>4000</v>
      </c>
      <c r="CA244" s="37">
        <v>0</v>
      </c>
      <c r="CB244" s="37">
        <v>0</v>
      </c>
      <c r="CC244" s="37">
        <v>0</v>
      </c>
      <c r="CD244" s="37">
        <v>200</v>
      </c>
      <c r="CE244" s="37">
        <v>0</v>
      </c>
      <c r="CF244" s="37">
        <v>0</v>
      </c>
      <c r="CG244" s="59">
        <v>4200</v>
      </c>
      <c r="CH244" s="37">
        <v>0</v>
      </c>
      <c r="CI244" s="37">
        <v>5</v>
      </c>
      <c r="CJ244" s="37">
        <v>4</v>
      </c>
      <c r="CK244" s="37">
        <v>2</v>
      </c>
      <c r="CL244" s="37">
        <v>0</v>
      </c>
      <c r="CM244" s="37">
        <v>0</v>
      </c>
      <c r="CN244" s="59">
        <v>11</v>
      </c>
      <c r="CO244" s="59">
        <v>4211</v>
      </c>
      <c r="CP244" s="58"/>
      <c r="CQ244" s="3">
        <v>4211</v>
      </c>
    </row>
    <row r="245" spans="1:95" customFormat="1" x14ac:dyDescent="0.2">
      <c r="A245" s="209">
        <v>43256</v>
      </c>
      <c r="B245" s="33" t="s">
        <v>53</v>
      </c>
      <c r="C245" s="33" t="s">
        <v>57</v>
      </c>
      <c r="D245" s="43">
        <v>0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7">
        <v>0</v>
      </c>
      <c r="R245" s="37">
        <v>0</v>
      </c>
      <c r="S245" s="37">
        <v>0</v>
      </c>
      <c r="T245" s="37">
        <v>4000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200</v>
      </c>
      <c r="AC245" s="37">
        <v>0</v>
      </c>
      <c r="AD245" s="37">
        <v>0</v>
      </c>
      <c r="AE245" s="37">
        <v>0</v>
      </c>
      <c r="AF245" s="37">
        <v>0</v>
      </c>
      <c r="AG245" s="59">
        <v>4200</v>
      </c>
      <c r="AH245" s="37">
        <v>0</v>
      </c>
      <c r="AI245" s="37">
        <v>0</v>
      </c>
      <c r="AJ245" s="37">
        <v>0</v>
      </c>
      <c r="AK245" s="37">
        <v>0</v>
      </c>
      <c r="AL245" s="37">
        <v>5</v>
      </c>
      <c r="AM245" s="37">
        <v>0</v>
      </c>
      <c r="AN245" s="37">
        <v>4</v>
      </c>
      <c r="AO245" s="37">
        <v>0</v>
      </c>
      <c r="AP245" s="37">
        <v>2</v>
      </c>
      <c r="AQ245" s="37">
        <v>0</v>
      </c>
      <c r="AR245" s="37">
        <v>0</v>
      </c>
      <c r="AS245" s="59">
        <v>11</v>
      </c>
      <c r="AT245" s="59">
        <v>4211</v>
      </c>
      <c r="AU245" s="45"/>
      <c r="AV245" s="37">
        <v>0</v>
      </c>
      <c r="AW245" s="37">
        <v>0</v>
      </c>
      <c r="AX245" s="37">
        <v>0</v>
      </c>
      <c r="AY245" s="37">
        <v>0</v>
      </c>
      <c r="AZ245" s="37">
        <v>0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0</v>
      </c>
      <c r="BI245" s="37">
        <v>0</v>
      </c>
      <c r="BJ245" s="37">
        <v>0</v>
      </c>
      <c r="BK245" s="59">
        <v>0</v>
      </c>
      <c r="BL245" s="37">
        <v>0</v>
      </c>
      <c r="BM245" s="37">
        <v>0</v>
      </c>
      <c r="BN245" s="37">
        <v>0</v>
      </c>
      <c r="BO245" s="37">
        <v>0</v>
      </c>
      <c r="BP245" s="37">
        <v>0</v>
      </c>
      <c r="BQ245" s="37">
        <v>0</v>
      </c>
      <c r="BR245" s="37">
        <v>0</v>
      </c>
      <c r="BS245" s="37">
        <v>0</v>
      </c>
      <c r="BT245" s="37">
        <v>0</v>
      </c>
      <c r="BU245" s="37">
        <v>0</v>
      </c>
      <c r="BV245" s="37">
        <v>0</v>
      </c>
      <c r="BW245" s="59">
        <v>0</v>
      </c>
      <c r="BX245" s="59">
        <v>0</v>
      </c>
      <c r="BZ245" s="37">
        <v>4000</v>
      </c>
      <c r="CA245" s="37">
        <v>0</v>
      </c>
      <c r="CB245" s="37">
        <v>0</v>
      </c>
      <c r="CC245" s="37">
        <v>0</v>
      </c>
      <c r="CD245" s="37">
        <v>200</v>
      </c>
      <c r="CE245" s="37">
        <v>0</v>
      </c>
      <c r="CF245" s="37">
        <v>0</v>
      </c>
      <c r="CG245" s="59">
        <v>4200</v>
      </c>
      <c r="CH245" s="37">
        <v>0</v>
      </c>
      <c r="CI245" s="37">
        <v>5</v>
      </c>
      <c r="CJ245" s="37">
        <v>4</v>
      </c>
      <c r="CK245" s="37">
        <v>2</v>
      </c>
      <c r="CL245" s="37">
        <v>0</v>
      </c>
      <c r="CM245" s="37">
        <v>0</v>
      </c>
      <c r="CN245" s="59">
        <v>11</v>
      </c>
      <c r="CO245" s="59">
        <v>4211</v>
      </c>
      <c r="CP245" s="58"/>
      <c r="CQ245" s="3">
        <v>4211</v>
      </c>
    </row>
    <row r="246" spans="1:95" customFormat="1" x14ac:dyDescent="0.2">
      <c r="A246" s="209">
        <v>43256</v>
      </c>
      <c r="B246" s="33" t="s">
        <v>75</v>
      </c>
      <c r="C246" s="33" t="s">
        <v>76</v>
      </c>
      <c r="D246" s="43">
        <v>0</v>
      </c>
      <c r="E246" s="43">
        <v>1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7" t="s">
        <v>45</v>
      </c>
      <c r="R246" s="37">
        <v>0</v>
      </c>
      <c r="S246" s="37">
        <v>0</v>
      </c>
      <c r="T246" s="37">
        <v>500000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30000</v>
      </c>
      <c r="AC246" s="37">
        <v>0</v>
      </c>
      <c r="AD246" s="37">
        <v>18000</v>
      </c>
      <c r="AE246" s="37">
        <v>0</v>
      </c>
      <c r="AF246" s="37">
        <v>0</v>
      </c>
      <c r="AG246" s="59">
        <v>548000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59">
        <v>0</v>
      </c>
      <c r="AT246" s="59">
        <v>548000</v>
      </c>
      <c r="AU246" s="45"/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59">
        <v>0</v>
      </c>
      <c r="BL246" s="37">
        <v>0</v>
      </c>
      <c r="BM246" s="37">
        <v>0</v>
      </c>
      <c r="BN246" s="37">
        <v>0</v>
      </c>
      <c r="BO246" s="37">
        <v>0</v>
      </c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0</v>
      </c>
      <c r="BV246" s="37">
        <v>0</v>
      </c>
      <c r="BW246" s="59">
        <v>0</v>
      </c>
      <c r="BX246" s="59">
        <v>0</v>
      </c>
      <c r="BZ246" s="37">
        <v>500000</v>
      </c>
      <c r="CA246" s="37">
        <v>0</v>
      </c>
      <c r="CB246" s="37">
        <v>0</v>
      </c>
      <c r="CC246" s="37">
        <v>0</v>
      </c>
      <c r="CD246" s="37">
        <v>30000</v>
      </c>
      <c r="CE246" s="37">
        <v>18000</v>
      </c>
      <c r="CF246" s="37">
        <v>0</v>
      </c>
      <c r="CG246" s="59">
        <v>548000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59">
        <v>0</v>
      </c>
      <c r="CO246" s="59">
        <v>548000</v>
      </c>
      <c r="CP246" s="58"/>
      <c r="CQ246" s="3">
        <v>548000</v>
      </c>
    </row>
    <row r="247" spans="1:95" customFormat="1" x14ac:dyDescent="0.2">
      <c r="A247" s="209">
        <v>43256</v>
      </c>
      <c r="B247" s="33" t="s">
        <v>60</v>
      </c>
      <c r="C247" s="33" t="s">
        <v>61</v>
      </c>
      <c r="D247" s="43">
        <v>0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1</v>
      </c>
      <c r="O247" s="43">
        <v>0</v>
      </c>
      <c r="P247" s="47" t="s">
        <v>45</v>
      </c>
      <c r="R247" s="37">
        <v>0</v>
      </c>
      <c r="S247" s="37">
        <v>0</v>
      </c>
      <c r="T247" s="37">
        <v>1026000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13700</v>
      </c>
      <c r="AC247" s="37">
        <v>0</v>
      </c>
      <c r="AD247" s="37">
        <v>6000</v>
      </c>
      <c r="AE247" s="37">
        <v>0</v>
      </c>
      <c r="AF247" s="37">
        <v>0</v>
      </c>
      <c r="AG247" s="59">
        <v>1045700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200</v>
      </c>
      <c r="AO247" s="37">
        <v>0</v>
      </c>
      <c r="AP247" s="37">
        <v>100</v>
      </c>
      <c r="AQ247" s="37">
        <v>0</v>
      </c>
      <c r="AR247" s="37">
        <v>0</v>
      </c>
      <c r="AS247" s="59">
        <v>300</v>
      </c>
      <c r="AT247" s="59">
        <v>1046000</v>
      </c>
      <c r="AU247" s="45"/>
      <c r="AV247" s="37">
        <v>0</v>
      </c>
      <c r="AW247" s="37">
        <v>0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59">
        <v>0</v>
      </c>
      <c r="BL247" s="37">
        <v>0</v>
      </c>
      <c r="BM247" s="37">
        <v>0</v>
      </c>
      <c r="BN247" s="37">
        <v>0</v>
      </c>
      <c r="BO247" s="37">
        <v>0</v>
      </c>
      <c r="BP247" s="37">
        <v>0</v>
      </c>
      <c r="BQ247" s="37">
        <v>0</v>
      </c>
      <c r="BR247" s="37">
        <v>0</v>
      </c>
      <c r="BS247" s="37">
        <v>0</v>
      </c>
      <c r="BT247" s="37">
        <v>0</v>
      </c>
      <c r="BU247" s="37">
        <v>0</v>
      </c>
      <c r="BV247" s="37">
        <v>0</v>
      </c>
      <c r="BW247" s="59">
        <v>0</v>
      </c>
      <c r="BX247" s="59">
        <v>0</v>
      </c>
      <c r="BZ247" s="37">
        <v>1026000</v>
      </c>
      <c r="CA247" s="37">
        <v>0</v>
      </c>
      <c r="CB247" s="37">
        <v>0</v>
      </c>
      <c r="CC247" s="37">
        <v>0</v>
      </c>
      <c r="CD247" s="37">
        <v>13700</v>
      </c>
      <c r="CE247" s="37">
        <v>6000</v>
      </c>
      <c r="CF247" s="37">
        <v>0</v>
      </c>
      <c r="CG247" s="59">
        <v>1045700</v>
      </c>
      <c r="CH247" s="37">
        <v>0</v>
      </c>
      <c r="CI247" s="37">
        <v>0</v>
      </c>
      <c r="CJ247" s="37">
        <v>200</v>
      </c>
      <c r="CK247" s="37">
        <v>100</v>
      </c>
      <c r="CL247" s="37">
        <v>0</v>
      </c>
      <c r="CM247" s="37">
        <v>0</v>
      </c>
      <c r="CN247" s="59">
        <v>300</v>
      </c>
      <c r="CO247" s="59">
        <v>1046000</v>
      </c>
      <c r="CP247" s="58"/>
      <c r="CQ247" s="3">
        <v>1046000</v>
      </c>
    </row>
    <row r="248" spans="1:95" customFormat="1" x14ac:dyDescent="0.2">
      <c r="A248" s="209">
        <v>43256</v>
      </c>
      <c r="B248" s="33" t="s">
        <v>70</v>
      </c>
      <c r="C248" s="33" t="s">
        <v>123</v>
      </c>
      <c r="D248" s="43">
        <v>0</v>
      </c>
      <c r="E248" s="43">
        <v>0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0</v>
      </c>
      <c r="L248" s="43">
        <v>0</v>
      </c>
      <c r="M248" s="43">
        <v>0</v>
      </c>
      <c r="N248" s="43">
        <v>1</v>
      </c>
      <c r="O248" s="43">
        <v>0</v>
      </c>
      <c r="P248" s="47" t="s">
        <v>45</v>
      </c>
      <c r="R248" s="37">
        <v>0</v>
      </c>
      <c r="S248" s="37">
        <v>0</v>
      </c>
      <c r="T248" s="37">
        <v>2500000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35000</v>
      </c>
      <c r="AC248" s="37">
        <v>0</v>
      </c>
      <c r="AD248" s="37">
        <v>16000</v>
      </c>
      <c r="AE248" s="37">
        <v>0</v>
      </c>
      <c r="AF248" s="37">
        <v>0</v>
      </c>
      <c r="AG248" s="59">
        <v>2551000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7">
        <v>0</v>
      </c>
      <c r="AP248" s="37">
        <v>0</v>
      </c>
      <c r="AQ248" s="37">
        <v>0</v>
      </c>
      <c r="AR248" s="37">
        <v>0</v>
      </c>
      <c r="AS248" s="59">
        <v>0</v>
      </c>
      <c r="AT248" s="59">
        <v>2551000</v>
      </c>
      <c r="AU248" s="45"/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59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0</v>
      </c>
      <c r="BQ248" s="37">
        <v>0</v>
      </c>
      <c r="BR248" s="37">
        <v>0</v>
      </c>
      <c r="BS248" s="37">
        <v>0</v>
      </c>
      <c r="BT248" s="37">
        <v>0</v>
      </c>
      <c r="BU248" s="37">
        <v>0</v>
      </c>
      <c r="BV248" s="37">
        <v>0</v>
      </c>
      <c r="BW248" s="59">
        <v>0</v>
      </c>
      <c r="BX248" s="59">
        <v>0</v>
      </c>
      <c r="BZ248" s="37">
        <v>2500000</v>
      </c>
      <c r="CA248" s="37">
        <v>0</v>
      </c>
      <c r="CB248" s="37">
        <v>0</v>
      </c>
      <c r="CC248" s="37">
        <v>0</v>
      </c>
      <c r="CD248" s="37">
        <v>35000</v>
      </c>
      <c r="CE248" s="37">
        <v>16000</v>
      </c>
      <c r="CF248" s="37">
        <v>0</v>
      </c>
      <c r="CG248" s="59">
        <v>2551000</v>
      </c>
      <c r="CH248" s="37">
        <v>0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59">
        <v>0</v>
      </c>
      <c r="CO248" s="59">
        <v>2551000</v>
      </c>
      <c r="CP248" s="58"/>
      <c r="CQ248" s="3">
        <v>2551000</v>
      </c>
    </row>
    <row r="249" spans="1:95" customFormat="1" x14ac:dyDescent="0.2">
      <c r="A249" s="209">
        <v>43256</v>
      </c>
      <c r="B249" s="33" t="s">
        <v>53</v>
      </c>
      <c r="C249" s="33" t="s">
        <v>54</v>
      </c>
      <c r="D249" s="43">
        <v>1</v>
      </c>
      <c r="E249" s="43">
        <v>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0</v>
      </c>
      <c r="M249" s="43">
        <v>0</v>
      </c>
      <c r="N249" s="43">
        <v>0</v>
      </c>
      <c r="O249" s="43">
        <v>0</v>
      </c>
      <c r="P249" s="47" t="s">
        <v>45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200000</v>
      </c>
      <c r="AA249" s="37">
        <v>0</v>
      </c>
      <c r="AB249" s="37">
        <v>150000</v>
      </c>
      <c r="AC249" s="37">
        <v>0</v>
      </c>
      <c r="AD249" s="37">
        <v>0</v>
      </c>
      <c r="AE249" s="37">
        <v>0</v>
      </c>
      <c r="AF249" s="37">
        <v>0</v>
      </c>
      <c r="AG249" s="59">
        <v>350000</v>
      </c>
      <c r="AH249" s="37">
        <v>0</v>
      </c>
      <c r="AI249" s="37">
        <v>5000</v>
      </c>
      <c r="AJ249" s="37">
        <v>0</v>
      </c>
      <c r="AK249" s="37">
        <v>0</v>
      </c>
      <c r="AL249" s="37">
        <v>2500</v>
      </c>
      <c r="AM249" s="37">
        <v>0</v>
      </c>
      <c r="AN249" s="37">
        <v>0</v>
      </c>
      <c r="AO249" s="37">
        <v>0</v>
      </c>
      <c r="AP249" s="37">
        <v>0</v>
      </c>
      <c r="AQ249" s="37">
        <v>0</v>
      </c>
      <c r="AR249" s="37">
        <v>0</v>
      </c>
      <c r="AS249" s="59">
        <v>7500</v>
      </c>
      <c r="AT249" s="59">
        <v>357500</v>
      </c>
      <c r="AU249" s="45"/>
      <c r="AV249" s="37">
        <v>0</v>
      </c>
      <c r="AW249" s="37">
        <v>0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0</v>
      </c>
      <c r="BK249" s="59">
        <v>0</v>
      </c>
      <c r="BL249" s="37">
        <v>0</v>
      </c>
      <c r="BM249" s="37">
        <v>0</v>
      </c>
      <c r="BN249" s="37">
        <v>0</v>
      </c>
      <c r="BO249" s="37">
        <v>0</v>
      </c>
      <c r="BP249" s="37">
        <v>0</v>
      </c>
      <c r="BQ249" s="37">
        <v>0</v>
      </c>
      <c r="BR249" s="37">
        <v>0</v>
      </c>
      <c r="BS249" s="37">
        <v>0</v>
      </c>
      <c r="BT249" s="37">
        <v>0</v>
      </c>
      <c r="BU249" s="37">
        <v>0</v>
      </c>
      <c r="BV249" s="37">
        <v>0</v>
      </c>
      <c r="BW249" s="59">
        <v>0</v>
      </c>
      <c r="BX249" s="59">
        <v>0</v>
      </c>
      <c r="BZ249" s="37">
        <v>0</v>
      </c>
      <c r="CA249" s="37">
        <v>0</v>
      </c>
      <c r="CB249" s="37">
        <v>0</v>
      </c>
      <c r="CC249" s="37">
        <v>200000</v>
      </c>
      <c r="CD249" s="37">
        <v>150000</v>
      </c>
      <c r="CE249" s="37">
        <v>0</v>
      </c>
      <c r="CF249" s="37">
        <v>0</v>
      </c>
      <c r="CG249" s="59">
        <v>350000</v>
      </c>
      <c r="CH249" s="37">
        <v>5000</v>
      </c>
      <c r="CI249" s="37">
        <v>2500</v>
      </c>
      <c r="CJ249" s="37">
        <v>0</v>
      </c>
      <c r="CK249" s="37">
        <v>0</v>
      </c>
      <c r="CL249" s="37">
        <v>0</v>
      </c>
      <c r="CM249" s="37">
        <v>0</v>
      </c>
      <c r="CN249" s="59">
        <v>7500</v>
      </c>
      <c r="CO249" s="59">
        <v>357500</v>
      </c>
      <c r="CP249" s="58"/>
      <c r="CQ249" s="3">
        <v>357500</v>
      </c>
    </row>
    <row r="250" spans="1:95" customFormat="1" x14ac:dyDescent="0.2">
      <c r="A250" s="209">
        <v>43257</v>
      </c>
      <c r="B250" s="33" t="s">
        <v>53</v>
      </c>
      <c r="C250" s="33" t="s">
        <v>54</v>
      </c>
      <c r="D250" s="43">
        <v>1</v>
      </c>
      <c r="E250" s="43">
        <v>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47" t="s">
        <v>45</v>
      </c>
      <c r="R250" s="37">
        <v>0</v>
      </c>
      <c r="S250" s="37">
        <v>0</v>
      </c>
      <c r="T250" s="37">
        <v>3000000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59">
        <v>3000000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7">
        <v>0</v>
      </c>
      <c r="AP250" s="37">
        <v>0</v>
      </c>
      <c r="AQ250" s="37">
        <v>0</v>
      </c>
      <c r="AR250" s="37">
        <v>0</v>
      </c>
      <c r="AS250" s="59">
        <v>0</v>
      </c>
      <c r="AT250" s="59">
        <v>3000000</v>
      </c>
      <c r="AU250" s="45"/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59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0</v>
      </c>
      <c r="BQ250" s="37">
        <v>0</v>
      </c>
      <c r="BR250" s="37">
        <v>0</v>
      </c>
      <c r="BS250" s="37">
        <v>0</v>
      </c>
      <c r="BT250" s="37">
        <v>0</v>
      </c>
      <c r="BU250" s="37">
        <v>0</v>
      </c>
      <c r="BV250" s="37">
        <v>0</v>
      </c>
      <c r="BW250" s="59">
        <v>0</v>
      </c>
      <c r="BX250" s="59">
        <v>0</v>
      </c>
      <c r="BZ250" s="37">
        <v>3000000</v>
      </c>
      <c r="CA250" s="37">
        <v>0</v>
      </c>
      <c r="CB250" s="37">
        <v>0</v>
      </c>
      <c r="CC250" s="37">
        <v>0</v>
      </c>
      <c r="CD250" s="37">
        <v>0</v>
      </c>
      <c r="CE250" s="37">
        <v>0</v>
      </c>
      <c r="CF250" s="37">
        <v>0</v>
      </c>
      <c r="CG250" s="59">
        <v>3000000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59">
        <v>0</v>
      </c>
      <c r="CO250" s="59">
        <v>3000000</v>
      </c>
      <c r="CP250" s="58"/>
      <c r="CQ250" s="3">
        <v>3000000</v>
      </c>
    </row>
    <row r="251" spans="1:95" customFormat="1" x14ac:dyDescent="0.2">
      <c r="A251" s="209">
        <v>43257</v>
      </c>
      <c r="B251" s="33" t="s">
        <v>70</v>
      </c>
      <c r="C251" s="33" t="s">
        <v>123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1</v>
      </c>
      <c r="O251" s="43">
        <v>0</v>
      </c>
      <c r="P251" s="47" t="s">
        <v>45</v>
      </c>
      <c r="R251" s="37">
        <v>0</v>
      </c>
      <c r="S251" s="37">
        <v>0</v>
      </c>
      <c r="T251" s="37">
        <v>1000000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8000</v>
      </c>
      <c r="AE251" s="37">
        <v>0</v>
      </c>
      <c r="AF251" s="37">
        <v>0</v>
      </c>
      <c r="AG251" s="59">
        <v>1008000</v>
      </c>
      <c r="AH251" s="37">
        <v>0</v>
      </c>
      <c r="AI251" s="37">
        <v>0</v>
      </c>
      <c r="AJ251" s="37">
        <v>0</v>
      </c>
      <c r="AK251" s="37">
        <v>0</v>
      </c>
      <c r="AL251" s="37">
        <v>500</v>
      </c>
      <c r="AM251" s="37">
        <v>0</v>
      </c>
      <c r="AN251" s="37">
        <v>200</v>
      </c>
      <c r="AO251" s="37">
        <v>0</v>
      </c>
      <c r="AP251" s="37">
        <v>0</v>
      </c>
      <c r="AQ251" s="37">
        <v>0</v>
      </c>
      <c r="AR251" s="37">
        <v>0</v>
      </c>
      <c r="AS251" s="59">
        <v>700</v>
      </c>
      <c r="AT251" s="59">
        <v>1008700</v>
      </c>
      <c r="AU251" s="45"/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59">
        <v>0</v>
      </c>
      <c r="BL251" s="37">
        <v>0</v>
      </c>
      <c r="BM251" s="37">
        <v>0</v>
      </c>
      <c r="BN251" s="37">
        <v>0</v>
      </c>
      <c r="BO251" s="37">
        <v>0</v>
      </c>
      <c r="BP251" s="37">
        <v>0</v>
      </c>
      <c r="BQ251" s="37">
        <v>0</v>
      </c>
      <c r="BR251" s="37">
        <v>0</v>
      </c>
      <c r="BS251" s="37">
        <v>0</v>
      </c>
      <c r="BT251" s="37">
        <v>0</v>
      </c>
      <c r="BU251" s="37">
        <v>0</v>
      </c>
      <c r="BV251" s="37">
        <v>0</v>
      </c>
      <c r="BW251" s="59">
        <v>0</v>
      </c>
      <c r="BX251" s="59">
        <v>0</v>
      </c>
      <c r="BZ251" s="37">
        <v>1000000</v>
      </c>
      <c r="CA251" s="37">
        <v>0</v>
      </c>
      <c r="CB251" s="37">
        <v>0</v>
      </c>
      <c r="CC251" s="37">
        <v>0</v>
      </c>
      <c r="CD251" s="37">
        <v>0</v>
      </c>
      <c r="CE251" s="37">
        <v>8000</v>
      </c>
      <c r="CF251" s="37">
        <v>0</v>
      </c>
      <c r="CG251" s="59">
        <v>1008000</v>
      </c>
      <c r="CH251" s="37">
        <v>0</v>
      </c>
      <c r="CI251" s="37">
        <v>500</v>
      </c>
      <c r="CJ251" s="37">
        <v>200</v>
      </c>
      <c r="CK251" s="37">
        <v>0</v>
      </c>
      <c r="CL251" s="37">
        <v>0</v>
      </c>
      <c r="CM251" s="37">
        <v>0</v>
      </c>
      <c r="CN251" s="59">
        <v>700</v>
      </c>
      <c r="CO251" s="59">
        <v>1008700</v>
      </c>
      <c r="CP251" s="58"/>
      <c r="CQ251" s="3">
        <v>1008700</v>
      </c>
    </row>
    <row r="252" spans="1:95" customFormat="1" x14ac:dyDescent="0.2">
      <c r="A252" s="209">
        <v>43257</v>
      </c>
      <c r="B252" s="33" t="s">
        <v>60</v>
      </c>
      <c r="C252" s="33" t="s">
        <v>124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0</v>
      </c>
      <c r="N252" s="43">
        <v>0</v>
      </c>
      <c r="O252" s="43">
        <v>0</v>
      </c>
      <c r="P252" s="47" t="s">
        <v>67</v>
      </c>
      <c r="R252" s="37">
        <v>0</v>
      </c>
      <c r="S252" s="37">
        <v>0</v>
      </c>
      <c r="T252" s="37">
        <v>1000000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59">
        <v>1000000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  <c r="AN252" s="37">
        <v>0</v>
      </c>
      <c r="AO252" s="37">
        <v>0</v>
      </c>
      <c r="AP252" s="37">
        <v>0</v>
      </c>
      <c r="AQ252" s="37">
        <v>0</v>
      </c>
      <c r="AR252" s="37">
        <v>0</v>
      </c>
      <c r="AS252" s="59">
        <v>0</v>
      </c>
      <c r="AT252" s="59">
        <v>1000000</v>
      </c>
      <c r="AU252" s="45"/>
      <c r="AV252" s="37">
        <v>0</v>
      </c>
      <c r="AW252" s="37">
        <v>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59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0</v>
      </c>
      <c r="BQ252" s="37">
        <v>0</v>
      </c>
      <c r="BR252" s="37">
        <v>0</v>
      </c>
      <c r="BS252" s="37">
        <v>0</v>
      </c>
      <c r="BT252" s="37">
        <v>0</v>
      </c>
      <c r="BU252" s="37">
        <v>0</v>
      </c>
      <c r="BV252" s="37">
        <v>0</v>
      </c>
      <c r="BW252" s="59">
        <v>0</v>
      </c>
      <c r="BX252" s="59">
        <v>0</v>
      </c>
      <c r="BZ252" s="37">
        <v>1000000</v>
      </c>
      <c r="CA252" s="37">
        <v>0</v>
      </c>
      <c r="CB252" s="37">
        <v>0</v>
      </c>
      <c r="CC252" s="37">
        <v>0</v>
      </c>
      <c r="CD252" s="37">
        <v>0</v>
      </c>
      <c r="CE252" s="37">
        <v>0</v>
      </c>
      <c r="CF252" s="37">
        <v>0</v>
      </c>
      <c r="CG252" s="59">
        <v>1000000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59">
        <v>0</v>
      </c>
      <c r="CO252" s="59">
        <v>1000000</v>
      </c>
      <c r="CP252" s="58"/>
      <c r="CQ252" s="3">
        <v>1000000</v>
      </c>
    </row>
    <row r="253" spans="1:95" customFormat="1" x14ac:dyDescent="0.2">
      <c r="A253" s="209">
        <v>43257</v>
      </c>
      <c r="B253" s="33" t="s">
        <v>85</v>
      </c>
      <c r="C253" s="33" t="s">
        <v>76</v>
      </c>
      <c r="D253" s="43">
        <v>0</v>
      </c>
      <c r="E253" s="43">
        <v>1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0</v>
      </c>
      <c r="L253" s="43">
        <v>0</v>
      </c>
      <c r="M253" s="43">
        <v>0</v>
      </c>
      <c r="N253" s="43">
        <v>0</v>
      </c>
      <c r="O253" s="43">
        <v>0</v>
      </c>
      <c r="P253" s="47" t="s">
        <v>45</v>
      </c>
      <c r="R253" s="37">
        <v>0</v>
      </c>
      <c r="S253" s="37">
        <v>0</v>
      </c>
      <c r="T253" s="37">
        <v>1500000</v>
      </c>
      <c r="U253" s="37">
        <v>0</v>
      </c>
      <c r="V253" s="37">
        <v>400000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59">
        <v>1900000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v>0</v>
      </c>
      <c r="AP253" s="37">
        <v>0</v>
      </c>
      <c r="AQ253" s="37">
        <v>0</v>
      </c>
      <c r="AR253" s="37">
        <v>0</v>
      </c>
      <c r="AS253" s="59">
        <v>0</v>
      </c>
      <c r="AT253" s="59">
        <v>1900000</v>
      </c>
      <c r="AU253" s="45"/>
      <c r="AV253" s="37">
        <v>0</v>
      </c>
      <c r="AW253" s="37">
        <v>0</v>
      </c>
      <c r="AX253" s="37">
        <v>0</v>
      </c>
      <c r="AY253" s="37">
        <v>0</v>
      </c>
      <c r="AZ253" s="37">
        <v>0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59">
        <v>0</v>
      </c>
      <c r="BL253" s="37">
        <v>0</v>
      </c>
      <c r="BM253" s="37">
        <v>0</v>
      </c>
      <c r="BN253" s="37">
        <v>0</v>
      </c>
      <c r="BO253" s="37">
        <v>0</v>
      </c>
      <c r="BP253" s="37">
        <v>0</v>
      </c>
      <c r="BQ253" s="37">
        <v>0</v>
      </c>
      <c r="BR253" s="37">
        <v>0</v>
      </c>
      <c r="BS253" s="37">
        <v>0</v>
      </c>
      <c r="BT253" s="37">
        <v>0</v>
      </c>
      <c r="BU253" s="37">
        <v>0</v>
      </c>
      <c r="BV253" s="37">
        <v>0</v>
      </c>
      <c r="BW253" s="59">
        <v>0</v>
      </c>
      <c r="BX253" s="59">
        <v>0</v>
      </c>
      <c r="BZ253" s="37">
        <v>1500000</v>
      </c>
      <c r="CA253" s="37">
        <v>400000</v>
      </c>
      <c r="CB253" s="37">
        <v>0</v>
      </c>
      <c r="CC253" s="37">
        <v>0</v>
      </c>
      <c r="CD253" s="37">
        <v>0</v>
      </c>
      <c r="CE253" s="37">
        <v>0</v>
      </c>
      <c r="CF253" s="37">
        <v>0</v>
      </c>
      <c r="CG253" s="59">
        <v>1900000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59">
        <v>0</v>
      </c>
      <c r="CO253" s="59">
        <v>1900000</v>
      </c>
      <c r="CP253" s="58"/>
      <c r="CQ253" s="3">
        <v>1900000</v>
      </c>
    </row>
    <row r="254" spans="1:95" customFormat="1" x14ac:dyDescent="0.2">
      <c r="A254" s="209">
        <v>43257</v>
      </c>
      <c r="B254" s="33" t="s">
        <v>75</v>
      </c>
      <c r="C254" s="33" t="s">
        <v>76</v>
      </c>
      <c r="D254" s="43">
        <v>0</v>
      </c>
      <c r="E254" s="43">
        <v>0</v>
      </c>
      <c r="F254" s="43">
        <v>1</v>
      </c>
      <c r="G254" s="43">
        <v>0</v>
      </c>
      <c r="H254" s="43">
        <v>0</v>
      </c>
      <c r="I254" s="43">
        <v>0</v>
      </c>
      <c r="J254" s="43">
        <v>0</v>
      </c>
      <c r="K254" s="43">
        <v>0</v>
      </c>
      <c r="L254" s="43">
        <v>0</v>
      </c>
      <c r="M254" s="43">
        <v>0</v>
      </c>
      <c r="N254" s="43">
        <v>0</v>
      </c>
      <c r="O254" s="43">
        <v>0</v>
      </c>
      <c r="P254" s="47" t="s">
        <v>67</v>
      </c>
      <c r="R254" s="37">
        <v>0</v>
      </c>
      <c r="S254" s="37">
        <v>0</v>
      </c>
      <c r="T254" s="37">
        <v>100000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59">
        <v>100000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7">
        <v>0</v>
      </c>
      <c r="AP254" s="37">
        <v>0</v>
      </c>
      <c r="AQ254" s="37">
        <v>0</v>
      </c>
      <c r="AR254" s="37">
        <v>0</v>
      </c>
      <c r="AS254" s="59">
        <v>0</v>
      </c>
      <c r="AT254" s="59">
        <v>100000</v>
      </c>
      <c r="AU254" s="45"/>
      <c r="AV254" s="37">
        <v>0</v>
      </c>
      <c r="AW254" s="37">
        <v>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0</v>
      </c>
      <c r="BJ254" s="37">
        <v>0</v>
      </c>
      <c r="BK254" s="59">
        <v>0</v>
      </c>
      <c r="BL254" s="37">
        <v>0</v>
      </c>
      <c r="BM254" s="37">
        <v>0</v>
      </c>
      <c r="BN254" s="37">
        <v>0</v>
      </c>
      <c r="BO254" s="37">
        <v>0</v>
      </c>
      <c r="BP254" s="37">
        <v>0</v>
      </c>
      <c r="BQ254" s="37">
        <v>0</v>
      </c>
      <c r="BR254" s="37">
        <v>0</v>
      </c>
      <c r="BS254" s="37">
        <v>0</v>
      </c>
      <c r="BT254" s="37">
        <v>0</v>
      </c>
      <c r="BU254" s="37">
        <v>0</v>
      </c>
      <c r="BV254" s="37">
        <v>0</v>
      </c>
      <c r="BW254" s="59">
        <v>0</v>
      </c>
      <c r="BX254" s="59">
        <v>0</v>
      </c>
      <c r="BZ254" s="37">
        <v>100000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0</v>
      </c>
      <c r="CG254" s="59">
        <v>100000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59">
        <v>0</v>
      </c>
      <c r="CO254" s="59">
        <v>100000</v>
      </c>
      <c r="CP254" s="58"/>
      <c r="CQ254" s="3">
        <v>100000</v>
      </c>
    </row>
    <row r="255" spans="1:95" customFormat="1" x14ac:dyDescent="0.2">
      <c r="A255" s="209">
        <v>43258</v>
      </c>
      <c r="B255" s="33" t="s">
        <v>53</v>
      </c>
      <c r="C255" s="33" t="s">
        <v>54</v>
      </c>
      <c r="D255" s="43">
        <v>1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  <c r="P255" s="47" t="s">
        <v>45</v>
      </c>
      <c r="R255" s="37">
        <v>0</v>
      </c>
      <c r="S255" s="37">
        <v>0</v>
      </c>
      <c r="T255" s="37">
        <v>1170000</v>
      </c>
      <c r="U255" s="37">
        <v>0</v>
      </c>
      <c r="V255" s="37">
        <v>298000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59">
        <v>1468000</v>
      </c>
      <c r="AH255" s="37">
        <v>0</v>
      </c>
      <c r="AI255" s="37">
        <v>0</v>
      </c>
      <c r="AJ255" s="37">
        <v>0</v>
      </c>
      <c r="AK255" s="37">
        <v>0</v>
      </c>
      <c r="AL255" s="37">
        <v>1725</v>
      </c>
      <c r="AM255" s="37">
        <v>0</v>
      </c>
      <c r="AN255" s="37">
        <v>380</v>
      </c>
      <c r="AO255" s="37">
        <v>0</v>
      </c>
      <c r="AP255" s="37">
        <v>400</v>
      </c>
      <c r="AQ255" s="37">
        <v>0</v>
      </c>
      <c r="AR255" s="37">
        <v>0</v>
      </c>
      <c r="AS255" s="59">
        <v>2505</v>
      </c>
      <c r="AT255" s="59">
        <v>1470505</v>
      </c>
      <c r="AU255" s="45"/>
      <c r="AV255" s="37">
        <v>0</v>
      </c>
      <c r="AW255" s="37">
        <v>0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59">
        <v>0</v>
      </c>
      <c r="BL255" s="37">
        <v>0</v>
      </c>
      <c r="BM255" s="37">
        <v>0</v>
      </c>
      <c r="BN255" s="37">
        <v>0</v>
      </c>
      <c r="BO255" s="37">
        <v>0</v>
      </c>
      <c r="BP255" s="37">
        <v>0</v>
      </c>
      <c r="BQ255" s="37">
        <v>0</v>
      </c>
      <c r="BR255" s="37">
        <v>0</v>
      </c>
      <c r="BS255" s="37">
        <v>0</v>
      </c>
      <c r="BT255" s="37">
        <v>0</v>
      </c>
      <c r="BU255" s="37">
        <v>0</v>
      </c>
      <c r="BV255" s="37">
        <v>0</v>
      </c>
      <c r="BW255" s="59">
        <v>0</v>
      </c>
      <c r="BX255" s="59">
        <v>0</v>
      </c>
      <c r="BZ255" s="37">
        <v>1170000</v>
      </c>
      <c r="CA255" s="37">
        <v>298000</v>
      </c>
      <c r="CB255" s="37">
        <v>0</v>
      </c>
      <c r="CC255" s="37">
        <v>0</v>
      </c>
      <c r="CD255" s="37">
        <v>0</v>
      </c>
      <c r="CE255" s="37">
        <v>0</v>
      </c>
      <c r="CF255" s="37">
        <v>0</v>
      </c>
      <c r="CG255" s="59">
        <v>1468000</v>
      </c>
      <c r="CH255" s="37">
        <v>0</v>
      </c>
      <c r="CI255" s="37">
        <v>1725</v>
      </c>
      <c r="CJ255" s="37">
        <v>380</v>
      </c>
      <c r="CK255" s="37">
        <v>400</v>
      </c>
      <c r="CL255" s="37">
        <v>0</v>
      </c>
      <c r="CM255" s="37">
        <v>0</v>
      </c>
      <c r="CN255" s="59">
        <v>2505</v>
      </c>
      <c r="CO255" s="59">
        <v>1470505</v>
      </c>
      <c r="CP255" s="58"/>
      <c r="CQ255" s="3">
        <v>1470505</v>
      </c>
    </row>
    <row r="256" spans="1:95" customFormat="1" x14ac:dyDescent="0.2">
      <c r="A256" s="209">
        <v>43259</v>
      </c>
      <c r="B256" s="33" t="s">
        <v>53</v>
      </c>
      <c r="C256" s="33" t="s">
        <v>54</v>
      </c>
      <c r="D256" s="43">
        <v>1</v>
      </c>
      <c r="E256" s="43">
        <v>0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0</v>
      </c>
      <c r="L256" s="43">
        <v>0</v>
      </c>
      <c r="M256" s="43">
        <v>0</v>
      </c>
      <c r="N256" s="43">
        <v>0</v>
      </c>
      <c r="O256" s="43">
        <v>0</v>
      </c>
      <c r="P256" s="47" t="s">
        <v>45</v>
      </c>
      <c r="R256" s="37">
        <v>0</v>
      </c>
      <c r="S256" s="37">
        <v>2000000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  <c r="AE256" s="37">
        <v>0</v>
      </c>
      <c r="AF256" s="37">
        <v>0</v>
      </c>
      <c r="AG256" s="59">
        <v>2000000</v>
      </c>
      <c r="AH256" s="37">
        <v>0</v>
      </c>
      <c r="AI256" s="37">
        <v>25</v>
      </c>
      <c r="AJ256" s="37">
        <v>0</v>
      </c>
      <c r="AK256" s="37">
        <v>0</v>
      </c>
      <c r="AL256" s="37">
        <v>750</v>
      </c>
      <c r="AM256" s="37">
        <v>0</v>
      </c>
      <c r="AN256" s="37">
        <v>240</v>
      </c>
      <c r="AO256" s="37">
        <v>0</v>
      </c>
      <c r="AP256" s="37">
        <v>0</v>
      </c>
      <c r="AQ256" s="37">
        <v>0</v>
      </c>
      <c r="AR256" s="37">
        <v>0</v>
      </c>
      <c r="AS256" s="59">
        <v>1015</v>
      </c>
      <c r="AT256" s="59">
        <v>2001015</v>
      </c>
      <c r="AU256" s="45"/>
      <c r="AV256" s="37">
        <v>0</v>
      </c>
      <c r="AW256" s="37">
        <v>0</v>
      </c>
      <c r="AX256" s="37">
        <v>0</v>
      </c>
      <c r="AY256" s="37">
        <v>0</v>
      </c>
      <c r="AZ256" s="37">
        <v>0</v>
      </c>
      <c r="BA256" s="37">
        <v>0</v>
      </c>
      <c r="BB256" s="37">
        <v>0</v>
      </c>
      <c r="BC256" s="37">
        <v>0</v>
      </c>
      <c r="BD256" s="37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59">
        <v>0</v>
      </c>
      <c r="BL256" s="37">
        <v>0</v>
      </c>
      <c r="BM256" s="37">
        <v>0</v>
      </c>
      <c r="BN256" s="37">
        <v>0</v>
      </c>
      <c r="BO256" s="37">
        <v>0</v>
      </c>
      <c r="BP256" s="37">
        <v>0</v>
      </c>
      <c r="BQ256" s="37">
        <v>0</v>
      </c>
      <c r="BR256" s="37">
        <v>0</v>
      </c>
      <c r="BS256" s="37">
        <v>0</v>
      </c>
      <c r="BT256" s="37">
        <v>0</v>
      </c>
      <c r="BU256" s="37">
        <v>0</v>
      </c>
      <c r="BV256" s="37">
        <v>0</v>
      </c>
      <c r="BW256" s="59">
        <v>0</v>
      </c>
      <c r="BX256" s="59">
        <v>0</v>
      </c>
      <c r="BZ256" s="37">
        <v>2000000</v>
      </c>
      <c r="CA256" s="37">
        <v>0</v>
      </c>
      <c r="CB256" s="37">
        <v>0</v>
      </c>
      <c r="CC256" s="37">
        <v>0</v>
      </c>
      <c r="CD256" s="37">
        <v>0</v>
      </c>
      <c r="CE256" s="37">
        <v>0</v>
      </c>
      <c r="CF256" s="37">
        <v>0</v>
      </c>
      <c r="CG256" s="59">
        <v>2000000</v>
      </c>
      <c r="CH256" s="37">
        <v>25</v>
      </c>
      <c r="CI256" s="37">
        <v>750</v>
      </c>
      <c r="CJ256" s="37">
        <v>240</v>
      </c>
      <c r="CK256" s="37">
        <v>0</v>
      </c>
      <c r="CL256" s="37">
        <v>0</v>
      </c>
      <c r="CM256" s="37">
        <v>0</v>
      </c>
      <c r="CN256" s="59">
        <v>1015</v>
      </c>
      <c r="CO256" s="59">
        <v>2001015</v>
      </c>
      <c r="CP256" s="58"/>
      <c r="CQ256" s="3">
        <v>2001015</v>
      </c>
    </row>
    <row r="257" spans="1:95" customFormat="1" x14ac:dyDescent="0.2">
      <c r="A257" s="209">
        <v>43271</v>
      </c>
      <c r="B257" s="33" t="s">
        <v>79</v>
      </c>
      <c r="C257" s="33" t="s">
        <v>76</v>
      </c>
      <c r="D257" s="43">
        <v>0</v>
      </c>
      <c r="E257" s="43">
        <v>1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7" t="s">
        <v>45</v>
      </c>
      <c r="R257" s="37">
        <v>0</v>
      </c>
      <c r="S257" s="37">
        <v>0</v>
      </c>
      <c r="T257" s="37">
        <v>300000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40000</v>
      </c>
      <c r="AC257" s="37">
        <v>0</v>
      </c>
      <c r="AD257" s="37">
        <v>26000</v>
      </c>
      <c r="AE257" s="37">
        <v>0</v>
      </c>
      <c r="AF257" s="37">
        <v>0</v>
      </c>
      <c r="AG257" s="59">
        <v>366000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100</v>
      </c>
      <c r="AO257" s="37">
        <v>0</v>
      </c>
      <c r="AP257" s="37">
        <v>0</v>
      </c>
      <c r="AQ257" s="37">
        <v>0</v>
      </c>
      <c r="AR257" s="37">
        <v>0</v>
      </c>
      <c r="AS257" s="59">
        <v>100</v>
      </c>
      <c r="AT257" s="59">
        <v>366100</v>
      </c>
      <c r="AU257" s="45"/>
      <c r="AV257" s="37">
        <v>0</v>
      </c>
      <c r="AW257" s="37">
        <v>0</v>
      </c>
      <c r="AX257" s="37">
        <v>0</v>
      </c>
      <c r="AY257" s="37">
        <v>0</v>
      </c>
      <c r="AZ257" s="37">
        <v>0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59">
        <v>0</v>
      </c>
      <c r="BL257" s="37">
        <v>0</v>
      </c>
      <c r="BM257" s="37">
        <v>0</v>
      </c>
      <c r="BN257" s="37">
        <v>0</v>
      </c>
      <c r="BO257" s="37">
        <v>0</v>
      </c>
      <c r="BP257" s="37">
        <v>0</v>
      </c>
      <c r="BQ257" s="37">
        <v>0</v>
      </c>
      <c r="BR257" s="37">
        <v>0</v>
      </c>
      <c r="BS257" s="37">
        <v>0</v>
      </c>
      <c r="BT257" s="37">
        <v>0</v>
      </c>
      <c r="BU257" s="37">
        <v>0</v>
      </c>
      <c r="BV257" s="37">
        <v>0</v>
      </c>
      <c r="BW257" s="59">
        <v>0</v>
      </c>
      <c r="BX257" s="59">
        <v>0</v>
      </c>
      <c r="BZ257" s="37">
        <v>300000</v>
      </c>
      <c r="CA257" s="37">
        <v>0</v>
      </c>
      <c r="CB257" s="37">
        <v>0</v>
      </c>
      <c r="CC257" s="37">
        <v>0</v>
      </c>
      <c r="CD257" s="37">
        <v>40000</v>
      </c>
      <c r="CE257" s="37">
        <v>26000</v>
      </c>
      <c r="CF257" s="37">
        <v>0</v>
      </c>
      <c r="CG257" s="59">
        <v>366000</v>
      </c>
      <c r="CH257" s="37">
        <v>0</v>
      </c>
      <c r="CI257" s="37">
        <v>0</v>
      </c>
      <c r="CJ257" s="37">
        <v>100</v>
      </c>
      <c r="CK257" s="37">
        <v>0</v>
      </c>
      <c r="CL257" s="37">
        <v>0</v>
      </c>
      <c r="CM257" s="37">
        <v>0</v>
      </c>
      <c r="CN257" s="59">
        <v>100</v>
      </c>
      <c r="CO257" s="59">
        <v>366100</v>
      </c>
      <c r="CP257" s="58"/>
      <c r="CQ257" s="3">
        <v>366100</v>
      </c>
    </row>
    <row r="258" spans="1:95" customFormat="1" x14ac:dyDescent="0.2">
      <c r="A258" s="209">
        <v>43272</v>
      </c>
      <c r="B258" s="33" t="s">
        <v>55</v>
      </c>
      <c r="C258" s="33" t="s">
        <v>56</v>
      </c>
      <c r="D258" s="43">
        <v>0</v>
      </c>
      <c r="E258" s="43">
        <v>0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/>
      <c r="M258" s="43"/>
      <c r="N258" s="43">
        <v>0</v>
      </c>
      <c r="O258" s="43">
        <v>0</v>
      </c>
      <c r="P258" s="4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200</v>
      </c>
      <c r="AC258" s="37">
        <v>0</v>
      </c>
      <c r="AD258" s="37">
        <v>0</v>
      </c>
      <c r="AE258" s="37">
        <v>0</v>
      </c>
      <c r="AF258" s="37">
        <v>0</v>
      </c>
      <c r="AG258" s="59">
        <v>200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59">
        <v>0</v>
      </c>
      <c r="AT258" s="59">
        <v>200</v>
      </c>
      <c r="AU258" s="45"/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59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0</v>
      </c>
      <c r="BQ258" s="37">
        <v>0</v>
      </c>
      <c r="BR258" s="37">
        <v>0</v>
      </c>
      <c r="BS258" s="37">
        <v>0</v>
      </c>
      <c r="BT258" s="37">
        <v>0</v>
      </c>
      <c r="BU258" s="37">
        <v>0</v>
      </c>
      <c r="BV258" s="37">
        <v>0</v>
      </c>
      <c r="BW258" s="59">
        <v>0</v>
      </c>
      <c r="BX258" s="59">
        <v>0</v>
      </c>
      <c r="BZ258" s="37">
        <v>0</v>
      </c>
      <c r="CA258" s="37">
        <v>0</v>
      </c>
      <c r="CB258" s="37">
        <v>0</v>
      </c>
      <c r="CC258" s="37">
        <v>0</v>
      </c>
      <c r="CD258" s="37">
        <v>200</v>
      </c>
      <c r="CE258" s="37">
        <v>0</v>
      </c>
      <c r="CF258" s="37">
        <v>0</v>
      </c>
      <c r="CG258" s="59">
        <v>200</v>
      </c>
      <c r="CH258" s="37">
        <v>0</v>
      </c>
      <c r="CI258" s="37">
        <v>0</v>
      </c>
      <c r="CJ258" s="37">
        <v>0</v>
      </c>
      <c r="CK258" s="37">
        <v>0</v>
      </c>
      <c r="CL258" s="37">
        <v>0</v>
      </c>
      <c r="CM258" s="37">
        <v>0</v>
      </c>
      <c r="CN258" s="59">
        <v>0</v>
      </c>
      <c r="CO258" s="59">
        <v>200</v>
      </c>
      <c r="CP258" s="58"/>
      <c r="CQ258" s="3">
        <v>200</v>
      </c>
    </row>
    <row r="259" spans="1:95" customFormat="1" x14ac:dyDescent="0.2">
      <c r="A259" s="209">
        <v>43273</v>
      </c>
      <c r="B259" s="33" t="s">
        <v>55</v>
      </c>
      <c r="C259" s="33" t="s">
        <v>56</v>
      </c>
      <c r="D259" s="43">
        <v>0</v>
      </c>
      <c r="E259" s="43">
        <v>0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47">
        <v>0</v>
      </c>
      <c r="R259" s="37">
        <v>0</v>
      </c>
      <c r="S259" s="37">
        <v>0</v>
      </c>
      <c r="T259" s="37">
        <v>4000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59">
        <v>4000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0</v>
      </c>
      <c r="AN259" s="37">
        <v>0</v>
      </c>
      <c r="AO259" s="37">
        <v>0</v>
      </c>
      <c r="AP259" s="37">
        <v>0</v>
      </c>
      <c r="AQ259" s="37">
        <v>0</v>
      </c>
      <c r="AR259" s="37">
        <v>0</v>
      </c>
      <c r="AS259" s="59">
        <v>0</v>
      </c>
      <c r="AT259" s="59">
        <v>4000</v>
      </c>
      <c r="AU259" s="45"/>
      <c r="AV259" s="37">
        <v>0</v>
      </c>
      <c r="AW259" s="37">
        <v>0</v>
      </c>
      <c r="AX259" s="37">
        <v>0</v>
      </c>
      <c r="AY259" s="37">
        <v>0</v>
      </c>
      <c r="AZ259" s="37">
        <v>0</v>
      </c>
      <c r="BA259" s="37">
        <v>0</v>
      </c>
      <c r="BB259" s="37">
        <v>0</v>
      </c>
      <c r="BC259" s="37">
        <v>0</v>
      </c>
      <c r="BD259" s="37">
        <v>0</v>
      </c>
      <c r="BE259" s="37">
        <v>0</v>
      </c>
      <c r="BF259" s="37">
        <v>0</v>
      </c>
      <c r="BG259" s="37">
        <v>0</v>
      </c>
      <c r="BH259" s="37">
        <v>0</v>
      </c>
      <c r="BI259" s="37">
        <v>0</v>
      </c>
      <c r="BJ259" s="37">
        <v>0</v>
      </c>
      <c r="BK259" s="59">
        <v>0</v>
      </c>
      <c r="BL259" s="37">
        <v>0</v>
      </c>
      <c r="BM259" s="37">
        <v>0</v>
      </c>
      <c r="BN259" s="37">
        <v>0</v>
      </c>
      <c r="BO259" s="37">
        <v>0</v>
      </c>
      <c r="BP259" s="37">
        <v>0</v>
      </c>
      <c r="BQ259" s="37">
        <v>0</v>
      </c>
      <c r="BR259" s="37">
        <v>0</v>
      </c>
      <c r="BS259" s="37">
        <v>0</v>
      </c>
      <c r="BT259" s="37">
        <v>0</v>
      </c>
      <c r="BU259" s="37">
        <v>0</v>
      </c>
      <c r="BV259" s="37">
        <v>0</v>
      </c>
      <c r="BW259" s="59">
        <v>0</v>
      </c>
      <c r="BX259" s="59">
        <v>0</v>
      </c>
      <c r="BZ259" s="37">
        <v>4000</v>
      </c>
      <c r="CA259" s="37">
        <v>0</v>
      </c>
      <c r="CB259" s="37">
        <v>0</v>
      </c>
      <c r="CC259" s="37">
        <v>0</v>
      </c>
      <c r="CD259" s="37">
        <v>0</v>
      </c>
      <c r="CE259" s="37">
        <v>0</v>
      </c>
      <c r="CF259" s="37">
        <v>0</v>
      </c>
      <c r="CG259" s="59">
        <v>4000</v>
      </c>
      <c r="CH259" s="37">
        <v>0</v>
      </c>
      <c r="CI259" s="37">
        <v>0</v>
      </c>
      <c r="CJ259" s="37">
        <v>0</v>
      </c>
      <c r="CK259" s="37">
        <v>0</v>
      </c>
      <c r="CL259" s="37">
        <v>0</v>
      </c>
      <c r="CM259" s="37">
        <v>0</v>
      </c>
      <c r="CN259" s="59">
        <v>0</v>
      </c>
      <c r="CO259" s="59">
        <v>4000</v>
      </c>
      <c r="CP259" s="58"/>
      <c r="CQ259" s="3">
        <v>4000</v>
      </c>
    </row>
    <row r="260" spans="1:95" customFormat="1" x14ac:dyDescent="0.2">
      <c r="A260" s="209">
        <v>43276</v>
      </c>
      <c r="B260" s="33" t="s">
        <v>55</v>
      </c>
      <c r="C260" s="33" t="s">
        <v>56</v>
      </c>
      <c r="D260" s="43">
        <v>0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0</v>
      </c>
      <c r="M260" s="43">
        <v>0</v>
      </c>
      <c r="N260" s="43">
        <v>0</v>
      </c>
      <c r="O260" s="43">
        <v>0</v>
      </c>
      <c r="P260" s="47">
        <v>0</v>
      </c>
      <c r="R260" s="37">
        <v>0</v>
      </c>
      <c r="S260" s="37">
        <v>0</v>
      </c>
      <c r="T260" s="37">
        <v>4000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200</v>
      </c>
      <c r="AC260" s="37">
        <v>0</v>
      </c>
      <c r="AD260" s="37">
        <v>80</v>
      </c>
      <c r="AE260" s="37">
        <v>0</v>
      </c>
      <c r="AF260" s="37">
        <v>0</v>
      </c>
      <c r="AG260" s="59">
        <v>4280</v>
      </c>
      <c r="AH260" s="37">
        <v>0</v>
      </c>
      <c r="AI260" s="37">
        <v>0</v>
      </c>
      <c r="AJ260" s="37">
        <v>0</v>
      </c>
      <c r="AK260" s="37">
        <v>0</v>
      </c>
      <c r="AL260" s="37">
        <v>5</v>
      </c>
      <c r="AM260" s="37">
        <v>0</v>
      </c>
      <c r="AN260" s="37">
        <v>4</v>
      </c>
      <c r="AO260" s="37">
        <v>0</v>
      </c>
      <c r="AP260" s="37">
        <v>2</v>
      </c>
      <c r="AQ260" s="37">
        <v>0</v>
      </c>
      <c r="AR260" s="37">
        <v>0</v>
      </c>
      <c r="AS260" s="59">
        <v>11</v>
      </c>
      <c r="AT260" s="59">
        <v>4291</v>
      </c>
      <c r="AU260" s="45"/>
      <c r="AV260" s="37">
        <v>0</v>
      </c>
      <c r="AW260" s="37">
        <v>0</v>
      </c>
      <c r="AX260" s="37">
        <v>0</v>
      </c>
      <c r="AY260" s="37">
        <v>0</v>
      </c>
      <c r="AZ260" s="37">
        <v>0</v>
      </c>
      <c r="BA260" s="37">
        <v>0</v>
      </c>
      <c r="BB260" s="37">
        <v>0</v>
      </c>
      <c r="BC260" s="37">
        <v>0</v>
      </c>
      <c r="BD260" s="37">
        <v>0</v>
      </c>
      <c r="BE260" s="37">
        <v>0</v>
      </c>
      <c r="BF260" s="37">
        <v>0</v>
      </c>
      <c r="BG260" s="37">
        <v>0</v>
      </c>
      <c r="BH260" s="37">
        <v>0</v>
      </c>
      <c r="BI260" s="37">
        <v>0</v>
      </c>
      <c r="BJ260" s="37">
        <v>0</v>
      </c>
      <c r="BK260" s="59">
        <v>0</v>
      </c>
      <c r="BL260" s="37">
        <v>0</v>
      </c>
      <c r="BM260" s="37">
        <v>0</v>
      </c>
      <c r="BN260" s="37">
        <v>0</v>
      </c>
      <c r="BO260" s="37">
        <v>0</v>
      </c>
      <c r="BP260" s="37">
        <v>0</v>
      </c>
      <c r="BQ260" s="37">
        <v>0</v>
      </c>
      <c r="BR260" s="37">
        <v>0</v>
      </c>
      <c r="BS260" s="37">
        <v>0</v>
      </c>
      <c r="BT260" s="37">
        <v>0</v>
      </c>
      <c r="BU260" s="37">
        <v>0</v>
      </c>
      <c r="BV260" s="37">
        <v>0</v>
      </c>
      <c r="BW260" s="59">
        <v>0</v>
      </c>
      <c r="BX260" s="59">
        <v>0</v>
      </c>
      <c r="BZ260" s="37">
        <v>4000</v>
      </c>
      <c r="CA260" s="37">
        <v>0</v>
      </c>
      <c r="CB260" s="37">
        <v>0</v>
      </c>
      <c r="CC260" s="37">
        <v>0</v>
      </c>
      <c r="CD260" s="37">
        <v>200</v>
      </c>
      <c r="CE260" s="37">
        <v>80</v>
      </c>
      <c r="CF260" s="37">
        <v>0</v>
      </c>
      <c r="CG260" s="59">
        <v>4280</v>
      </c>
      <c r="CH260" s="37">
        <v>0</v>
      </c>
      <c r="CI260" s="37">
        <v>5</v>
      </c>
      <c r="CJ260" s="37">
        <v>4</v>
      </c>
      <c r="CK260" s="37">
        <v>2</v>
      </c>
      <c r="CL260" s="37">
        <v>0</v>
      </c>
      <c r="CM260" s="37">
        <v>0</v>
      </c>
      <c r="CN260" s="59">
        <v>11</v>
      </c>
      <c r="CO260" s="59">
        <v>4291</v>
      </c>
      <c r="CP260" s="58"/>
      <c r="CQ260" s="3">
        <v>4291</v>
      </c>
    </row>
    <row r="261" spans="1:95" customFormat="1" x14ac:dyDescent="0.2">
      <c r="A261" s="209">
        <v>43276</v>
      </c>
      <c r="B261" s="33" t="s">
        <v>53</v>
      </c>
      <c r="C261" s="33" t="s">
        <v>84</v>
      </c>
      <c r="D261" s="43">
        <v>0</v>
      </c>
      <c r="E261" s="43">
        <v>1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0</v>
      </c>
      <c r="L261" s="43">
        <v>0</v>
      </c>
      <c r="M261" s="43">
        <v>0</v>
      </c>
      <c r="N261" s="43">
        <v>0</v>
      </c>
      <c r="O261" s="43">
        <v>0</v>
      </c>
      <c r="P261" s="47" t="s">
        <v>45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59">
        <v>0</v>
      </c>
      <c r="AH261" s="37">
        <v>0</v>
      </c>
      <c r="AI261" s="37">
        <v>3750</v>
      </c>
      <c r="AJ261" s="37">
        <v>0</v>
      </c>
      <c r="AK261" s="37">
        <v>0</v>
      </c>
      <c r="AL261" s="37">
        <v>1250</v>
      </c>
      <c r="AM261" s="37">
        <v>0</v>
      </c>
      <c r="AN261" s="37">
        <v>0</v>
      </c>
      <c r="AO261" s="37">
        <v>0</v>
      </c>
      <c r="AP261" s="37">
        <v>0</v>
      </c>
      <c r="AQ261" s="37">
        <v>0</v>
      </c>
      <c r="AR261" s="37">
        <v>0</v>
      </c>
      <c r="AS261" s="59">
        <v>5000</v>
      </c>
      <c r="AT261" s="59">
        <v>5000</v>
      </c>
      <c r="AU261" s="45"/>
      <c r="AV261" s="37">
        <v>0</v>
      </c>
      <c r="AW261" s="37">
        <v>0</v>
      </c>
      <c r="AX261" s="37">
        <v>0</v>
      </c>
      <c r="AY261" s="37">
        <v>0</v>
      </c>
      <c r="AZ261" s="37">
        <v>0</v>
      </c>
      <c r="BA261" s="37">
        <v>0</v>
      </c>
      <c r="BB261" s="37">
        <v>0</v>
      </c>
      <c r="BC261" s="37">
        <v>0</v>
      </c>
      <c r="BD261" s="37">
        <v>0</v>
      </c>
      <c r="BE261" s="37">
        <v>0</v>
      </c>
      <c r="BF261" s="37">
        <v>0</v>
      </c>
      <c r="BG261" s="37">
        <v>0</v>
      </c>
      <c r="BH261" s="37">
        <v>0</v>
      </c>
      <c r="BI261" s="37">
        <v>0</v>
      </c>
      <c r="BJ261" s="37">
        <v>0</v>
      </c>
      <c r="BK261" s="59">
        <v>0</v>
      </c>
      <c r="BL261" s="37">
        <v>0</v>
      </c>
      <c r="BM261" s="37">
        <v>0</v>
      </c>
      <c r="BN261" s="37">
        <v>0</v>
      </c>
      <c r="BO261" s="37">
        <v>0</v>
      </c>
      <c r="BP261" s="37">
        <v>0</v>
      </c>
      <c r="BQ261" s="37">
        <v>0</v>
      </c>
      <c r="BR261" s="37">
        <v>0</v>
      </c>
      <c r="BS261" s="37">
        <v>0</v>
      </c>
      <c r="BT261" s="37">
        <v>0</v>
      </c>
      <c r="BU261" s="37">
        <v>0</v>
      </c>
      <c r="BV261" s="37">
        <v>0</v>
      </c>
      <c r="BW261" s="59">
        <v>0</v>
      </c>
      <c r="BX261" s="59">
        <v>0</v>
      </c>
      <c r="BZ261" s="37">
        <v>0</v>
      </c>
      <c r="CA261" s="37">
        <v>0</v>
      </c>
      <c r="CB261" s="37">
        <v>0</v>
      </c>
      <c r="CC261" s="37">
        <v>0</v>
      </c>
      <c r="CD261" s="37">
        <v>0</v>
      </c>
      <c r="CE261" s="37">
        <v>0</v>
      </c>
      <c r="CF261" s="37">
        <v>0</v>
      </c>
      <c r="CG261" s="59">
        <v>0</v>
      </c>
      <c r="CH261" s="37">
        <v>3750</v>
      </c>
      <c r="CI261" s="37">
        <v>1250</v>
      </c>
      <c r="CJ261" s="37">
        <v>0</v>
      </c>
      <c r="CK261" s="37">
        <v>0</v>
      </c>
      <c r="CL261" s="37">
        <v>0</v>
      </c>
      <c r="CM261" s="37">
        <v>0</v>
      </c>
      <c r="CN261" s="59">
        <v>5000</v>
      </c>
      <c r="CO261" s="59">
        <v>5000</v>
      </c>
      <c r="CP261" s="58"/>
      <c r="CQ261" s="3">
        <v>5000</v>
      </c>
    </row>
    <row r="262" spans="1:95" customFormat="1" x14ac:dyDescent="0.2">
      <c r="A262" s="209">
        <v>43276</v>
      </c>
      <c r="B262" s="33" t="s">
        <v>53</v>
      </c>
      <c r="C262" s="33" t="s">
        <v>54</v>
      </c>
      <c r="D262" s="43">
        <v>1</v>
      </c>
      <c r="E262" s="43">
        <v>0</v>
      </c>
      <c r="F262" s="43">
        <v>0</v>
      </c>
      <c r="G262" s="43">
        <v>0</v>
      </c>
      <c r="H262" s="43">
        <v>0</v>
      </c>
      <c r="I262" s="43">
        <v>0</v>
      </c>
      <c r="J262" s="43">
        <v>0</v>
      </c>
      <c r="K262" s="43">
        <v>0</v>
      </c>
      <c r="L262" s="43">
        <v>0</v>
      </c>
      <c r="M262" s="43">
        <v>0</v>
      </c>
      <c r="N262" s="43">
        <v>0</v>
      </c>
      <c r="O262" s="43">
        <v>0</v>
      </c>
      <c r="P262" s="47" t="s">
        <v>45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59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  <c r="AN262" s="37">
        <v>800</v>
      </c>
      <c r="AO262" s="37">
        <v>0</v>
      </c>
      <c r="AP262" s="37">
        <v>200</v>
      </c>
      <c r="AQ262" s="37">
        <v>0</v>
      </c>
      <c r="AR262" s="37">
        <v>0</v>
      </c>
      <c r="AS262" s="59">
        <v>1000</v>
      </c>
      <c r="AT262" s="59">
        <v>1000</v>
      </c>
      <c r="AU262" s="45"/>
      <c r="AV262" s="37">
        <v>0</v>
      </c>
      <c r="AW262" s="37">
        <v>0</v>
      </c>
      <c r="AX262" s="37">
        <v>0</v>
      </c>
      <c r="AY262" s="37">
        <v>0</v>
      </c>
      <c r="AZ262" s="37">
        <v>0</v>
      </c>
      <c r="BA262" s="37">
        <v>0</v>
      </c>
      <c r="BB262" s="37">
        <v>0</v>
      </c>
      <c r="BC262" s="37">
        <v>0</v>
      </c>
      <c r="BD262" s="37">
        <v>0</v>
      </c>
      <c r="BE262" s="37">
        <v>0</v>
      </c>
      <c r="BF262" s="37">
        <v>0</v>
      </c>
      <c r="BG262" s="37">
        <v>0</v>
      </c>
      <c r="BH262" s="37">
        <v>0</v>
      </c>
      <c r="BI262" s="37">
        <v>0</v>
      </c>
      <c r="BJ262" s="37">
        <v>0</v>
      </c>
      <c r="BK262" s="59">
        <v>0</v>
      </c>
      <c r="BL262" s="37">
        <v>0</v>
      </c>
      <c r="BM262" s="37">
        <v>0</v>
      </c>
      <c r="BN262" s="37">
        <v>0</v>
      </c>
      <c r="BO262" s="37">
        <v>0</v>
      </c>
      <c r="BP262" s="37">
        <v>0</v>
      </c>
      <c r="BQ262" s="37">
        <v>0</v>
      </c>
      <c r="BR262" s="37">
        <v>0</v>
      </c>
      <c r="BS262" s="37">
        <v>0</v>
      </c>
      <c r="BT262" s="37">
        <v>0</v>
      </c>
      <c r="BU262" s="37">
        <v>0</v>
      </c>
      <c r="BV262" s="37">
        <v>0</v>
      </c>
      <c r="BW262" s="59">
        <v>0</v>
      </c>
      <c r="BX262" s="59">
        <v>0</v>
      </c>
      <c r="BZ262" s="37">
        <v>0</v>
      </c>
      <c r="CA262" s="37">
        <v>0</v>
      </c>
      <c r="CB262" s="37">
        <v>0</v>
      </c>
      <c r="CC262" s="37">
        <v>0</v>
      </c>
      <c r="CD262" s="37">
        <v>0</v>
      </c>
      <c r="CE262" s="37">
        <v>0</v>
      </c>
      <c r="CF262" s="37">
        <v>0</v>
      </c>
      <c r="CG262" s="59">
        <v>0</v>
      </c>
      <c r="CH262" s="37">
        <v>0</v>
      </c>
      <c r="CI262" s="37">
        <v>0</v>
      </c>
      <c r="CJ262" s="37">
        <v>800</v>
      </c>
      <c r="CK262" s="37">
        <v>200</v>
      </c>
      <c r="CL262" s="37">
        <v>0</v>
      </c>
      <c r="CM262" s="37">
        <v>0</v>
      </c>
      <c r="CN262" s="59">
        <v>1000</v>
      </c>
      <c r="CO262" s="59">
        <v>1000</v>
      </c>
      <c r="CP262" s="58"/>
      <c r="CQ262" s="3">
        <v>1000</v>
      </c>
    </row>
    <row r="263" spans="1:95" customFormat="1" x14ac:dyDescent="0.2">
      <c r="A263" s="209">
        <v>43279</v>
      </c>
      <c r="B263" s="33" t="s">
        <v>53</v>
      </c>
      <c r="C263" s="33" t="s">
        <v>84</v>
      </c>
      <c r="D263" s="43">
        <v>0</v>
      </c>
      <c r="E263" s="43">
        <v>1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3">
        <v>0</v>
      </c>
      <c r="M263" s="43">
        <v>0</v>
      </c>
      <c r="N263" s="43">
        <v>0</v>
      </c>
      <c r="O263" s="43">
        <v>0</v>
      </c>
      <c r="P263" s="47" t="s">
        <v>45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59">
        <v>0</v>
      </c>
      <c r="AH263" s="37">
        <v>2500</v>
      </c>
      <c r="AI263" s="37">
        <v>0</v>
      </c>
      <c r="AJ263" s="37">
        <v>1875</v>
      </c>
      <c r="AK263" s="37">
        <v>0</v>
      </c>
      <c r="AL263" s="37">
        <v>0</v>
      </c>
      <c r="AM263" s="37">
        <v>0</v>
      </c>
      <c r="AN263" s="37">
        <v>0</v>
      </c>
      <c r="AO263" s="37">
        <v>0</v>
      </c>
      <c r="AP263" s="37">
        <v>0</v>
      </c>
      <c r="AQ263" s="37">
        <v>0</v>
      </c>
      <c r="AR263" s="37">
        <v>0</v>
      </c>
      <c r="AS263" s="59">
        <v>4375</v>
      </c>
      <c r="AT263" s="59">
        <v>4375</v>
      </c>
      <c r="AU263" s="45"/>
      <c r="AV263" s="37">
        <v>0</v>
      </c>
      <c r="AW263" s="37">
        <v>0</v>
      </c>
      <c r="AX263" s="37">
        <v>0</v>
      </c>
      <c r="AY263" s="37">
        <v>0</v>
      </c>
      <c r="AZ263" s="37">
        <v>0</v>
      </c>
      <c r="BA263" s="37">
        <v>0</v>
      </c>
      <c r="BB263" s="37">
        <v>0</v>
      </c>
      <c r="BC263" s="37">
        <v>0</v>
      </c>
      <c r="BD263" s="37">
        <v>0</v>
      </c>
      <c r="BE263" s="37">
        <v>0</v>
      </c>
      <c r="BF263" s="37">
        <v>0</v>
      </c>
      <c r="BG263" s="37">
        <v>0</v>
      </c>
      <c r="BH263" s="37">
        <v>0</v>
      </c>
      <c r="BI263" s="37">
        <v>0</v>
      </c>
      <c r="BJ263" s="37">
        <v>0</v>
      </c>
      <c r="BK263" s="59">
        <v>0</v>
      </c>
      <c r="BL263" s="37">
        <v>0</v>
      </c>
      <c r="BM263" s="37">
        <v>0</v>
      </c>
      <c r="BN263" s="37">
        <v>0</v>
      </c>
      <c r="BO263" s="37">
        <v>0</v>
      </c>
      <c r="BP263" s="37">
        <v>0</v>
      </c>
      <c r="BQ263" s="37">
        <v>0</v>
      </c>
      <c r="BR263" s="37">
        <v>0</v>
      </c>
      <c r="BS263" s="37">
        <v>0</v>
      </c>
      <c r="BT263" s="37">
        <v>0</v>
      </c>
      <c r="BU263" s="37">
        <v>0</v>
      </c>
      <c r="BV263" s="37">
        <v>0</v>
      </c>
      <c r="BW263" s="59">
        <v>0</v>
      </c>
      <c r="BX263" s="59">
        <v>0</v>
      </c>
      <c r="BZ263" s="37">
        <v>0</v>
      </c>
      <c r="CA263" s="37">
        <v>0</v>
      </c>
      <c r="CB263" s="37">
        <v>0</v>
      </c>
      <c r="CC263" s="37">
        <v>0</v>
      </c>
      <c r="CD263" s="37">
        <v>0</v>
      </c>
      <c r="CE263" s="37">
        <v>0</v>
      </c>
      <c r="CF263" s="37">
        <v>0</v>
      </c>
      <c r="CG263" s="59">
        <v>0</v>
      </c>
      <c r="CH263" s="37">
        <v>2500</v>
      </c>
      <c r="CI263" s="37">
        <v>1875</v>
      </c>
      <c r="CJ263" s="37">
        <v>0</v>
      </c>
      <c r="CK263" s="37">
        <v>0</v>
      </c>
      <c r="CL263" s="37">
        <v>0</v>
      </c>
      <c r="CM263" s="37">
        <v>0</v>
      </c>
      <c r="CN263" s="59">
        <v>4375</v>
      </c>
      <c r="CO263" s="59">
        <v>4375</v>
      </c>
      <c r="CP263" s="58"/>
      <c r="CQ263" s="3">
        <v>4375</v>
      </c>
    </row>
    <row r="264" spans="1:95" customFormat="1" x14ac:dyDescent="0.2">
      <c r="A264" s="209">
        <v>43279</v>
      </c>
      <c r="B264" s="33" t="s">
        <v>116</v>
      </c>
      <c r="C264" s="33" t="s">
        <v>125</v>
      </c>
      <c r="D264" s="43">
        <v>0</v>
      </c>
      <c r="E264" s="43">
        <v>0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1</v>
      </c>
      <c r="L264" s="43">
        <v>0</v>
      </c>
      <c r="M264" s="43">
        <v>0</v>
      </c>
      <c r="N264" s="43">
        <v>0</v>
      </c>
      <c r="O264" s="43">
        <v>0</v>
      </c>
      <c r="P264" s="47" t="s">
        <v>45</v>
      </c>
      <c r="R264" s="37">
        <v>0</v>
      </c>
      <c r="S264" s="37">
        <v>0</v>
      </c>
      <c r="T264" s="37">
        <v>600000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20000</v>
      </c>
      <c r="AA264" s="37">
        <v>0</v>
      </c>
      <c r="AB264" s="37">
        <v>40000</v>
      </c>
      <c r="AC264" s="37">
        <v>0</v>
      </c>
      <c r="AD264" s="37">
        <v>6000</v>
      </c>
      <c r="AE264" s="37">
        <v>0</v>
      </c>
      <c r="AF264" s="37">
        <v>0</v>
      </c>
      <c r="AG264" s="59">
        <v>666000</v>
      </c>
      <c r="AH264" s="37">
        <v>0</v>
      </c>
      <c r="AI264" s="37">
        <v>1500</v>
      </c>
      <c r="AJ264" s="37">
        <v>0</v>
      </c>
      <c r="AK264" s="37">
        <v>0</v>
      </c>
      <c r="AL264" s="37">
        <v>250</v>
      </c>
      <c r="AM264" s="37">
        <v>0</v>
      </c>
      <c r="AN264" s="37">
        <v>400</v>
      </c>
      <c r="AO264" s="37">
        <v>0</v>
      </c>
      <c r="AP264" s="37">
        <v>100</v>
      </c>
      <c r="AQ264" s="37">
        <v>0</v>
      </c>
      <c r="AR264" s="37">
        <v>0</v>
      </c>
      <c r="AS264" s="59">
        <v>2250</v>
      </c>
      <c r="AT264" s="59">
        <v>668250</v>
      </c>
      <c r="AU264" s="45"/>
      <c r="AV264" s="37">
        <v>0</v>
      </c>
      <c r="AW264" s="37">
        <v>0</v>
      </c>
      <c r="AX264" s="37">
        <v>0</v>
      </c>
      <c r="AY264" s="37">
        <v>0</v>
      </c>
      <c r="AZ264" s="37">
        <v>0</v>
      </c>
      <c r="BA264" s="37">
        <v>0</v>
      </c>
      <c r="BB264" s="37">
        <v>0</v>
      </c>
      <c r="BC264" s="37">
        <v>0</v>
      </c>
      <c r="BD264" s="37">
        <v>0</v>
      </c>
      <c r="BE264" s="37">
        <v>0</v>
      </c>
      <c r="BF264" s="37">
        <v>0</v>
      </c>
      <c r="BG264" s="37">
        <v>0</v>
      </c>
      <c r="BH264" s="37">
        <v>0</v>
      </c>
      <c r="BI264" s="37">
        <v>0</v>
      </c>
      <c r="BJ264" s="37">
        <v>0</v>
      </c>
      <c r="BK264" s="59">
        <v>0</v>
      </c>
      <c r="BL264" s="37">
        <v>0</v>
      </c>
      <c r="BM264" s="37">
        <v>0</v>
      </c>
      <c r="BN264" s="37">
        <v>0</v>
      </c>
      <c r="BO264" s="37">
        <v>0</v>
      </c>
      <c r="BP264" s="37">
        <v>0</v>
      </c>
      <c r="BQ264" s="37">
        <v>0</v>
      </c>
      <c r="BR264" s="37">
        <v>0</v>
      </c>
      <c r="BS264" s="37">
        <v>0</v>
      </c>
      <c r="BT264" s="37">
        <v>0</v>
      </c>
      <c r="BU264" s="37">
        <v>0</v>
      </c>
      <c r="BV264" s="37">
        <v>0</v>
      </c>
      <c r="BW264" s="59">
        <v>0</v>
      </c>
      <c r="BX264" s="59">
        <v>0</v>
      </c>
      <c r="BZ264" s="37">
        <v>600000</v>
      </c>
      <c r="CA264" s="37">
        <v>0</v>
      </c>
      <c r="CB264" s="37">
        <v>0</v>
      </c>
      <c r="CC264" s="37">
        <v>20000</v>
      </c>
      <c r="CD264" s="37">
        <v>40000</v>
      </c>
      <c r="CE264" s="37">
        <v>6000</v>
      </c>
      <c r="CF264" s="37">
        <v>0</v>
      </c>
      <c r="CG264" s="59">
        <v>666000</v>
      </c>
      <c r="CH264" s="37">
        <v>1500</v>
      </c>
      <c r="CI264" s="37">
        <v>250</v>
      </c>
      <c r="CJ264" s="37">
        <v>400</v>
      </c>
      <c r="CK264" s="37">
        <v>100</v>
      </c>
      <c r="CL264" s="37">
        <v>0</v>
      </c>
      <c r="CM264" s="37">
        <v>0</v>
      </c>
      <c r="CN264" s="59">
        <v>2250</v>
      </c>
      <c r="CO264" s="59">
        <v>668250</v>
      </c>
      <c r="CP264" s="58"/>
      <c r="CQ264" s="3">
        <v>668250</v>
      </c>
    </row>
    <row r="265" spans="1:95" customFormat="1" x14ac:dyDescent="0.2">
      <c r="A265" s="209">
        <v>43280</v>
      </c>
      <c r="B265" s="33" t="s">
        <v>53</v>
      </c>
      <c r="C265" s="33" t="s">
        <v>54</v>
      </c>
      <c r="D265" s="43">
        <v>1</v>
      </c>
      <c r="E265" s="43">
        <v>0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0</v>
      </c>
      <c r="L265" s="43">
        <v>0</v>
      </c>
      <c r="M265" s="43">
        <v>0</v>
      </c>
      <c r="N265" s="43">
        <v>0</v>
      </c>
      <c r="O265" s="43">
        <v>0</v>
      </c>
      <c r="P265" s="47" t="s">
        <v>45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59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  <c r="AN265" s="37">
        <v>600</v>
      </c>
      <c r="AO265" s="37">
        <v>0</v>
      </c>
      <c r="AP265" s="37">
        <v>290</v>
      </c>
      <c r="AQ265" s="37">
        <v>0</v>
      </c>
      <c r="AR265" s="37">
        <v>0</v>
      </c>
      <c r="AS265" s="59">
        <v>890</v>
      </c>
      <c r="AT265" s="59">
        <v>890</v>
      </c>
      <c r="AU265" s="45"/>
      <c r="AV265" s="37">
        <v>0</v>
      </c>
      <c r="AW265" s="37">
        <v>0</v>
      </c>
      <c r="AX265" s="37">
        <v>0</v>
      </c>
      <c r="AY265" s="37">
        <v>0</v>
      </c>
      <c r="AZ265" s="37">
        <v>0</v>
      </c>
      <c r="BA265" s="37">
        <v>0</v>
      </c>
      <c r="BB265" s="37">
        <v>0</v>
      </c>
      <c r="BC265" s="37">
        <v>0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0</v>
      </c>
      <c r="BK265" s="59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0</v>
      </c>
      <c r="BV265" s="37">
        <v>0</v>
      </c>
      <c r="BW265" s="59">
        <v>0</v>
      </c>
      <c r="BX265" s="59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0</v>
      </c>
      <c r="CG265" s="59">
        <v>0</v>
      </c>
      <c r="CH265" s="37">
        <v>0</v>
      </c>
      <c r="CI265" s="37">
        <v>0</v>
      </c>
      <c r="CJ265" s="37">
        <v>600</v>
      </c>
      <c r="CK265" s="37">
        <v>290</v>
      </c>
      <c r="CL265" s="37">
        <v>0</v>
      </c>
      <c r="CM265" s="37">
        <v>0</v>
      </c>
      <c r="CN265" s="59">
        <v>890</v>
      </c>
      <c r="CO265" s="59">
        <v>890</v>
      </c>
      <c r="CP265" s="58"/>
      <c r="CQ265" s="3">
        <v>890</v>
      </c>
    </row>
    <row r="266" spans="1:95" customFormat="1" x14ac:dyDescent="0.2">
      <c r="A266" s="209">
        <v>43280</v>
      </c>
      <c r="B266" s="33" t="s">
        <v>58</v>
      </c>
      <c r="C266" s="33" t="s">
        <v>126</v>
      </c>
      <c r="D266" s="43">
        <v>0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1</v>
      </c>
      <c r="L266" s="43">
        <v>0</v>
      </c>
      <c r="M266" s="43">
        <v>0</v>
      </c>
      <c r="N266" s="43">
        <v>0</v>
      </c>
      <c r="O266" s="43">
        <v>0</v>
      </c>
      <c r="P266" s="47" t="s">
        <v>45</v>
      </c>
      <c r="R266" s="37">
        <v>0</v>
      </c>
      <c r="S266" s="37">
        <v>0</v>
      </c>
      <c r="T266" s="37">
        <v>800000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20000</v>
      </c>
      <c r="AA266" s="37">
        <v>0</v>
      </c>
      <c r="AB266" s="37">
        <v>10000</v>
      </c>
      <c r="AC266" s="37">
        <v>0</v>
      </c>
      <c r="AD266" s="37">
        <v>6000</v>
      </c>
      <c r="AE266" s="37">
        <v>0</v>
      </c>
      <c r="AF266" s="37">
        <v>0</v>
      </c>
      <c r="AG266" s="59">
        <v>836000</v>
      </c>
      <c r="AH266" s="37">
        <v>1500</v>
      </c>
      <c r="AI266" s="37">
        <v>0</v>
      </c>
      <c r="AJ266" s="37">
        <v>0</v>
      </c>
      <c r="AK266" s="37">
        <v>0</v>
      </c>
      <c r="AL266" s="37">
        <v>750</v>
      </c>
      <c r="AM266" s="37">
        <v>0</v>
      </c>
      <c r="AN266" s="37">
        <v>400</v>
      </c>
      <c r="AO266" s="37">
        <v>0</v>
      </c>
      <c r="AP266" s="37">
        <v>100</v>
      </c>
      <c r="AQ266" s="37">
        <v>0</v>
      </c>
      <c r="AR266" s="37">
        <v>0</v>
      </c>
      <c r="AS266" s="59">
        <v>2750</v>
      </c>
      <c r="AT266" s="59">
        <v>838750</v>
      </c>
      <c r="AU266" s="45"/>
      <c r="AV266" s="37">
        <v>0</v>
      </c>
      <c r="AW266" s="37">
        <v>0</v>
      </c>
      <c r="AX266" s="37">
        <v>0</v>
      </c>
      <c r="AY266" s="37">
        <v>0</v>
      </c>
      <c r="AZ266" s="37">
        <v>0</v>
      </c>
      <c r="BA266" s="37">
        <v>0</v>
      </c>
      <c r="BB266" s="37">
        <v>0</v>
      </c>
      <c r="BC266" s="37">
        <v>0</v>
      </c>
      <c r="BD266" s="37">
        <v>0</v>
      </c>
      <c r="BE266" s="37">
        <v>0</v>
      </c>
      <c r="BF266" s="37">
        <v>0</v>
      </c>
      <c r="BG266" s="37">
        <v>0</v>
      </c>
      <c r="BH266" s="37">
        <v>0</v>
      </c>
      <c r="BI266" s="37">
        <v>0</v>
      </c>
      <c r="BJ266" s="37">
        <v>0</v>
      </c>
      <c r="BK266" s="59">
        <v>0</v>
      </c>
      <c r="BL266" s="37">
        <v>0</v>
      </c>
      <c r="BM266" s="37">
        <v>0</v>
      </c>
      <c r="BN266" s="37">
        <v>0</v>
      </c>
      <c r="BO266" s="37">
        <v>0</v>
      </c>
      <c r="BP266" s="37">
        <v>0</v>
      </c>
      <c r="BQ266" s="37">
        <v>0</v>
      </c>
      <c r="BR266" s="37">
        <v>0</v>
      </c>
      <c r="BS266" s="37">
        <v>0</v>
      </c>
      <c r="BT266" s="37">
        <v>0</v>
      </c>
      <c r="BU266" s="37">
        <v>0</v>
      </c>
      <c r="BV266" s="37">
        <v>0</v>
      </c>
      <c r="BW266" s="59">
        <v>0</v>
      </c>
      <c r="BX266" s="59">
        <v>0</v>
      </c>
      <c r="BZ266" s="37">
        <v>800000</v>
      </c>
      <c r="CA266" s="37">
        <v>0</v>
      </c>
      <c r="CB266" s="37">
        <v>0</v>
      </c>
      <c r="CC266" s="37">
        <v>20000</v>
      </c>
      <c r="CD266" s="37">
        <v>10000</v>
      </c>
      <c r="CE266" s="37">
        <v>6000</v>
      </c>
      <c r="CF266" s="37">
        <v>0</v>
      </c>
      <c r="CG266" s="59">
        <v>836000</v>
      </c>
      <c r="CH266" s="37">
        <v>1500</v>
      </c>
      <c r="CI266" s="37">
        <v>750</v>
      </c>
      <c r="CJ266" s="37">
        <v>400</v>
      </c>
      <c r="CK266" s="37">
        <v>100</v>
      </c>
      <c r="CL266" s="37">
        <v>0</v>
      </c>
      <c r="CM266" s="37">
        <v>0</v>
      </c>
      <c r="CN266" s="59">
        <v>2750</v>
      </c>
      <c r="CO266" s="59">
        <v>838750</v>
      </c>
      <c r="CP266" s="58"/>
      <c r="CQ266" s="3">
        <v>838750</v>
      </c>
    </row>
    <row r="267" spans="1:95" customFormat="1" x14ac:dyDescent="0.2">
      <c r="A267" s="209">
        <v>43283</v>
      </c>
      <c r="B267" s="33" t="s">
        <v>55</v>
      </c>
      <c r="C267" s="33" t="s">
        <v>56</v>
      </c>
      <c r="D267" s="43">
        <v>0</v>
      </c>
      <c r="E267" s="43">
        <v>0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7">
        <v>0</v>
      </c>
      <c r="R267" s="37">
        <v>0</v>
      </c>
      <c r="S267" s="37">
        <v>0</v>
      </c>
      <c r="T267" s="37">
        <v>4000</v>
      </c>
      <c r="U267" s="37">
        <v>0</v>
      </c>
      <c r="V267" s="37">
        <v>2000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200</v>
      </c>
      <c r="AC267" s="37">
        <v>0</v>
      </c>
      <c r="AD267" s="37">
        <v>80</v>
      </c>
      <c r="AE267" s="37">
        <v>0</v>
      </c>
      <c r="AF267" s="37">
        <v>0</v>
      </c>
      <c r="AG267" s="59">
        <v>6280</v>
      </c>
      <c r="AH267" s="37">
        <v>0</v>
      </c>
      <c r="AI267" s="37">
        <v>0</v>
      </c>
      <c r="AJ267" s="37">
        <v>0</v>
      </c>
      <c r="AK267" s="37">
        <v>0</v>
      </c>
      <c r="AL267" s="37">
        <v>5</v>
      </c>
      <c r="AM267" s="37">
        <v>0</v>
      </c>
      <c r="AN267" s="37">
        <v>4</v>
      </c>
      <c r="AO267" s="37">
        <v>0</v>
      </c>
      <c r="AP267" s="37">
        <v>2</v>
      </c>
      <c r="AQ267" s="37">
        <v>0</v>
      </c>
      <c r="AR267" s="37">
        <v>0</v>
      </c>
      <c r="AS267" s="59">
        <v>11</v>
      </c>
      <c r="AT267" s="59">
        <v>6291</v>
      </c>
      <c r="AU267" s="45"/>
      <c r="AV267" s="37">
        <v>0</v>
      </c>
      <c r="AW267" s="37">
        <v>0</v>
      </c>
      <c r="AX267" s="37">
        <v>0</v>
      </c>
      <c r="AY267" s="37">
        <v>0</v>
      </c>
      <c r="AZ267" s="37">
        <v>0</v>
      </c>
      <c r="BA267" s="37">
        <v>0</v>
      </c>
      <c r="BB267" s="37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0</v>
      </c>
      <c r="BK267" s="59">
        <v>0</v>
      </c>
      <c r="BL267" s="37">
        <v>0</v>
      </c>
      <c r="BM267" s="37">
        <v>0</v>
      </c>
      <c r="BN267" s="37">
        <v>0</v>
      </c>
      <c r="BO267" s="37">
        <v>0</v>
      </c>
      <c r="BP267" s="37">
        <v>0</v>
      </c>
      <c r="BQ267" s="37">
        <v>0</v>
      </c>
      <c r="BR267" s="37">
        <v>0</v>
      </c>
      <c r="BS267" s="37">
        <v>0</v>
      </c>
      <c r="BT267" s="37">
        <v>0</v>
      </c>
      <c r="BU267" s="37">
        <v>0</v>
      </c>
      <c r="BV267" s="37">
        <v>0</v>
      </c>
      <c r="BW267" s="59">
        <v>0</v>
      </c>
      <c r="BX267" s="59">
        <v>0</v>
      </c>
      <c r="BZ267" s="37">
        <v>4000</v>
      </c>
      <c r="CA267" s="37">
        <v>2000</v>
      </c>
      <c r="CB267" s="37">
        <v>0</v>
      </c>
      <c r="CC267" s="37">
        <v>0</v>
      </c>
      <c r="CD267" s="37">
        <v>200</v>
      </c>
      <c r="CE267" s="37">
        <v>80</v>
      </c>
      <c r="CF267" s="37">
        <v>0</v>
      </c>
      <c r="CG267" s="59">
        <v>6280</v>
      </c>
      <c r="CH267" s="37">
        <v>0</v>
      </c>
      <c r="CI267" s="37">
        <v>5</v>
      </c>
      <c r="CJ267" s="37">
        <v>4</v>
      </c>
      <c r="CK267" s="37">
        <v>2</v>
      </c>
      <c r="CL267" s="37">
        <v>0</v>
      </c>
      <c r="CM267" s="37">
        <v>0</v>
      </c>
      <c r="CN267" s="59">
        <v>11</v>
      </c>
      <c r="CO267" s="59">
        <v>6291</v>
      </c>
      <c r="CP267" s="58"/>
      <c r="CQ267" s="3">
        <v>6291</v>
      </c>
    </row>
    <row r="268" spans="1:95" customFormat="1" x14ac:dyDescent="0.2">
      <c r="A268" s="209">
        <v>43283</v>
      </c>
      <c r="B268" s="33" t="s">
        <v>53</v>
      </c>
      <c r="C268" s="33" t="s">
        <v>57</v>
      </c>
      <c r="D268" s="43">
        <v>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47">
        <v>0</v>
      </c>
      <c r="R268" s="37">
        <v>0</v>
      </c>
      <c r="S268" s="37">
        <v>0</v>
      </c>
      <c r="T268" s="37">
        <v>8000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400</v>
      </c>
      <c r="AC268" s="37">
        <v>0</v>
      </c>
      <c r="AD268" s="37">
        <v>0</v>
      </c>
      <c r="AE268" s="37">
        <v>0</v>
      </c>
      <c r="AF268" s="37">
        <v>0</v>
      </c>
      <c r="AG268" s="59">
        <v>8400</v>
      </c>
      <c r="AH268" s="37">
        <v>0</v>
      </c>
      <c r="AI268" s="37">
        <v>0</v>
      </c>
      <c r="AJ268" s="37">
        <v>0</v>
      </c>
      <c r="AK268" s="37">
        <v>0</v>
      </c>
      <c r="AL268" s="37">
        <v>5</v>
      </c>
      <c r="AM268" s="37">
        <v>0</v>
      </c>
      <c r="AN268" s="37">
        <v>4</v>
      </c>
      <c r="AO268" s="37">
        <v>0</v>
      </c>
      <c r="AP268" s="37">
        <v>2</v>
      </c>
      <c r="AQ268" s="37">
        <v>0</v>
      </c>
      <c r="AR268" s="37">
        <v>0</v>
      </c>
      <c r="AS268" s="59">
        <v>11</v>
      </c>
      <c r="AT268" s="59">
        <v>8411</v>
      </c>
      <c r="AU268" s="45"/>
      <c r="AV268" s="37">
        <v>0</v>
      </c>
      <c r="AW268" s="37">
        <v>0</v>
      </c>
      <c r="AX268" s="37">
        <v>0</v>
      </c>
      <c r="AY268" s="37">
        <v>0</v>
      </c>
      <c r="AZ268" s="37">
        <v>0</v>
      </c>
      <c r="BA268" s="37">
        <v>0</v>
      </c>
      <c r="BB268" s="37">
        <v>0</v>
      </c>
      <c r="BC268" s="37">
        <v>0</v>
      </c>
      <c r="BD268" s="37">
        <v>0</v>
      </c>
      <c r="BE268" s="37">
        <v>0</v>
      </c>
      <c r="BF268" s="37">
        <v>0</v>
      </c>
      <c r="BG268" s="37">
        <v>0</v>
      </c>
      <c r="BH268" s="37">
        <v>0</v>
      </c>
      <c r="BI268" s="37">
        <v>0</v>
      </c>
      <c r="BJ268" s="37">
        <v>0</v>
      </c>
      <c r="BK268" s="59">
        <v>0</v>
      </c>
      <c r="BL268" s="37">
        <v>0</v>
      </c>
      <c r="BM268" s="37">
        <v>0</v>
      </c>
      <c r="BN268" s="37">
        <v>0</v>
      </c>
      <c r="BO268" s="37">
        <v>0</v>
      </c>
      <c r="BP268" s="37">
        <v>0</v>
      </c>
      <c r="BQ268" s="37">
        <v>0</v>
      </c>
      <c r="BR268" s="37">
        <v>0</v>
      </c>
      <c r="BS268" s="37">
        <v>0</v>
      </c>
      <c r="BT268" s="37">
        <v>0</v>
      </c>
      <c r="BU268" s="37">
        <v>0</v>
      </c>
      <c r="BV268" s="37">
        <v>0</v>
      </c>
      <c r="BW268" s="59">
        <v>0</v>
      </c>
      <c r="BX268" s="59">
        <v>0</v>
      </c>
      <c r="BZ268" s="37">
        <v>8000</v>
      </c>
      <c r="CA268" s="37">
        <v>0</v>
      </c>
      <c r="CB268" s="37">
        <v>0</v>
      </c>
      <c r="CC268" s="37">
        <v>0</v>
      </c>
      <c r="CD268" s="37">
        <v>400</v>
      </c>
      <c r="CE268" s="37">
        <v>0</v>
      </c>
      <c r="CF268" s="37">
        <v>0</v>
      </c>
      <c r="CG268" s="59">
        <v>8400</v>
      </c>
      <c r="CH268" s="37">
        <v>0</v>
      </c>
      <c r="CI268" s="37">
        <v>5</v>
      </c>
      <c r="CJ268" s="37">
        <v>4</v>
      </c>
      <c r="CK268" s="37">
        <v>2</v>
      </c>
      <c r="CL268" s="37">
        <v>0</v>
      </c>
      <c r="CM268" s="37">
        <v>0</v>
      </c>
      <c r="CN268" s="59">
        <v>11</v>
      </c>
      <c r="CO268" s="59">
        <v>8411</v>
      </c>
      <c r="CP268" s="58"/>
      <c r="CQ268" s="3">
        <v>8411</v>
      </c>
    </row>
    <row r="269" spans="1:95" customFormat="1" x14ac:dyDescent="0.2">
      <c r="A269" s="209">
        <v>43283</v>
      </c>
      <c r="B269" s="33" t="s">
        <v>53</v>
      </c>
      <c r="C269" s="33" t="s">
        <v>54</v>
      </c>
      <c r="D269" s="43">
        <v>1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0</v>
      </c>
      <c r="L269" s="43">
        <v>0</v>
      </c>
      <c r="M269" s="43">
        <v>0</v>
      </c>
      <c r="N269" s="43">
        <v>0</v>
      </c>
      <c r="O269" s="43">
        <v>0</v>
      </c>
      <c r="P269" s="47" t="s">
        <v>45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  <c r="AE269" s="37">
        <v>0</v>
      </c>
      <c r="AF269" s="37">
        <v>0</v>
      </c>
      <c r="AG269" s="59">
        <v>0</v>
      </c>
      <c r="AH269" s="37">
        <v>0</v>
      </c>
      <c r="AI269" s="37">
        <v>0</v>
      </c>
      <c r="AJ269" s="37">
        <v>0</v>
      </c>
      <c r="AK269" s="37">
        <v>0</v>
      </c>
      <c r="AL269" s="37">
        <v>4375</v>
      </c>
      <c r="AM269" s="37">
        <v>0</v>
      </c>
      <c r="AN269" s="37">
        <v>0</v>
      </c>
      <c r="AO269" s="37">
        <v>0</v>
      </c>
      <c r="AP269" s="37">
        <v>0</v>
      </c>
      <c r="AQ269" s="37">
        <v>0</v>
      </c>
      <c r="AR269" s="37">
        <v>0</v>
      </c>
      <c r="AS269" s="59">
        <v>4375</v>
      </c>
      <c r="AT269" s="59">
        <v>4375</v>
      </c>
      <c r="AU269" s="45"/>
      <c r="AV269" s="37">
        <v>0</v>
      </c>
      <c r="AW269" s="37">
        <v>0</v>
      </c>
      <c r="AX269" s="37">
        <v>0</v>
      </c>
      <c r="AY269" s="37">
        <v>0</v>
      </c>
      <c r="AZ269" s="37">
        <v>0</v>
      </c>
      <c r="BA269" s="37">
        <v>0</v>
      </c>
      <c r="BB269" s="37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59">
        <v>0</v>
      </c>
      <c r="BL269" s="37">
        <v>0</v>
      </c>
      <c r="BM269" s="37">
        <v>0</v>
      </c>
      <c r="BN269" s="37">
        <v>0</v>
      </c>
      <c r="BO269" s="37">
        <v>0</v>
      </c>
      <c r="BP269" s="37">
        <v>0</v>
      </c>
      <c r="BQ269" s="37">
        <v>0</v>
      </c>
      <c r="BR269" s="37">
        <v>0</v>
      </c>
      <c r="BS269" s="37">
        <v>0</v>
      </c>
      <c r="BT269" s="37">
        <v>0</v>
      </c>
      <c r="BU269" s="37">
        <v>0</v>
      </c>
      <c r="BV269" s="37">
        <v>0</v>
      </c>
      <c r="BW269" s="59">
        <v>0</v>
      </c>
      <c r="BX269" s="59">
        <v>0</v>
      </c>
      <c r="BZ269" s="37">
        <v>0</v>
      </c>
      <c r="CA269" s="37">
        <v>0</v>
      </c>
      <c r="CB269" s="37">
        <v>0</v>
      </c>
      <c r="CC269" s="37">
        <v>0</v>
      </c>
      <c r="CD269" s="37">
        <v>0</v>
      </c>
      <c r="CE269" s="37">
        <v>0</v>
      </c>
      <c r="CF269" s="37">
        <v>0</v>
      </c>
      <c r="CG269" s="59">
        <v>0</v>
      </c>
      <c r="CH269" s="37">
        <v>0</v>
      </c>
      <c r="CI269" s="37">
        <v>4375</v>
      </c>
      <c r="CJ269" s="37">
        <v>0</v>
      </c>
      <c r="CK269" s="37">
        <v>0</v>
      </c>
      <c r="CL269" s="37">
        <v>0</v>
      </c>
      <c r="CM269" s="37">
        <v>0</v>
      </c>
      <c r="CN269" s="59">
        <v>4375</v>
      </c>
      <c r="CO269" s="59">
        <v>4375</v>
      </c>
      <c r="CP269" s="58"/>
      <c r="CQ269" s="3">
        <v>4375</v>
      </c>
    </row>
    <row r="270" spans="1:95" customFormat="1" x14ac:dyDescent="0.2">
      <c r="A270" s="209">
        <v>43284</v>
      </c>
      <c r="B270" s="33" t="s">
        <v>55</v>
      </c>
      <c r="C270" s="33" t="s">
        <v>56</v>
      </c>
      <c r="D270" s="43">
        <v>0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4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400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59">
        <v>400</v>
      </c>
      <c r="AH270" s="37">
        <v>0</v>
      </c>
      <c r="AI270" s="37">
        <v>10</v>
      </c>
      <c r="AJ270" s="37">
        <v>0</v>
      </c>
      <c r="AK270" s="37">
        <v>0</v>
      </c>
      <c r="AL270" s="37">
        <v>0</v>
      </c>
      <c r="AM270" s="37">
        <v>0</v>
      </c>
      <c r="AN270" s="37">
        <v>0</v>
      </c>
      <c r="AO270" s="37">
        <v>0</v>
      </c>
      <c r="AP270" s="37">
        <v>0</v>
      </c>
      <c r="AQ270" s="37">
        <v>0</v>
      </c>
      <c r="AR270" s="37">
        <v>0</v>
      </c>
      <c r="AS270" s="59">
        <v>10</v>
      </c>
      <c r="AT270" s="59">
        <v>410</v>
      </c>
      <c r="AU270" s="45"/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>
        <v>0</v>
      </c>
      <c r="BB270" s="37">
        <v>0</v>
      </c>
      <c r="BC270" s="37">
        <v>0</v>
      </c>
      <c r="BD270" s="37">
        <v>0</v>
      </c>
      <c r="BE270" s="37">
        <v>0</v>
      </c>
      <c r="BF270" s="37">
        <v>0</v>
      </c>
      <c r="BG270" s="37">
        <v>0</v>
      </c>
      <c r="BH270" s="37">
        <v>0</v>
      </c>
      <c r="BI270" s="37">
        <v>0</v>
      </c>
      <c r="BJ270" s="37">
        <v>0</v>
      </c>
      <c r="BK270" s="59">
        <v>0</v>
      </c>
      <c r="BL270" s="37">
        <v>0</v>
      </c>
      <c r="BM270" s="37">
        <v>0</v>
      </c>
      <c r="BN270" s="37">
        <v>0</v>
      </c>
      <c r="BO270" s="37">
        <v>0</v>
      </c>
      <c r="BP270" s="37">
        <v>0</v>
      </c>
      <c r="BQ270" s="37">
        <v>0</v>
      </c>
      <c r="BR270" s="37">
        <v>0</v>
      </c>
      <c r="BS270" s="37">
        <v>0</v>
      </c>
      <c r="BT270" s="37">
        <v>0</v>
      </c>
      <c r="BU270" s="37">
        <v>0</v>
      </c>
      <c r="BV270" s="37">
        <v>0</v>
      </c>
      <c r="BW270" s="59">
        <v>0</v>
      </c>
      <c r="BX270" s="59">
        <v>0</v>
      </c>
      <c r="BZ270" s="37">
        <v>0</v>
      </c>
      <c r="CA270" s="37">
        <v>0</v>
      </c>
      <c r="CB270" s="37">
        <v>0</v>
      </c>
      <c r="CC270" s="37">
        <v>400</v>
      </c>
      <c r="CD270" s="37">
        <v>0</v>
      </c>
      <c r="CE270" s="37">
        <v>0</v>
      </c>
      <c r="CF270" s="37">
        <v>0</v>
      </c>
      <c r="CG270" s="59">
        <v>400</v>
      </c>
      <c r="CH270" s="37">
        <v>10</v>
      </c>
      <c r="CI270" s="37">
        <v>0</v>
      </c>
      <c r="CJ270" s="37">
        <v>0</v>
      </c>
      <c r="CK270" s="37">
        <v>0</v>
      </c>
      <c r="CL270" s="37">
        <v>0</v>
      </c>
      <c r="CM270" s="37">
        <v>0</v>
      </c>
      <c r="CN270" s="59">
        <v>10</v>
      </c>
      <c r="CO270" s="59">
        <v>410</v>
      </c>
      <c r="CP270" s="58"/>
      <c r="CQ270" s="3">
        <v>410</v>
      </c>
    </row>
    <row r="271" spans="1:95" customFormat="1" x14ac:dyDescent="0.2">
      <c r="A271" s="209">
        <v>43284</v>
      </c>
      <c r="B271" s="33" t="s">
        <v>66</v>
      </c>
      <c r="C271" s="33" t="s">
        <v>65</v>
      </c>
      <c r="D271" s="43">
        <v>0</v>
      </c>
      <c r="E271" s="43">
        <v>0</v>
      </c>
      <c r="F271" s="43">
        <v>0</v>
      </c>
      <c r="G271" s="43">
        <v>0</v>
      </c>
      <c r="H271" s="43">
        <v>0</v>
      </c>
      <c r="I271" s="43">
        <v>1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7" t="s">
        <v>45</v>
      </c>
      <c r="R271" s="37">
        <v>0</v>
      </c>
      <c r="S271" s="37">
        <v>0</v>
      </c>
      <c r="T271" s="37">
        <v>600000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20000</v>
      </c>
      <c r="AA271" s="37">
        <v>0</v>
      </c>
      <c r="AB271" s="37">
        <v>40000</v>
      </c>
      <c r="AC271" s="37">
        <v>0</v>
      </c>
      <c r="AD271" s="37">
        <v>12000</v>
      </c>
      <c r="AE271" s="37">
        <v>0</v>
      </c>
      <c r="AF271" s="37">
        <v>0</v>
      </c>
      <c r="AG271" s="59">
        <v>672000</v>
      </c>
      <c r="AH271" s="37">
        <v>0</v>
      </c>
      <c r="AI271" s="37">
        <v>0</v>
      </c>
      <c r="AJ271" s="37">
        <v>0</v>
      </c>
      <c r="AK271" s="37">
        <v>0</v>
      </c>
      <c r="AL271" s="37">
        <v>250</v>
      </c>
      <c r="AM271" s="37">
        <v>0</v>
      </c>
      <c r="AN271" s="37">
        <v>600</v>
      </c>
      <c r="AO271" s="37">
        <v>0</v>
      </c>
      <c r="AP271" s="37">
        <v>100</v>
      </c>
      <c r="AQ271" s="37">
        <v>0</v>
      </c>
      <c r="AR271" s="37">
        <v>0</v>
      </c>
      <c r="AS271" s="59">
        <v>950</v>
      </c>
      <c r="AT271" s="59">
        <v>672950</v>
      </c>
      <c r="AU271" s="45"/>
      <c r="AV271" s="37">
        <v>0</v>
      </c>
      <c r="AW271" s="37">
        <v>0</v>
      </c>
      <c r="AX271" s="37">
        <v>0</v>
      </c>
      <c r="AY271" s="37">
        <v>0</v>
      </c>
      <c r="AZ271" s="37">
        <v>0</v>
      </c>
      <c r="BA271" s="37">
        <v>0</v>
      </c>
      <c r="BB271" s="37">
        <v>0</v>
      </c>
      <c r="BC271" s="37">
        <v>0</v>
      </c>
      <c r="BD271" s="37">
        <v>0</v>
      </c>
      <c r="BE271" s="37">
        <v>0</v>
      </c>
      <c r="BF271" s="37">
        <v>0</v>
      </c>
      <c r="BG271" s="37">
        <v>0</v>
      </c>
      <c r="BH271" s="37">
        <v>0</v>
      </c>
      <c r="BI271" s="37">
        <v>0</v>
      </c>
      <c r="BJ271" s="37">
        <v>0</v>
      </c>
      <c r="BK271" s="59">
        <v>0</v>
      </c>
      <c r="BL271" s="37">
        <v>0</v>
      </c>
      <c r="BM271" s="37">
        <v>0</v>
      </c>
      <c r="BN271" s="37">
        <v>0</v>
      </c>
      <c r="BO271" s="37">
        <v>0</v>
      </c>
      <c r="BP271" s="37">
        <v>0</v>
      </c>
      <c r="BQ271" s="37">
        <v>0</v>
      </c>
      <c r="BR271" s="37">
        <v>0</v>
      </c>
      <c r="BS271" s="37">
        <v>0</v>
      </c>
      <c r="BT271" s="37">
        <v>0</v>
      </c>
      <c r="BU271" s="37">
        <v>0</v>
      </c>
      <c r="BV271" s="37">
        <v>0</v>
      </c>
      <c r="BW271" s="59">
        <v>0</v>
      </c>
      <c r="BX271" s="59">
        <v>0</v>
      </c>
      <c r="BZ271" s="37">
        <v>600000</v>
      </c>
      <c r="CA271" s="37">
        <v>0</v>
      </c>
      <c r="CB271" s="37">
        <v>0</v>
      </c>
      <c r="CC271" s="37">
        <v>20000</v>
      </c>
      <c r="CD271" s="37">
        <v>40000</v>
      </c>
      <c r="CE271" s="37">
        <v>12000</v>
      </c>
      <c r="CF271" s="37">
        <v>0</v>
      </c>
      <c r="CG271" s="59">
        <v>672000</v>
      </c>
      <c r="CH271" s="37">
        <v>0</v>
      </c>
      <c r="CI271" s="37">
        <v>250</v>
      </c>
      <c r="CJ271" s="37">
        <v>600</v>
      </c>
      <c r="CK271" s="37">
        <v>100</v>
      </c>
      <c r="CL271" s="37">
        <v>0</v>
      </c>
      <c r="CM271" s="37">
        <v>0</v>
      </c>
      <c r="CN271" s="59">
        <v>950</v>
      </c>
      <c r="CO271" s="59">
        <v>672950</v>
      </c>
      <c r="CP271" s="58"/>
      <c r="CQ271" s="3">
        <v>672950</v>
      </c>
    </row>
    <row r="272" spans="1:95" customFormat="1" x14ac:dyDescent="0.2">
      <c r="A272" s="209">
        <v>43284</v>
      </c>
      <c r="B272" s="33" t="s">
        <v>64</v>
      </c>
      <c r="C272" s="33" t="s">
        <v>65</v>
      </c>
      <c r="D272" s="43">
        <v>0</v>
      </c>
      <c r="E272" s="43">
        <v>0</v>
      </c>
      <c r="F272" s="43">
        <v>0</v>
      </c>
      <c r="G272" s="43">
        <v>0</v>
      </c>
      <c r="H272" s="43">
        <v>0</v>
      </c>
      <c r="I272" s="43">
        <v>1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47" t="s">
        <v>45</v>
      </c>
      <c r="R272" s="37">
        <v>0</v>
      </c>
      <c r="S272" s="37">
        <v>0</v>
      </c>
      <c r="T272" s="37">
        <v>600000</v>
      </c>
      <c r="U272" s="37">
        <v>0</v>
      </c>
      <c r="V272" s="37">
        <v>0</v>
      </c>
      <c r="W272" s="37">
        <v>0</v>
      </c>
      <c r="X272" s="37">
        <v>60000</v>
      </c>
      <c r="Y272" s="37">
        <v>0</v>
      </c>
      <c r="Z272" s="37">
        <v>20000</v>
      </c>
      <c r="AA272" s="37">
        <v>0</v>
      </c>
      <c r="AB272" s="37">
        <v>20000</v>
      </c>
      <c r="AC272" s="37">
        <v>0</v>
      </c>
      <c r="AD272" s="37">
        <v>14000</v>
      </c>
      <c r="AE272" s="37">
        <v>0</v>
      </c>
      <c r="AF272" s="37">
        <v>0</v>
      </c>
      <c r="AG272" s="59">
        <v>714000</v>
      </c>
      <c r="AH272" s="37">
        <v>0</v>
      </c>
      <c r="AI272" s="37">
        <v>0</v>
      </c>
      <c r="AJ272" s="37">
        <v>0</v>
      </c>
      <c r="AK272" s="37">
        <v>0</v>
      </c>
      <c r="AL272" s="37">
        <v>750</v>
      </c>
      <c r="AM272" s="37">
        <v>0</v>
      </c>
      <c r="AN272" s="37">
        <v>300</v>
      </c>
      <c r="AO272" s="37">
        <v>0</v>
      </c>
      <c r="AP272" s="37">
        <v>100</v>
      </c>
      <c r="AQ272" s="37">
        <v>0</v>
      </c>
      <c r="AR272" s="37">
        <v>0</v>
      </c>
      <c r="AS272" s="59">
        <v>1150</v>
      </c>
      <c r="AT272" s="59">
        <v>715150</v>
      </c>
      <c r="AU272" s="45"/>
      <c r="AV272" s="37">
        <v>0</v>
      </c>
      <c r="AW272" s="37">
        <v>0</v>
      </c>
      <c r="AX272" s="37">
        <v>0</v>
      </c>
      <c r="AY272" s="37">
        <v>0</v>
      </c>
      <c r="AZ272" s="37">
        <v>0</v>
      </c>
      <c r="BA272" s="37">
        <v>0</v>
      </c>
      <c r="BB272" s="37">
        <v>0</v>
      </c>
      <c r="BC272" s="37">
        <v>0</v>
      </c>
      <c r="BD272" s="37">
        <v>0</v>
      </c>
      <c r="BE272" s="37">
        <v>0</v>
      </c>
      <c r="BF272" s="37">
        <v>0</v>
      </c>
      <c r="BG272" s="37">
        <v>0</v>
      </c>
      <c r="BH272" s="37">
        <v>0</v>
      </c>
      <c r="BI272" s="37">
        <v>0</v>
      </c>
      <c r="BJ272" s="37">
        <v>0</v>
      </c>
      <c r="BK272" s="59">
        <v>0</v>
      </c>
      <c r="BL272" s="37">
        <v>0</v>
      </c>
      <c r="BM272" s="37">
        <v>0</v>
      </c>
      <c r="BN272" s="37">
        <v>0</v>
      </c>
      <c r="BO272" s="37">
        <v>0</v>
      </c>
      <c r="BP272" s="37">
        <v>0</v>
      </c>
      <c r="BQ272" s="37">
        <v>0</v>
      </c>
      <c r="BR272" s="37">
        <v>0</v>
      </c>
      <c r="BS272" s="37">
        <v>0</v>
      </c>
      <c r="BT272" s="37">
        <v>0</v>
      </c>
      <c r="BU272" s="37">
        <v>0</v>
      </c>
      <c r="BV272" s="37">
        <v>0</v>
      </c>
      <c r="BW272" s="59">
        <v>0</v>
      </c>
      <c r="BX272" s="59">
        <v>0</v>
      </c>
      <c r="BZ272" s="37">
        <v>600000</v>
      </c>
      <c r="CA272" s="37">
        <v>0</v>
      </c>
      <c r="CB272" s="37">
        <v>60000</v>
      </c>
      <c r="CC272" s="37">
        <v>20000</v>
      </c>
      <c r="CD272" s="37">
        <v>20000</v>
      </c>
      <c r="CE272" s="37">
        <v>14000</v>
      </c>
      <c r="CF272" s="37">
        <v>0</v>
      </c>
      <c r="CG272" s="59">
        <v>714000</v>
      </c>
      <c r="CH272" s="37">
        <v>0</v>
      </c>
      <c r="CI272" s="37">
        <v>750</v>
      </c>
      <c r="CJ272" s="37">
        <v>300</v>
      </c>
      <c r="CK272" s="37">
        <v>100</v>
      </c>
      <c r="CL272" s="37">
        <v>0</v>
      </c>
      <c r="CM272" s="37">
        <v>0</v>
      </c>
      <c r="CN272" s="59">
        <v>1150</v>
      </c>
      <c r="CO272" s="59">
        <v>715150</v>
      </c>
      <c r="CP272" s="58"/>
      <c r="CQ272" s="3">
        <v>715150</v>
      </c>
    </row>
    <row r="273" spans="1:95" customFormat="1" x14ac:dyDescent="0.2">
      <c r="A273" s="209">
        <v>43284</v>
      </c>
      <c r="B273" s="33" t="s">
        <v>53</v>
      </c>
      <c r="C273" s="33" t="s">
        <v>57</v>
      </c>
      <c r="D273" s="43">
        <v>0</v>
      </c>
      <c r="E273" s="43">
        <v>0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0</v>
      </c>
      <c r="O273" s="43">
        <v>0</v>
      </c>
      <c r="P273" s="47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0</v>
      </c>
      <c r="AE273" s="37">
        <v>0</v>
      </c>
      <c r="AF273" s="37">
        <v>0</v>
      </c>
      <c r="AG273" s="59">
        <v>0</v>
      </c>
      <c r="AH273" s="37">
        <v>0</v>
      </c>
      <c r="AI273" s="37">
        <v>3.1319999999999997</v>
      </c>
      <c r="AJ273" s="37">
        <v>0</v>
      </c>
      <c r="AK273" s="37">
        <v>0</v>
      </c>
      <c r="AL273" s="37">
        <v>0</v>
      </c>
      <c r="AM273" s="37">
        <v>0</v>
      </c>
      <c r="AN273" s="37">
        <v>0</v>
      </c>
      <c r="AO273" s="37">
        <v>0</v>
      </c>
      <c r="AP273" s="37">
        <v>0</v>
      </c>
      <c r="AQ273" s="37">
        <v>0</v>
      </c>
      <c r="AR273" s="37">
        <v>0</v>
      </c>
      <c r="AS273" s="59">
        <v>3.1319999999999997</v>
      </c>
      <c r="AT273" s="59">
        <v>3.1319999999999997</v>
      </c>
      <c r="AU273" s="45"/>
      <c r="AV273" s="37">
        <v>0</v>
      </c>
      <c r="AW273" s="37">
        <v>0</v>
      </c>
      <c r="AX273" s="37">
        <v>0</v>
      </c>
      <c r="AY273" s="37">
        <v>0</v>
      </c>
      <c r="AZ273" s="37">
        <v>0</v>
      </c>
      <c r="BA273" s="37">
        <v>0</v>
      </c>
      <c r="BB273" s="37">
        <v>0</v>
      </c>
      <c r="BC273" s="37">
        <v>0</v>
      </c>
      <c r="BD273" s="37">
        <v>0</v>
      </c>
      <c r="BE273" s="37">
        <v>0</v>
      </c>
      <c r="BF273" s="37">
        <v>0</v>
      </c>
      <c r="BG273" s="37">
        <v>0</v>
      </c>
      <c r="BH273" s="37">
        <v>0</v>
      </c>
      <c r="BI273" s="37">
        <v>0</v>
      </c>
      <c r="BJ273" s="37">
        <v>0</v>
      </c>
      <c r="BK273" s="59">
        <v>0</v>
      </c>
      <c r="BL273" s="37">
        <v>0</v>
      </c>
      <c r="BM273" s="37">
        <v>0</v>
      </c>
      <c r="BN273" s="37">
        <v>0</v>
      </c>
      <c r="BO273" s="37">
        <v>0</v>
      </c>
      <c r="BP273" s="37">
        <v>0</v>
      </c>
      <c r="BQ273" s="37">
        <v>0</v>
      </c>
      <c r="BR273" s="37">
        <v>0</v>
      </c>
      <c r="BS273" s="37">
        <v>0</v>
      </c>
      <c r="BT273" s="37">
        <v>0</v>
      </c>
      <c r="BU273" s="37">
        <v>0</v>
      </c>
      <c r="BV273" s="37">
        <v>0</v>
      </c>
      <c r="BW273" s="59">
        <v>0</v>
      </c>
      <c r="BX273" s="59">
        <v>0</v>
      </c>
      <c r="BZ273" s="37">
        <v>0</v>
      </c>
      <c r="CA273" s="37">
        <v>0</v>
      </c>
      <c r="CB273" s="37">
        <v>0</v>
      </c>
      <c r="CC273" s="37">
        <v>0</v>
      </c>
      <c r="CD273" s="37">
        <v>0</v>
      </c>
      <c r="CE273" s="37">
        <v>0</v>
      </c>
      <c r="CF273" s="37">
        <v>0</v>
      </c>
      <c r="CG273" s="59">
        <v>0</v>
      </c>
      <c r="CH273" s="37">
        <v>3.1319999999999997</v>
      </c>
      <c r="CI273" s="37">
        <v>0</v>
      </c>
      <c r="CJ273" s="37">
        <v>0</v>
      </c>
      <c r="CK273" s="37">
        <v>0</v>
      </c>
      <c r="CL273" s="37">
        <v>0</v>
      </c>
      <c r="CM273" s="37">
        <v>0</v>
      </c>
      <c r="CN273" s="59">
        <v>3.1319999999999997</v>
      </c>
      <c r="CO273" s="59">
        <v>3.1319999999999997</v>
      </c>
      <c r="CP273" s="58"/>
      <c r="CQ273" s="3">
        <v>3.1319999999999997</v>
      </c>
    </row>
    <row r="274" spans="1:95" customFormat="1" x14ac:dyDescent="0.2">
      <c r="A274" s="209">
        <v>43285</v>
      </c>
      <c r="B274" s="33" t="s">
        <v>53</v>
      </c>
      <c r="C274" s="33" t="s">
        <v>84</v>
      </c>
      <c r="D274" s="43">
        <v>0</v>
      </c>
      <c r="E274" s="43">
        <v>1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0</v>
      </c>
      <c r="L274" s="43">
        <v>0</v>
      </c>
      <c r="M274" s="43">
        <v>0</v>
      </c>
      <c r="N274" s="43">
        <v>0</v>
      </c>
      <c r="O274" s="43">
        <v>0</v>
      </c>
      <c r="P274" s="47" t="s">
        <v>45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  <c r="AE274" s="37">
        <v>0</v>
      </c>
      <c r="AF274" s="37">
        <v>0</v>
      </c>
      <c r="AG274" s="59">
        <v>0</v>
      </c>
      <c r="AH274" s="37">
        <v>0</v>
      </c>
      <c r="AI274" s="37">
        <v>6250</v>
      </c>
      <c r="AJ274" s="37">
        <v>0</v>
      </c>
      <c r="AK274" s="37">
        <v>0</v>
      </c>
      <c r="AL274" s="37">
        <v>3125</v>
      </c>
      <c r="AM274" s="37">
        <v>0</v>
      </c>
      <c r="AN274" s="37">
        <v>0</v>
      </c>
      <c r="AO274" s="37">
        <v>0</v>
      </c>
      <c r="AP274" s="37">
        <v>0</v>
      </c>
      <c r="AQ274" s="37">
        <v>0</v>
      </c>
      <c r="AR274" s="37">
        <v>0</v>
      </c>
      <c r="AS274" s="59">
        <v>9375</v>
      </c>
      <c r="AT274" s="59">
        <v>9375</v>
      </c>
      <c r="AU274" s="45"/>
      <c r="AV274" s="37">
        <v>0</v>
      </c>
      <c r="AW274" s="37">
        <v>0</v>
      </c>
      <c r="AX274" s="37">
        <v>0</v>
      </c>
      <c r="AY274" s="37">
        <v>0</v>
      </c>
      <c r="AZ274" s="37">
        <v>0</v>
      </c>
      <c r="BA274" s="37">
        <v>0</v>
      </c>
      <c r="BB274" s="37">
        <v>0</v>
      </c>
      <c r="BC274" s="37">
        <v>0</v>
      </c>
      <c r="BD274" s="37">
        <v>0</v>
      </c>
      <c r="BE274" s="37">
        <v>0</v>
      </c>
      <c r="BF274" s="37">
        <v>0</v>
      </c>
      <c r="BG274" s="37">
        <v>0</v>
      </c>
      <c r="BH274" s="37">
        <v>0</v>
      </c>
      <c r="BI274" s="37">
        <v>0</v>
      </c>
      <c r="BJ274" s="37">
        <v>0</v>
      </c>
      <c r="BK274" s="59">
        <v>0</v>
      </c>
      <c r="BL274" s="37">
        <v>0</v>
      </c>
      <c r="BM274" s="37">
        <v>0</v>
      </c>
      <c r="BN274" s="37">
        <v>0</v>
      </c>
      <c r="BO274" s="37">
        <v>0</v>
      </c>
      <c r="BP274" s="37">
        <v>0</v>
      </c>
      <c r="BQ274" s="37">
        <v>0</v>
      </c>
      <c r="BR274" s="37">
        <v>0</v>
      </c>
      <c r="BS274" s="37">
        <v>0</v>
      </c>
      <c r="BT274" s="37">
        <v>0</v>
      </c>
      <c r="BU274" s="37">
        <v>0</v>
      </c>
      <c r="BV274" s="37">
        <v>0</v>
      </c>
      <c r="BW274" s="59">
        <v>0</v>
      </c>
      <c r="BX274" s="59">
        <v>0</v>
      </c>
      <c r="BZ274" s="37">
        <v>0</v>
      </c>
      <c r="CA274" s="37">
        <v>0</v>
      </c>
      <c r="CB274" s="37">
        <v>0</v>
      </c>
      <c r="CC274" s="37">
        <v>0</v>
      </c>
      <c r="CD274" s="37">
        <v>0</v>
      </c>
      <c r="CE274" s="37">
        <v>0</v>
      </c>
      <c r="CF274" s="37">
        <v>0</v>
      </c>
      <c r="CG274" s="59">
        <v>0</v>
      </c>
      <c r="CH274" s="37">
        <v>6250</v>
      </c>
      <c r="CI274" s="37">
        <v>3125</v>
      </c>
      <c r="CJ274" s="37">
        <v>0</v>
      </c>
      <c r="CK274" s="37">
        <v>0</v>
      </c>
      <c r="CL274" s="37">
        <v>0</v>
      </c>
      <c r="CM274" s="37">
        <v>0</v>
      </c>
      <c r="CN274" s="59">
        <v>9375</v>
      </c>
      <c r="CO274" s="59">
        <v>9375</v>
      </c>
      <c r="CP274" s="58"/>
      <c r="CQ274" s="3">
        <v>9375</v>
      </c>
    </row>
    <row r="275" spans="1:95" customFormat="1" x14ac:dyDescent="0.2">
      <c r="A275" s="209">
        <v>43286</v>
      </c>
      <c r="B275" s="33" t="s">
        <v>55</v>
      </c>
      <c r="C275" s="33" t="s">
        <v>56</v>
      </c>
      <c r="D275" s="43">
        <v>0</v>
      </c>
      <c r="E275" s="43">
        <v>0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0</v>
      </c>
      <c r="P275" s="47">
        <v>0</v>
      </c>
      <c r="R275" s="37">
        <v>0</v>
      </c>
      <c r="S275" s="37">
        <v>0</v>
      </c>
      <c r="T275" s="37">
        <v>4000</v>
      </c>
      <c r="U275" s="37">
        <v>0</v>
      </c>
      <c r="V275" s="37">
        <v>2000</v>
      </c>
      <c r="W275" s="37">
        <v>0</v>
      </c>
      <c r="X275" s="37">
        <v>0</v>
      </c>
      <c r="Y275" s="37">
        <v>0</v>
      </c>
      <c r="Z275" s="37">
        <v>400</v>
      </c>
      <c r="AA275" s="37">
        <v>0</v>
      </c>
      <c r="AB275" s="37">
        <v>200</v>
      </c>
      <c r="AC275" s="37">
        <v>0</v>
      </c>
      <c r="AD275" s="37">
        <v>80</v>
      </c>
      <c r="AE275" s="37">
        <v>0</v>
      </c>
      <c r="AF275" s="37">
        <v>0</v>
      </c>
      <c r="AG275" s="59">
        <v>6680</v>
      </c>
      <c r="AH275" s="37">
        <v>0</v>
      </c>
      <c r="AI275" s="37">
        <v>0</v>
      </c>
      <c r="AJ275" s="37">
        <v>0</v>
      </c>
      <c r="AK275" s="37">
        <v>0</v>
      </c>
      <c r="AL275" s="37">
        <v>5</v>
      </c>
      <c r="AM275" s="37">
        <v>0</v>
      </c>
      <c r="AN275" s="37">
        <v>4</v>
      </c>
      <c r="AO275" s="37">
        <v>0</v>
      </c>
      <c r="AP275" s="37">
        <v>2</v>
      </c>
      <c r="AQ275" s="37">
        <v>0</v>
      </c>
      <c r="AR275" s="37">
        <v>0</v>
      </c>
      <c r="AS275" s="59">
        <v>11</v>
      </c>
      <c r="AT275" s="59">
        <v>6691</v>
      </c>
      <c r="AU275" s="45"/>
      <c r="AV275" s="37">
        <v>0</v>
      </c>
      <c r="AW275" s="37">
        <v>0</v>
      </c>
      <c r="AX275" s="37">
        <v>0</v>
      </c>
      <c r="AY275" s="37">
        <v>0</v>
      </c>
      <c r="AZ275" s="37">
        <v>0</v>
      </c>
      <c r="BA275" s="37">
        <v>0</v>
      </c>
      <c r="BB275" s="37">
        <v>0</v>
      </c>
      <c r="BC275" s="37">
        <v>0</v>
      </c>
      <c r="BD275" s="37">
        <v>0</v>
      </c>
      <c r="BE275" s="37">
        <v>0</v>
      </c>
      <c r="BF275" s="37">
        <v>0</v>
      </c>
      <c r="BG275" s="37">
        <v>0</v>
      </c>
      <c r="BH275" s="37">
        <v>0</v>
      </c>
      <c r="BI275" s="37">
        <v>0</v>
      </c>
      <c r="BJ275" s="37">
        <v>0</v>
      </c>
      <c r="BK275" s="59">
        <v>0</v>
      </c>
      <c r="BL275" s="37">
        <v>0</v>
      </c>
      <c r="BM275" s="37">
        <v>0</v>
      </c>
      <c r="BN275" s="37">
        <v>0</v>
      </c>
      <c r="BO275" s="37">
        <v>0</v>
      </c>
      <c r="BP275" s="37">
        <v>0</v>
      </c>
      <c r="BQ275" s="37">
        <v>0</v>
      </c>
      <c r="BR275" s="37">
        <v>0</v>
      </c>
      <c r="BS275" s="37">
        <v>0</v>
      </c>
      <c r="BT275" s="37">
        <v>0</v>
      </c>
      <c r="BU275" s="37">
        <v>0</v>
      </c>
      <c r="BV275" s="37">
        <v>0</v>
      </c>
      <c r="BW275" s="59">
        <v>0</v>
      </c>
      <c r="BX275" s="59">
        <v>0</v>
      </c>
      <c r="BZ275" s="37">
        <v>4000</v>
      </c>
      <c r="CA275" s="37">
        <v>2000</v>
      </c>
      <c r="CB275" s="37">
        <v>0</v>
      </c>
      <c r="CC275" s="37">
        <v>400</v>
      </c>
      <c r="CD275" s="37">
        <v>200</v>
      </c>
      <c r="CE275" s="37">
        <v>80</v>
      </c>
      <c r="CF275" s="37">
        <v>0</v>
      </c>
      <c r="CG275" s="59">
        <v>6680</v>
      </c>
      <c r="CH275" s="37">
        <v>0</v>
      </c>
      <c r="CI275" s="37">
        <v>5</v>
      </c>
      <c r="CJ275" s="37">
        <v>4</v>
      </c>
      <c r="CK275" s="37">
        <v>2</v>
      </c>
      <c r="CL275" s="37">
        <v>0</v>
      </c>
      <c r="CM275" s="37">
        <v>0</v>
      </c>
      <c r="CN275" s="59">
        <v>11</v>
      </c>
      <c r="CO275" s="59">
        <v>6691</v>
      </c>
      <c r="CP275" s="58"/>
      <c r="CQ275" s="3">
        <v>6691</v>
      </c>
    </row>
    <row r="276" spans="1:95" customFormat="1" x14ac:dyDescent="0.2">
      <c r="A276" s="209">
        <v>43286</v>
      </c>
      <c r="B276" s="33" t="s">
        <v>53</v>
      </c>
      <c r="C276" s="33" t="s">
        <v>54</v>
      </c>
      <c r="D276" s="43">
        <v>1</v>
      </c>
      <c r="E276" s="43">
        <v>0</v>
      </c>
      <c r="F276" s="43">
        <v>0</v>
      </c>
      <c r="G276" s="43">
        <v>0</v>
      </c>
      <c r="H276" s="43">
        <v>0</v>
      </c>
      <c r="I276" s="43">
        <v>0</v>
      </c>
      <c r="J276" s="43">
        <v>0</v>
      </c>
      <c r="K276" s="43">
        <v>0</v>
      </c>
      <c r="L276" s="43">
        <v>0</v>
      </c>
      <c r="M276" s="43">
        <v>0</v>
      </c>
      <c r="N276" s="43">
        <v>0</v>
      </c>
      <c r="O276" s="43">
        <v>0</v>
      </c>
      <c r="P276" s="47" t="s">
        <v>45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  <c r="AE276" s="37">
        <v>0</v>
      </c>
      <c r="AF276" s="37">
        <v>0</v>
      </c>
      <c r="AG276" s="59">
        <v>0</v>
      </c>
      <c r="AH276" s="37">
        <v>0</v>
      </c>
      <c r="AI276" s="37">
        <v>0</v>
      </c>
      <c r="AJ276" s="37">
        <v>0</v>
      </c>
      <c r="AK276" s="37">
        <v>0</v>
      </c>
      <c r="AL276" s="37">
        <v>0</v>
      </c>
      <c r="AM276" s="37">
        <v>0</v>
      </c>
      <c r="AN276" s="37">
        <v>500</v>
      </c>
      <c r="AO276" s="37">
        <v>0</v>
      </c>
      <c r="AP276" s="37">
        <v>500</v>
      </c>
      <c r="AQ276" s="37">
        <v>0</v>
      </c>
      <c r="AR276" s="37">
        <v>0</v>
      </c>
      <c r="AS276" s="59">
        <v>1000</v>
      </c>
      <c r="AT276" s="59">
        <v>1000</v>
      </c>
      <c r="AU276" s="45"/>
      <c r="AV276" s="37">
        <v>0</v>
      </c>
      <c r="AW276" s="37">
        <v>0</v>
      </c>
      <c r="AX276" s="37">
        <v>0</v>
      </c>
      <c r="AY276" s="37">
        <v>0</v>
      </c>
      <c r="AZ276" s="37">
        <v>0</v>
      </c>
      <c r="BA276" s="37">
        <v>0</v>
      </c>
      <c r="BB276" s="37">
        <v>0</v>
      </c>
      <c r="BC276" s="37">
        <v>0</v>
      </c>
      <c r="BD276" s="37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59">
        <v>0</v>
      </c>
      <c r="BL276" s="37">
        <v>0</v>
      </c>
      <c r="BM276" s="37">
        <v>0</v>
      </c>
      <c r="BN276" s="37">
        <v>0</v>
      </c>
      <c r="BO276" s="37">
        <v>0</v>
      </c>
      <c r="BP276" s="37">
        <v>0</v>
      </c>
      <c r="BQ276" s="37">
        <v>0</v>
      </c>
      <c r="BR276" s="37">
        <v>0</v>
      </c>
      <c r="BS276" s="37">
        <v>0</v>
      </c>
      <c r="BT276" s="37">
        <v>0</v>
      </c>
      <c r="BU276" s="37">
        <v>0</v>
      </c>
      <c r="BV276" s="37">
        <v>0</v>
      </c>
      <c r="BW276" s="59">
        <v>0</v>
      </c>
      <c r="BX276" s="59">
        <v>0</v>
      </c>
      <c r="BZ276" s="37">
        <v>0</v>
      </c>
      <c r="CA276" s="37">
        <v>0</v>
      </c>
      <c r="CB276" s="37">
        <v>0</v>
      </c>
      <c r="CC276" s="37">
        <v>0</v>
      </c>
      <c r="CD276" s="37">
        <v>0</v>
      </c>
      <c r="CE276" s="37">
        <v>0</v>
      </c>
      <c r="CF276" s="37">
        <v>0</v>
      </c>
      <c r="CG276" s="59">
        <v>0</v>
      </c>
      <c r="CH276" s="37">
        <v>0</v>
      </c>
      <c r="CI276" s="37">
        <v>0</v>
      </c>
      <c r="CJ276" s="37">
        <v>500</v>
      </c>
      <c r="CK276" s="37">
        <v>500</v>
      </c>
      <c r="CL276" s="37">
        <v>0</v>
      </c>
      <c r="CM276" s="37">
        <v>0</v>
      </c>
      <c r="CN276" s="59">
        <v>1000</v>
      </c>
      <c r="CO276" s="59">
        <v>1000</v>
      </c>
      <c r="CP276" s="58"/>
      <c r="CQ276" s="3">
        <v>1000</v>
      </c>
    </row>
    <row r="277" spans="1:95" customFormat="1" x14ac:dyDescent="0.2">
      <c r="A277" s="209">
        <v>43287</v>
      </c>
      <c r="B277" s="33" t="s">
        <v>55</v>
      </c>
      <c r="C277" s="33" t="s">
        <v>56</v>
      </c>
      <c r="D277" s="43">
        <v>0</v>
      </c>
      <c r="E277" s="43">
        <v>0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0</v>
      </c>
      <c r="L277" s="43">
        <v>0</v>
      </c>
      <c r="M277" s="43">
        <v>0</v>
      </c>
      <c r="N277" s="43">
        <v>0</v>
      </c>
      <c r="O277" s="43">
        <v>0</v>
      </c>
      <c r="P277" s="47">
        <v>0</v>
      </c>
      <c r="R277" s="37">
        <v>0</v>
      </c>
      <c r="S277" s="37">
        <v>0</v>
      </c>
      <c r="T277" s="37">
        <v>4000</v>
      </c>
      <c r="U277" s="37">
        <v>0</v>
      </c>
      <c r="V277" s="37">
        <v>2000</v>
      </c>
      <c r="W277" s="37">
        <v>0</v>
      </c>
      <c r="X277" s="37">
        <v>0</v>
      </c>
      <c r="Y277" s="37">
        <v>0</v>
      </c>
      <c r="Z277" s="37">
        <v>400</v>
      </c>
      <c r="AA277" s="37">
        <v>0</v>
      </c>
      <c r="AB277" s="37">
        <v>200</v>
      </c>
      <c r="AC277" s="37">
        <v>0</v>
      </c>
      <c r="AD277" s="37">
        <v>80</v>
      </c>
      <c r="AE277" s="37">
        <v>0</v>
      </c>
      <c r="AF277" s="37">
        <v>0</v>
      </c>
      <c r="AG277" s="59">
        <v>6680</v>
      </c>
      <c r="AH277" s="37">
        <v>0</v>
      </c>
      <c r="AI277" s="37">
        <v>0</v>
      </c>
      <c r="AJ277" s="37">
        <v>0</v>
      </c>
      <c r="AK277" s="37">
        <v>0</v>
      </c>
      <c r="AL277" s="37">
        <v>0</v>
      </c>
      <c r="AM277" s="37">
        <v>0</v>
      </c>
      <c r="AN277" s="37">
        <v>0</v>
      </c>
      <c r="AO277" s="37">
        <v>0</v>
      </c>
      <c r="AP277" s="37">
        <v>0</v>
      </c>
      <c r="AQ277" s="37">
        <v>0</v>
      </c>
      <c r="AR277" s="37">
        <v>0</v>
      </c>
      <c r="AS277" s="59">
        <v>0</v>
      </c>
      <c r="AT277" s="59">
        <v>6680</v>
      </c>
      <c r="AU277" s="45"/>
      <c r="AV277" s="37">
        <v>0</v>
      </c>
      <c r="AW277" s="37">
        <v>0</v>
      </c>
      <c r="AX277" s="37">
        <v>0</v>
      </c>
      <c r="AY277" s="37">
        <v>0</v>
      </c>
      <c r="AZ277" s="37">
        <v>0</v>
      </c>
      <c r="BA277" s="37">
        <v>0</v>
      </c>
      <c r="BB277" s="37">
        <v>0</v>
      </c>
      <c r="BC277" s="37">
        <v>0</v>
      </c>
      <c r="BD277" s="37">
        <v>0</v>
      </c>
      <c r="BE277" s="37">
        <v>0</v>
      </c>
      <c r="BF277" s="37">
        <v>0</v>
      </c>
      <c r="BG277" s="37">
        <v>0</v>
      </c>
      <c r="BH277" s="37">
        <v>0</v>
      </c>
      <c r="BI277" s="37">
        <v>0</v>
      </c>
      <c r="BJ277" s="37">
        <v>0</v>
      </c>
      <c r="BK277" s="59">
        <v>0</v>
      </c>
      <c r="BL277" s="37">
        <v>0</v>
      </c>
      <c r="BM277" s="37">
        <v>0</v>
      </c>
      <c r="BN277" s="37">
        <v>0</v>
      </c>
      <c r="BO277" s="37">
        <v>0</v>
      </c>
      <c r="BP277" s="37">
        <v>0</v>
      </c>
      <c r="BQ277" s="37">
        <v>0</v>
      </c>
      <c r="BR277" s="37">
        <v>0</v>
      </c>
      <c r="BS277" s="37">
        <v>0</v>
      </c>
      <c r="BT277" s="37">
        <v>0</v>
      </c>
      <c r="BU277" s="37">
        <v>0</v>
      </c>
      <c r="BV277" s="37">
        <v>0</v>
      </c>
      <c r="BW277" s="59">
        <v>0</v>
      </c>
      <c r="BX277" s="59">
        <v>0</v>
      </c>
      <c r="BZ277" s="37">
        <v>4000</v>
      </c>
      <c r="CA277" s="37">
        <v>2000</v>
      </c>
      <c r="CB277" s="37">
        <v>0</v>
      </c>
      <c r="CC277" s="37">
        <v>400</v>
      </c>
      <c r="CD277" s="37">
        <v>200</v>
      </c>
      <c r="CE277" s="37">
        <v>80</v>
      </c>
      <c r="CF277" s="37">
        <v>0</v>
      </c>
      <c r="CG277" s="59">
        <v>6680</v>
      </c>
      <c r="CH277" s="37">
        <v>0</v>
      </c>
      <c r="CI277" s="37">
        <v>0</v>
      </c>
      <c r="CJ277" s="37">
        <v>0</v>
      </c>
      <c r="CK277" s="37">
        <v>0</v>
      </c>
      <c r="CL277" s="37">
        <v>0</v>
      </c>
      <c r="CM277" s="37">
        <v>0</v>
      </c>
      <c r="CN277" s="59">
        <v>0</v>
      </c>
      <c r="CO277" s="59">
        <v>6680</v>
      </c>
      <c r="CP277" s="58"/>
      <c r="CQ277" s="3">
        <v>6680</v>
      </c>
    </row>
    <row r="278" spans="1:95" customFormat="1" x14ac:dyDescent="0.2">
      <c r="A278" s="209">
        <v>43287</v>
      </c>
      <c r="B278" s="33" t="s">
        <v>77</v>
      </c>
      <c r="C278" s="33" t="s">
        <v>109</v>
      </c>
      <c r="D278" s="43">
        <v>0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1</v>
      </c>
      <c r="L278" s="43">
        <v>0</v>
      </c>
      <c r="M278" s="43">
        <v>0</v>
      </c>
      <c r="N278" s="43">
        <v>0</v>
      </c>
      <c r="O278" s="43">
        <v>0</v>
      </c>
      <c r="P278" s="47" t="s">
        <v>45</v>
      </c>
      <c r="R278" s="37">
        <v>0</v>
      </c>
      <c r="S278" s="37">
        <v>0</v>
      </c>
      <c r="T278" s="37">
        <v>800000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50000</v>
      </c>
      <c r="AC278" s="37">
        <v>0</v>
      </c>
      <c r="AD278" s="37">
        <v>4000</v>
      </c>
      <c r="AE278" s="37">
        <v>0</v>
      </c>
      <c r="AF278" s="37">
        <v>0</v>
      </c>
      <c r="AG278" s="59">
        <v>854000</v>
      </c>
      <c r="AH278" s="37">
        <v>2500</v>
      </c>
      <c r="AI278" s="37">
        <v>0</v>
      </c>
      <c r="AJ278" s="37">
        <v>0</v>
      </c>
      <c r="AK278" s="37">
        <v>0</v>
      </c>
      <c r="AL278" s="37">
        <v>0</v>
      </c>
      <c r="AM278" s="37">
        <v>0</v>
      </c>
      <c r="AN278" s="37">
        <v>600</v>
      </c>
      <c r="AO278" s="37">
        <v>0</v>
      </c>
      <c r="AP278" s="37">
        <v>200</v>
      </c>
      <c r="AQ278" s="37">
        <v>0</v>
      </c>
      <c r="AR278" s="37">
        <v>0</v>
      </c>
      <c r="AS278" s="59">
        <v>3300</v>
      </c>
      <c r="AT278" s="59">
        <v>857300</v>
      </c>
      <c r="AU278" s="45"/>
      <c r="AV278" s="37">
        <v>0</v>
      </c>
      <c r="AW278" s="37">
        <v>0</v>
      </c>
      <c r="AX278" s="37">
        <v>0</v>
      </c>
      <c r="AY278" s="37">
        <v>0</v>
      </c>
      <c r="AZ278" s="37">
        <v>0</v>
      </c>
      <c r="BA278" s="37">
        <v>0</v>
      </c>
      <c r="BB278" s="37">
        <v>0</v>
      </c>
      <c r="BC278" s="37">
        <v>0</v>
      </c>
      <c r="BD278" s="37">
        <v>0</v>
      </c>
      <c r="BE278" s="37">
        <v>0</v>
      </c>
      <c r="BF278" s="37">
        <v>0</v>
      </c>
      <c r="BG278" s="37">
        <v>0</v>
      </c>
      <c r="BH278" s="37">
        <v>0</v>
      </c>
      <c r="BI278" s="37">
        <v>0</v>
      </c>
      <c r="BJ278" s="37">
        <v>0</v>
      </c>
      <c r="BK278" s="59">
        <v>0</v>
      </c>
      <c r="BL278" s="37">
        <v>0</v>
      </c>
      <c r="BM278" s="37">
        <v>0</v>
      </c>
      <c r="BN278" s="37">
        <v>0</v>
      </c>
      <c r="BO278" s="37">
        <v>0</v>
      </c>
      <c r="BP278" s="37">
        <v>0</v>
      </c>
      <c r="BQ278" s="37">
        <v>0</v>
      </c>
      <c r="BR278" s="37">
        <v>0</v>
      </c>
      <c r="BS278" s="37">
        <v>0</v>
      </c>
      <c r="BT278" s="37">
        <v>0</v>
      </c>
      <c r="BU278" s="37">
        <v>0</v>
      </c>
      <c r="BV278" s="37">
        <v>0</v>
      </c>
      <c r="BW278" s="59">
        <v>0</v>
      </c>
      <c r="BX278" s="59">
        <v>0</v>
      </c>
      <c r="BZ278" s="37">
        <v>800000</v>
      </c>
      <c r="CA278" s="37">
        <v>0</v>
      </c>
      <c r="CB278" s="37">
        <v>0</v>
      </c>
      <c r="CC278" s="37">
        <v>0</v>
      </c>
      <c r="CD278" s="37">
        <v>50000</v>
      </c>
      <c r="CE278" s="37">
        <v>4000</v>
      </c>
      <c r="CF278" s="37">
        <v>0</v>
      </c>
      <c r="CG278" s="59">
        <v>854000</v>
      </c>
      <c r="CH278" s="37">
        <v>2500</v>
      </c>
      <c r="CI278" s="37">
        <v>0</v>
      </c>
      <c r="CJ278" s="37">
        <v>600</v>
      </c>
      <c r="CK278" s="37">
        <v>200</v>
      </c>
      <c r="CL278" s="37">
        <v>0</v>
      </c>
      <c r="CM278" s="37">
        <v>0</v>
      </c>
      <c r="CN278" s="59">
        <v>3300</v>
      </c>
      <c r="CO278" s="59">
        <v>857300</v>
      </c>
      <c r="CP278" s="58"/>
      <c r="CQ278" s="3">
        <v>857300</v>
      </c>
    </row>
    <row r="279" spans="1:95" customFormat="1" x14ac:dyDescent="0.2">
      <c r="A279" s="209">
        <v>43287</v>
      </c>
      <c r="B279" s="33" t="s">
        <v>127</v>
      </c>
      <c r="C279" s="33" t="s">
        <v>109</v>
      </c>
      <c r="D279" s="43">
        <v>0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1</v>
      </c>
      <c r="L279" s="43">
        <v>0</v>
      </c>
      <c r="M279" s="43">
        <v>0</v>
      </c>
      <c r="N279" s="43">
        <v>0</v>
      </c>
      <c r="O279" s="43">
        <v>0</v>
      </c>
      <c r="P279" s="47" t="s">
        <v>45</v>
      </c>
      <c r="R279" s="37">
        <v>0</v>
      </c>
      <c r="S279" s="37">
        <v>0</v>
      </c>
      <c r="T279" s="37">
        <v>400000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  <c r="AE279" s="37">
        <v>0</v>
      </c>
      <c r="AF279" s="37">
        <v>0</v>
      </c>
      <c r="AG279" s="59">
        <v>400000</v>
      </c>
      <c r="AH279" s="37">
        <v>0</v>
      </c>
      <c r="AI279" s="37">
        <v>0</v>
      </c>
      <c r="AJ279" s="37">
        <v>0</v>
      </c>
      <c r="AK279" s="37">
        <v>0</v>
      </c>
      <c r="AL279" s="37">
        <v>0</v>
      </c>
      <c r="AM279" s="37">
        <v>0</v>
      </c>
      <c r="AN279" s="37">
        <v>0</v>
      </c>
      <c r="AO279" s="37">
        <v>0</v>
      </c>
      <c r="AP279" s="37">
        <v>0</v>
      </c>
      <c r="AQ279" s="37">
        <v>0</v>
      </c>
      <c r="AR279" s="37">
        <v>0</v>
      </c>
      <c r="AS279" s="59">
        <v>0</v>
      </c>
      <c r="AT279" s="59">
        <v>400000</v>
      </c>
      <c r="AU279" s="45"/>
      <c r="AV279" s="37">
        <v>0</v>
      </c>
      <c r="AW279" s="37">
        <v>0</v>
      </c>
      <c r="AX279" s="37">
        <v>0</v>
      </c>
      <c r="AY279" s="37">
        <v>0</v>
      </c>
      <c r="AZ279" s="37">
        <v>0</v>
      </c>
      <c r="BA279" s="37">
        <v>0</v>
      </c>
      <c r="BB279" s="37">
        <v>0</v>
      </c>
      <c r="BC279" s="37">
        <v>0</v>
      </c>
      <c r="BD279" s="37">
        <v>0</v>
      </c>
      <c r="BE279" s="37">
        <v>0</v>
      </c>
      <c r="BF279" s="37">
        <v>0</v>
      </c>
      <c r="BG279" s="37">
        <v>0</v>
      </c>
      <c r="BH279" s="37">
        <v>0</v>
      </c>
      <c r="BI279" s="37">
        <v>0</v>
      </c>
      <c r="BJ279" s="37">
        <v>0</v>
      </c>
      <c r="BK279" s="59">
        <v>0</v>
      </c>
      <c r="BL279" s="37">
        <v>0</v>
      </c>
      <c r="BM279" s="37">
        <v>0</v>
      </c>
      <c r="BN279" s="37">
        <v>0</v>
      </c>
      <c r="BO279" s="37">
        <v>0</v>
      </c>
      <c r="BP279" s="37">
        <v>0</v>
      </c>
      <c r="BQ279" s="37">
        <v>0</v>
      </c>
      <c r="BR279" s="37">
        <v>0</v>
      </c>
      <c r="BS279" s="37">
        <v>0</v>
      </c>
      <c r="BT279" s="37">
        <v>0</v>
      </c>
      <c r="BU279" s="37">
        <v>0</v>
      </c>
      <c r="BV279" s="37">
        <v>0</v>
      </c>
      <c r="BW279" s="59">
        <v>0</v>
      </c>
      <c r="BX279" s="59">
        <v>0</v>
      </c>
      <c r="BZ279" s="37">
        <v>400000</v>
      </c>
      <c r="CA279" s="37">
        <v>0</v>
      </c>
      <c r="CB279" s="37">
        <v>0</v>
      </c>
      <c r="CC279" s="37">
        <v>0</v>
      </c>
      <c r="CD279" s="37">
        <v>0</v>
      </c>
      <c r="CE279" s="37">
        <v>0</v>
      </c>
      <c r="CF279" s="37">
        <v>0</v>
      </c>
      <c r="CG279" s="59">
        <v>400000</v>
      </c>
      <c r="CH279" s="37">
        <v>0</v>
      </c>
      <c r="CI279" s="37">
        <v>0</v>
      </c>
      <c r="CJ279" s="37">
        <v>0</v>
      </c>
      <c r="CK279" s="37">
        <v>0</v>
      </c>
      <c r="CL279" s="37">
        <v>0</v>
      </c>
      <c r="CM279" s="37">
        <v>0</v>
      </c>
      <c r="CN279" s="59">
        <v>0</v>
      </c>
      <c r="CO279" s="59">
        <v>400000</v>
      </c>
      <c r="CP279" s="58"/>
      <c r="CQ279" s="3">
        <v>400000</v>
      </c>
    </row>
    <row r="280" spans="1:95" customFormat="1" x14ac:dyDescent="0.2">
      <c r="A280" s="209">
        <v>43287</v>
      </c>
      <c r="B280" s="33" t="s">
        <v>72</v>
      </c>
      <c r="C280" s="33" t="s">
        <v>73</v>
      </c>
      <c r="D280" s="43">
        <v>0</v>
      </c>
      <c r="E280" s="43">
        <v>0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1</v>
      </c>
      <c r="L280" s="43">
        <v>0</v>
      </c>
      <c r="M280" s="43">
        <v>0</v>
      </c>
      <c r="N280" s="43">
        <v>0</v>
      </c>
      <c r="O280" s="43">
        <v>0</v>
      </c>
      <c r="P280" s="47" t="s">
        <v>45</v>
      </c>
      <c r="R280" s="37">
        <v>0</v>
      </c>
      <c r="S280" s="37">
        <v>0</v>
      </c>
      <c r="T280" s="37">
        <v>500000</v>
      </c>
      <c r="U280" s="37">
        <v>0</v>
      </c>
      <c r="V280" s="37">
        <v>0</v>
      </c>
      <c r="W280" s="37">
        <v>0</v>
      </c>
      <c r="X280" s="37">
        <v>40000</v>
      </c>
      <c r="Y280" s="37">
        <v>0</v>
      </c>
      <c r="Z280" s="37">
        <v>0</v>
      </c>
      <c r="AA280" s="37">
        <v>0</v>
      </c>
      <c r="AB280" s="37">
        <v>70000</v>
      </c>
      <c r="AC280" s="37">
        <v>0</v>
      </c>
      <c r="AD280" s="37">
        <v>16000</v>
      </c>
      <c r="AE280" s="37">
        <v>0</v>
      </c>
      <c r="AF280" s="37">
        <v>0</v>
      </c>
      <c r="AG280" s="59">
        <v>626000</v>
      </c>
      <c r="AH280" s="37">
        <v>0</v>
      </c>
      <c r="AI280" s="37">
        <v>1000</v>
      </c>
      <c r="AJ280" s="37">
        <v>0</v>
      </c>
      <c r="AK280" s="37">
        <v>0</v>
      </c>
      <c r="AL280" s="37">
        <v>0</v>
      </c>
      <c r="AM280" s="37">
        <v>0</v>
      </c>
      <c r="AN280" s="37">
        <v>600</v>
      </c>
      <c r="AO280" s="37">
        <v>0</v>
      </c>
      <c r="AP280" s="37">
        <v>100</v>
      </c>
      <c r="AQ280" s="37">
        <v>0</v>
      </c>
      <c r="AR280" s="37">
        <v>1E-3</v>
      </c>
      <c r="AS280" s="59">
        <v>1700.001</v>
      </c>
      <c r="AT280" s="59">
        <v>627700.00100000005</v>
      </c>
      <c r="AU280" s="45"/>
      <c r="AV280" s="37">
        <v>0</v>
      </c>
      <c r="AW280" s="37">
        <v>0</v>
      </c>
      <c r="AX280" s="37">
        <v>0</v>
      </c>
      <c r="AY280" s="37">
        <v>0</v>
      </c>
      <c r="AZ280" s="37">
        <v>0</v>
      </c>
      <c r="BA280" s="37">
        <v>0</v>
      </c>
      <c r="BB280" s="37">
        <v>0</v>
      </c>
      <c r="BC280" s="37">
        <v>0</v>
      </c>
      <c r="BD280" s="37">
        <v>0</v>
      </c>
      <c r="BE280" s="37">
        <v>0</v>
      </c>
      <c r="BF280" s="37">
        <v>0</v>
      </c>
      <c r="BG280" s="37">
        <v>0</v>
      </c>
      <c r="BH280" s="37">
        <v>0</v>
      </c>
      <c r="BI280" s="37">
        <v>0</v>
      </c>
      <c r="BJ280" s="37">
        <v>0</v>
      </c>
      <c r="BK280" s="59">
        <v>0</v>
      </c>
      <c r="BL280" s="37">
        <v>0</v>
      </c>
      <c r="BM280" s="37">
        <v>0</v>
      </c>
      <c r="BN280" s="37">
        <v>0</v>
      </c>
      <c r="BO280" s="37">
        <v>0</v>
      </c>
      <c r="BP280" s="37">
        <v>0</v>
      </c>
      <c r="BQ280" s="37">
        <v>0</v>
      </c>
      <c r="BR280" s="37">
        <v>0</v>
      </c>
      <c r="BS280" s="37">
        <v>0</v>
      </c>
      <c r="BT280" s="37">
        <v>0</v>
      </c>
      <c r="BU280" s="37">
        <v>0</v>
      </c>
      <c r="BV280" s="37">
        <v>0</v>
      </c>
      <c r="BW280" s="59">
        <v>0</v>
      </c>
      <c r="BX280" s="59">
        <v>0</v>
      </c>
      <c r="BZ280" s="37">
        <v>500000</v>
      </c>
      <c r="CA280" s="37">
        <v>0</v>
      </c>
      <c r="CB280" s="37">
        <v>40000</v>
      </c>
      <c r="CC280" s="37">
        <v>0</v>
      </c>
      <c r="CD280" s="37">
        <v>70000</v>
      </c>
      <c r="CE280" s="37">
        <v>16000</v>
      </c>
      <c r="CF280" s="37">
        <v>0</v>
      </c>
      <c r="CG280" s="59">
        <v>626000</v>
      </c>
      <c r="CH280" s="37">
        <v>1000</v>
      </c>
      <c r="CI280" s="37">
        <v>0</v>
      </c>
      <c r="CJ280" s="37">
        <v>600</v>
      </c>
      <c r="CK280" s="37">
        <v>100</v>
      </c>
      <c r="CL280" s="37">
        <v>0</v>
      </c>
      <c r="CM280" s="37">
        <v>1E-3</v>
      </c>
      <c r="CN280" s="59">
        <v>1700.001</v>
      </c>
      <c r="CO280" s="59">
        <v>627700.00100000005</v>
      </c>
      <c r="CP280" s="58"/>
      <c r="CQ280" s="3">
        <v>627700.00100000005</v>
      </c>
    </row>
    <row r="281" spans="1:95" customFormat="1" x14ac:dyDescent="0.2">
      <c r="A281" s="209">
        <v>43287</v>
      </c>
      <c r="B281" s="33" t="s">
        <v>128</v>
      </c>
      <c r="C281" s="33" t="s">
        <v>73</v>
      </c>
      <c r="D281" s="43">
        <v>0</v>
      </c>
      <c r="E281" s="43">
        <v>0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1</v>
      </c>
      <c r="L281" s="43">
        <v>0</v>
      </c>
      <c r="M281" s="43">
        <v>0</v>
      </c>
      <c r="N281" s="43">
        <v>0</v>
      </c>
      <c r="O281" s="43">
        <v>0</v>
      </c>
      <c r="P281" s="47" t="s">
        <v>45</v>
      </c>
      <c r="R281" s="37">
        <v>0</v>
      </c>
      <c r="S281" s="37">
        <v>0</v>
      </c>
      <c r="T281" s="37">
        <v>300000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  <c r="AE281" s="37">
        <v>0</v>
      </c>
      <c r="AF281" s="37">
        <v>0</v>
      </c>
      <c r="AG281" s="59">
        <v>300000</v>
      </c>
      <c r="AH281" s="37">
        <v>0</v>
      </c>
      <c r="AI281" s="37">
        <v>0</v>
      </c>
      <c r="AJ281" s="37">
        <v>0</v>
      </c>
      <c r="AK281" s="37">
        <v>0</v>
      </c>
      <c r="AL281" s="37">
        <v>0</v>
      </c>
      <c r="AM281" s="37">
        <v>0</v>
      </c>
      <c r="AN281" s="37">
        <v>0</v>
      </c>
      <c r="AO281" s="37">
        <v>0</v>
      </c>
      <c r="AP281" s="37">
        <v>0</v>
      </c>
      <c r="AQ281" s="37">
        <v>0</v>
      </c>
      <c r="AR281" s="37">
        <v>0</v>
      </c>
      <c r="AS281" s="59">
        <v>0</v>
      </c>
      <c r="AT281" s="59">
        <v>300000</v>
      </c>
      <c r="AU281" s="45"/>
      <c r="AV281" s="37">
        <v>0</v>
      </c>
      <c r="AW281" s="37">
        <v>0</v>
      </c>
      <c r="AX281" s="37">
        <v>0</v>
      </c>
      <c r="AY281" s="37">
        <v>0</v>
      </c>
      <c r="AZ281" s="37">
        <v>0</v>
      </c>
      <c r="BA281" s="37">
        <v>0</v>
      </c>
      <c r="BB281" s="37">
        <v>0</v>
      </c>
      <c r="BC281" s="37">
        <v>0</v>
      </c>
      <c r="BD281" s="37">
        <v>0</v>
      </c>
      <c r="BE281" s="37">
        <v>0</v>
      </c>
      <c r="BF281" s="37">
        <v>0</v>
      </c>
      <c r="BG281" s="37">
        <v>0</v>
      </c>
      <c r="BH281" s="37">
        <v>0</v>
      </c>
      <c r="BI281" s="37">
        <v>0</v>
      </c>
      <c r="BJ281" s="37">
        <v>0</v>
      </c>
      <c r="BK281" s="59">
        <v>0</v>
      </c>
      <c r="BL281" s="37">
        <v>0</v>
      </c>
      <c r="BM281" s="37">
        <v>0</v>
      </c>
      <c r="BN281" s="37">
        <v>0</v>
      </c>
      <c r="BO281" s="37">
        <v>0</v>
      </c>
      <c r="BP281" s="37">
        <v>0</v>
      </c>
      <c r="BQ281" s="37">
        <v>0</v>
      </c>
      <c r="BR281" s="37">
        <v>0</v>
      </c>
      <c r="BS281" s="37">
        <v>0</v>
      </c>
      <c r="BT281" s="37">
        <v>0</v>
      </c>
      <c r="BU281" s="37">
        <v>0</v>
      </c>
      <c r="BV281" s="37">
        <v>0</v>
      </c>
      <c r="BW281" s="59">
        <v>0</v>
      </c>
      <c r="BX281" s="59">
        <v>0</v>
      </c>
      <c r="BZ281" s="37">
        <v>300000</v>
      </c>
      <c r="CA281" s="37">
        <v>0</v>
      </c>
      <c r="CB281" s="37">
        <v>0</v>
      </c>
      <c r="CC281" s="37">
        <v>0</v>
      </c>
      <c r="CD281" s="37">
        <v>0</v>
      </c>
      <c r="CE281" s="37">
        <v>0</v>
      </c>
      <c r="CF281" s="37">
        <v>0</v>
      </c>
      <c r="CG281" s="59">
        <v>300000</v>
      </c>
      <c r="CH281" s="37">
        <v>0</v>
      </c>
      <c r="CI281" s="37">
        <v>0</v>
      </c>
      <c r="CJ281" s="37">
        <v>0</v>
      </c>
      <c r="CK281" s="37">
        <v>0</v>
      </c>
      <c r="CL281" s="37">
        <v>0</v>
      </c>
      <c r="CM281" s="37">
        <v>0</v>
      </c>
      <c r="CN281" s="59">
        <v>0</v>
      </c>
      <c r="CO281" s="59">
        <v>300000</v>
      </c>
      <c r="CP281" s="58"/>
      <c r="CQ281" s="3">
        <v>300000</v>
      </c>
    </row>
    <row r="282" spans="1:95" customFormat="1" x14ac:dyDescent="0.2">
      <c r="A282" s="209">
        <v>43287</v>
      </c>
      <c r="B282" s="33" t="s">
        <v>74</v>
      </c>
      <c r="C282" s="33" t="s">
        <v>71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1</v>
      </c>
      <c r="J282" s="43">
        <v>0</v>
      </c>
      <c r="K282" s="43">
        <v>0</v>
      </c>
      <c r="L282" s="43">
        <v>0</v>
      </c>
      <c r="M282" s="43">
        <v>0</v>
      </c>
      <c r="N282" s="43">
        <v>0</v>
      </c>
      <c r="O282" s="43">
        <v>0</v>
      </c>
      <c r="P282" s="47" t="s">
        <v>45</v>
      </c>
      <c r="R282" s="37">
        <v>0</v>
      </c>
      <c r="S282" s="37">
        <v>0</v>
      </c>
      <c r="T282" s="37">
        <v>800000</v>
      </c>
      <c r="U282" s="37">
        <v>0</v>
      </c>
      <c r="V282" s="37">
        <v>200000</v>
      </c>
      <c r="W282" s="37">
        <v>0</v>
      </c>
      <c r="X282" s="37">
        <v>0</v>
      </c>
      <c r="Y282" s="37">
        <v>0</v>
      </c>
      <c r="Z282" s="37">
        <v>20000</v>
      </c>
      <c r="AA282" s="37">
        <v>0</v>
      </c>
      <c r="AB282" s="37">
        <v>70000</v>
      </c>
      <c r="AC282" s="37">
        <v>0</v>
      </c>
      <c r="AD282" s="37">
        <v>12000</v>
      </c>
      <c r="AE282" s="37">
        <v>0</v>
      </c>
      <c r="AF282" s="37">
        <v>2000</v>
      </c>
      <c r="AG282" s="59">
        <v>1104000</v>
      </c>
      <c r="AH282" s="37">
        <v>750</v>
      </c>
      <c r="AI282" s="37">
        <v>0</v>
      </c>
      <c r="AJ282" s="37">
        <v>0</v>
      </c>
      <c r="AK282" s="37">
        <v>0</v>
      </c>
      <c r="AL282" s="37">
        <v>2125</v>
      </c>
      <c r="AM282" s="37">
        <v>0</v>
      </c>
      <c r="AN282" s="37">
        <v>600</v>
      </c>
      <c r="AO282" s="37">
        <v>0</v>
      </c>
      <c r="AP282" s="37">
        <v>100</v>
      </c>
      <c r="AQ282" s="37">
        <v>0</v>
      </c>
      <c r="AR282" s="37">
        <v>0</v>
      </c>
      <c r="AS282" s="59">
        <v>3575</v>
      </c>
      <c r="AT282" s="59">
        <v>1107575</v>
      </c>
      <c r="AU282" s="45"/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>
        <v>0</v>
      </c>
      <c r="BB282" s="37">
        <v>0</v>
      </c>
      <c r="BC282" s="37">
        <v>0</v>
      </c>
      <c r="BD282" s="37">
        <v>0</v>
      </c>
      <c r="BE282" s="37">
        <v>0</v>
      </c>
      <c r="BF282" s="37">
        <v>0</v>
      </c>
      <c r="BG282" s="37">
        <v>0</v>
      </c>
      <c r="BH282" s="37">
        <v>0</v>
      </c>
      <c r="BI282" s="37">
        <v>0</v>
      </c>
      <c r="BJ282" s="37">
        <v>0</v>
      </c>
      <c r="BK282" s="59">
        <v>0</v>
      </c>
      <c r="BL282" s="37">
        <v>0</v>
      </c>
      <c r="BM282" s="37">
        <v>0</v>
      </c>
      <c r="BN282" s="37">
        <v>0</v>
      </c>
      <c r="BO282" s="37">
        <v>0</v>
      </c>
      <c r="BP282" s="37">
        <v>0</v>
      </c>
      <c r="BQ282" s="37">
        <v>0</v>
      </c>
      <c r="BR282" s="37">
        <v>0</v>
      </c>
      <c r="BS282" s="37">
        <v>0</v>
      </c>
      <c r="BT282" s="37">
        <v>0</v>
      </c>
      <c r="BU282" s="37">
        <v>0</v>
      </c>
      <c r="BV282" s="37">
        <v>0</v>
      </c>
      <c r="BW282" s="59">
        <v>0</v>
      </c>
      <c r="BX282" s="59">
        <v>0</v>
      </c>
      <c r="BZ282" s="37">
        <v>800000</v>
      </c>
      <c r="CA282" s="37">
        <v>200000</v>
      </c>
      <c r="CB282" s="37">
        <v>0</v>
      </c>
      <c r="CC282" s="37">
        <v>20000</v>
      </c>
      <c r="CD282" s="37">
        <v>70000</v>
      </c>
      <c r="CE282" s="37">
        <v>12000</v>
      </c>
      <c r="CF282" s="37">
        <v>2000</v>
      </c>
      <c r="CG282" s="59">
        <v>1104000</v>
      </c>
      <c r="CH282" s="37">
        <v>750</v>
      </c>
      <c r="CI282" s="37">
        <v>2125</v>
      </c>
      <c r="CJ282" s="37">
        <v>600</v>
      </c>
      <c r="CK282" s="37">
        <v>100</v>
      </c>
      <c r="CL282" s="37">
        <v>0</v>
      </c>
      <c r="CM282" s="37">
        <v>0</v>
      </c>
      <c r="CN282" s="59">
        <v>3575</v>
      </c>
      <c r="CO282" s="59">
        <v>1107575</v>
      </c>
      <c r="CP282" s="58"/>
      <c r="CQ282" s="3">
        <v>1107575</v>
      </c>
    </row>
    <row r="283" spans="1:95" customFormat="1" x14ac:dyDescent="0.2">
      <c r="A283" s="209">
        <v>43287</v>
      </c>
      <c r="B283" s="33" t="s">
        <v>129</v>
      </c>
      <c r="C283" s="33" t="s">
        <v>71</v>
      </c>
      <c r="D283" s="43">
        <v>0</v>
      </c>
      <c r="E283" s="43">
        <v>0</v>
      </c>
      <c r="F283" s="43">
        <v>0</v>
      </c>
      <c r="G283" s="43">
        <v>0</v>
      </c>
      <c r="H283" s="43">
        <v>0</v>
      </c>
      <c r="I283" s="43">
        <v>1</v>
      </c>
      <c r="J283" s="43">
        <v>0</v>
      </c>
      <c r="K283" s="43">
        <v>0</v>
      </c>
      <c r="L283" s="43">
        <v>0</v>
      </c>
      <c r="M283" s="43">
        <v>0</v>
      </c>
      <c r="N283" s="43">
        <v>0</v>
      </c>
      <c r="O283" s="43">
        <v>0</v>
      </c>
      <c r="P283" s="47" t="s">
        <v>45</v>
      </c>
      <c r="R283" s="37">
        <v>0</v>
      </c>
      <c r="S283" s="37">
        <v>0</v>
      </c>
      <c r="T283" s="37">
        <v>200000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  <c r="AE283" s="37">
        <v>0</v>
      </c>
      <c r="AF283" s="37">
        <v>0</v>
      </c>
      <c r="AG283" s="59">
        <v>200000</v>
      </c>
      <c r="AH283" s="37">
        <v>0</v>
      </c>
      <c r="AI283" s="37">
        <v>0</v>
      </c>
      <c r="AJ283" s="37">
        <v>0</v>
      </c>
      <c r="AK283" s="37">
        <v>0</v>
      </c>
      <c r="AL283" s="37">
        <v>0</v>
      </c>
      <c r="AM283" s="37">
        <v>0</v>
      </c>
      <c r="AN283" s="37">
        <v>0</v>
      </c>
      <c r="AO283" s="37">
        <v>0</v>
      </c>
      <c r="AP283" s="37">
        <v>0</v>
      </c>
      <c r="AQ283" s="37">
        <v>0</v>
      </c>
      <c r="AR283" s="37">
        <v>0</v>
      </c>
      <c r="AS283" s="59">
        <v>0</v>
      </c>
      <c r="AT283" s="59">
        <v>200000</v>
      </c>
      <c r="AU283" s="45"/>
      <c r="AV283" s="37">
        <v>0</v>
      </c>
      <c r="AW283" s="37">
        <v>0</v>
      </c>
      <c r="AX283" s="37">
        <v>0</v>
      </c>
      <c r="AY283" s="37">
        <v>0</v>
      </c>
      <c r="AZ283" s="37">
        <v>0</v>
      </c>
      <c r="BA283" s="37">
        <v>0</v>
      </c>
      <c r="BB283" s="37">
        <v>0</v>
      </c>
      <c r="BC283" s="37">
        <v>0</v>
      </c>
      <c r="BD283" s="37">
        <v>0</v>
      </c>
      <c r="BE283" s="37">
        <v>0</v>
      </c>
      <c r="BF283" s="37">
        <v>0</v>
      </c>
      <c r="BG283" s="37">
        <v>0</v>
      </c>
      <c r="BH283" s="37">
        <v>0</v>
      </c>
      <c r="BI283" s="37">
        <v>0</v>
      </c>
      <c r="BJ283" s="37">
        <v>0</v>
      </c>
      <c r="BK283" s="59">
        <v>0</v>
      </c>
      <c r="BL283" s="37">
        <v>0</v>
      </c>
      <c r="BM283" s="37">
        <v>0</v>
      </c>
      <c r="BN283" s="37">
        <v>0</v>
      </c>
      <c r="BO283" s="37">
        <v>0</v>
      </c>
      <c r="BP283" s="37">
        <v>0</v>
      </c>
      <c r="BQ283" s="37">
        <v>0</v>
      </c>
      <c r="BR283" s="37">
        <v>0</v>
      </c>
      <c r="BS283" s="37">
        <v>0</v>
      </c>
      <c r="BT283" s="37">
        <v>0</v>
      </c>
      <c r="BU283" s="37">
        <v>0</v>
      </c>
      <c r="BV283" s="37">
        <v>0</v>
      </c>
      <c r="BW283" s="59">
        <v>0</v>
      </c>
      <c r="BX283" s="59">
        <v>0</v>
      </c>
      <c r="BZ283" s="37">
        <v>200000</v>
      </c>
      <c r="CA283" s="37">
        <v>0</v>
      </c>
      <c r="CB283" s="37">
        <v>0</v>
      </c>
      <c r="CC283" s="37">
        <v>0</v>
      </c>
      <c r="CD283" s="37">
        <v>0</v>
      </c>
      <c r="CE283" s="37">
        <v>0</v>
      </c>
      <c r="CF283" s="37">
        <v>0</v>
      </c>
      <c r="CG283" s="59">
        <v>200000</v>
      </c>
      <c r="CH283" s="37">
        <v>0</v>
      </c>
      <c r="CI283" s="37">
        <v>0</v>
      </c>
      <c r="CJ283" s="37">
        <v>0</v>
      </c>
      <c r="CK283" s="37">
        <v>0</v>
      </c>
      <c r="CL283" s="37">
        <v>0</v>
      </c>
      <c r="CM283" s="37">
        <v>0</v>
      </c>
      <c r="CN283" s="59">
        <v>0</v>
      </c>
      <c r="CO283" s="59">
        <v>200000</v>
      </c>
      <c r="CP283" s="58"/>
      <c r="CQ283" s="3">
        <v>200000</v>
      </c>
    </row>
    <row r="284" spans="1:95" customFormat="1" x14ac:dyDescent="0.2">
      <c r="A284" s="209">
        <v>43290</v>
      </c>
      <c r="B284" s="33" t="s">
        <v>55</v>
      </c>
      <c r="C284" s="33" t="s">
        <v>56</v>
      </c>
      <c r="D284" s="43">
        <v>0</v>
      </c>
      <c r="E284" s="43">
        <v>0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0</v>
      </c>
      <c r="L284" s="43"/>
      <c r="M284" s="43"/>
      <c r="N284" s="43">
        <v>0</v>
      </c>
      <c r="O284" s="43">
        <v>0</v>
      </c>
      <c r="P284" s="47">
        <v>0</v>
      </c>
      <c r="R284" s="37">
        <v>0</v>
      </c>
      <c r="S284" s="37">
        <v>0</v>
      </c>
      <c r="T284" s="37">
        <v>4000</v>
      </c>
      <c r="U284" s="37">
        <v>0</v>
      </c>
      <c r="V284" s="37">
        <v>2000</v>
      </c>
      <c r="W284" s="37">
        <v>0</v>
      </c>
      <c r="X284" s="37">
        <v>0</v>
      </c>
      <c r="Y284" s="37">
        <v>0</v>
      </c>
      <c r="Z284" s="37">
        <v>400</v>
      </c>
      <c r="AA284" s="37">
        <v>0</v>
      </c>
      <c r="AB284" s="37">
        <v>200</v>
      </c>
      <c r="AC284" s="37">
        <v>0</v>
      </c>
      <c r="AD284" s="37">
        <v>80</v>
      </c>
      <c r="AE284" s="37">
        <v>0</v>
      </c>
      <c r="AF284" s="37">
        <v>0</v>
      </c>
      <c r="AG284" s="59">
        <v>6680</v>
      </c>
      <c r="AH284" s="37">
        <v>0</v>
      </c>
      <c r="AI284" s="37">
        <v>0</v>
      </c>
      <c r="AJ284" s="37">
        <v>0</v>
      </c>
      <c r="AK284" s="37">
        <v>0</v>
      </c>
      <c r="AL284" s="37">
        <v>5</v>
      </c>
      <c r="AM284" s="37">
        <v>0</v>
      </c>
      <c r="AN284" s="37">
        <v>4</v>
      </c>
      <c r="AO284" s="37">
        <v>0</v>
      </c>
      <c r="AP284" s="37">
        <v>2</v>
      </c>
      <c r="AQ284" s="37">
        <v>0</v>
      </c>
      <c r="AR284" s="37">
        <v>0</v>
      </c>
      <c r="AS284" s="59">
        <v>11</v>
      </c>
      <c r="AT284" s="59">
        <v>6691</v>
      </c>
      <c r="AU284" s="45"/>
      <c r="AV284" s="37">
        <v>0</v>
      </c>
      <c r="AW284" s="37">
        <v>0</v>
      </c>
      <c r="AX284" s="37">
        <v>0</v>
      </c>
      <c r="AY284" s="37">
        <v>0</v>
      </c>
      <c r="AZ284" s="37">
        <v>0</v>
      </c>
      <c r="BA284" s="37">
        <v>0</v>
      </c>
      <c r="BB284" s="37">
        <v>0</v>
      </c>
      <c r="BC284" s="37">
        <v>0</v>
      </c>
      <c r="BD284" s="37">
        <v>0</v>
      </c>
      <c r="BE284" s="37">
        <v>0</v>
      </c>
      <c r="BF284" s="37">
        <v>0</v>
      </c>
      <c r="BG284" s="37">
        <v>0</v>
      </c>
      <c r="BH284" s="37">
        <v>0</v>
      </c>
      <c r="BI284" s="37">
        <v>0</v>
      </c>
      <c r="BJ284" s="37">
        <v>0</v>
      </c>
      <c r="BK284" s="59">
        <v>0</v>
      </c>
      <c r="BL284" s="37">
        <v>0</v>
      </c>
      <c r="BM284" s="37">
        <v>0</v>
      </c>
      <c r="BN284" s="37">
        <v>0</v>
      </c>
      <c r="BO284" s="37">
        <v>0</v>
      </c>
      <c r="BP284" s="37">
        <v>0</v>
      </c>
      <c r="BQ284" s="37">
        <v>0</v>
      </c>
      <c r="BR284" s="37">
        <v>0</v>
      </c>
      <c r="BS284" s="37">
        <v>0</v>
      </c>
      <c r="BT284" s="37">
        <v>0</v>
      </c>
      <c r="BU284" s="37">
        <v>0</v>
      </c>
      <c r="BV284" s="37">
        <v>0</v>
      </c>
      <c r="BW284" s="59">
        <v>0</v>
      </c>
      <c r="BX284" s="59">
        <v>0</v>
      </c>
      <c r="BZ284" s="37">
        <v>4000</v>
      </c>
      <c r="CA284" s="37">
        <v>2000</v>
      </c>
      <c r="CB284" s="37">
        <v>0</v>
      </c>
      <c r="CC284" s="37">
        <v>400</v>
      </c>
      <c r="CD284" s="37">
        <v>200</v>
      </c>
      <c r="CE284" s="37">
        <v>80</v>
      </c>
      <c r="CF284" s="37">
        <v>0</v>
      </c>
      <c r="CG284" s="59">
        <v>6680</v>
      </c>
      <c r="CH284" s="37">
        <v>0</v>
      </c>
      <c r="CI284" s="37">
        <v>5</v>
      </c>
      <c r="CJ284" s="37">
        <v>4</v>
      </c>
      <c r="CK284" s="37">
        <v>2</v>
      </c>
      <c r="CL284" s="37">
        <v>0</v>
      </c>
      <c r="CM284" s="37">
        <v>0</v>
      </c>
      <c r="CN284" s="59">
        <v>11</v>
      </c>
      <c r="CO284" s="59">
        <v>6691</v>
      </c>
      <c r="CP284" s="58"/>
      <c r="CQ284" s="3">
        <v>6691</v>
      </c>
    </row>
    <row r="285" spans="1:95" customFormat="1" x14ac:dyDescent="0.2">
      <c r="A285" s="209">
        <v>43291</v>
      </c>
      <c r="B285" s="33" t="s">
        <v>55</v>
      </c>
      <c r="C285" s="33" t="s">
        <v>56</v>
      </c>
      <c r="D285" s="43">
        <v>0</v>
      </c>
      <c r="E285" s="43">
        <v>0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0</v>
      </c>
      <c r="M285" s="43">
        <v>0</v>
      </c>
      <c r="N285" s="43">
        <v>0</v>
      </c>
      <c r="O285" s="43">
        <v>0</v>
      </c>
      <c r="P285" s="47">
        <v>0</v>
      </c>
      <c r="R285" s="37">
        <v>0</v>
      </c>
      <c r="S285" s="37">
        <v>0</v>
      </c>
      <c r="T285" s="37">
        <v>4000</v>
      </c>
      <c r="U285" s="37">
        <v>0</v>
      </c>
      <c r="V285" s="37">
        <v>2000</v>
      </c>
      <c r="W285" s="37">
        <v>0</v>
      </c>
      <c r="X285" s="37">
        <v>0</v>
      </c>
      <c r="Y285" s="37">
        <v>0</v>
      </c>
      <c r="Z285" s="37">
        <v>400</v>
      </c>
      <c r="AA285" s="37">
        <v>0</v>
      </c>
      <c r="AB285" s="37">
        <v>200</v>
      </c>
      <c r="AC285" s="37">
        <v>0</v>
      </c>
      <c r="AD285" s="37">
        <v>80</v>
      </c>
      <c r="AE285" s="37">
        <v>0</v>
      </c>
      <c r="AF285" s="37">
        <v>0</v>
      </c>
      <c r="AG285" s="59">
        <v>6680</v>
      </c>
      <c r="AH285" s="37">
        <v>0</v>
      </c>
      <c r="AI285" s="37">
        <v>0</v>
      </c>
      <c r="AJ285" s="37">
        <v>0</v>
      </c>
      <c r="AK285" s="37">
        <v>0</v>
      </c>
      <c r="AL285" s="37">
        <v>0</v>
      </c>
      <c r="AM285" s="37">
        <v>0</v>
      </c>
      <c r="AN285" s="37">
        <v>0</v>
      </c>
      <c r="AO285" s="37">
        <v>0</v>
      </c>
      <c r="AP285" s="37">
        <v>0</v>
      </c>
      <c r="AQ285" s="37">
        <v>0</v>
      </c>
      <c r="AR285" s="37">
        <v>0</v>
      </c>
      <c r="AS285" s="59">
        <v>0</v>
      </c>
      <c r="AT285" s="59">
        <v>6680</v>
      </c>
      <c r="AU285" s="45"/>
      <c r="AV285" s="37">
        <v>0</v>
      </c>
      <c r="AW285" s="37">
        <v>0</v>
      </c>
      <c r="AX285" s="37">
        <v>0</v>
      </c>
      <c r="AY285" s="37">
        <v>0</v>
      </c>
      <c r="AZ285" s="37">
        <v>0</v>
      </c>
      <c r="BA285" s="37">
        <v>0</v>
      </c>
      <c r="BB285" s="37">
        <v>0</v>
      </c>
      <c r="BC285" s="37">
        <v>0</v>
      </c>
      <c r="BD285" s="37">
        <v>0</v>
      </c>
      <c r="BE285" s="37">
        <v>0</v>
      </c>
      <c r="BF285" s="37">
        <v>0</v>
      </c>
      <c r="BG285" s="37">
        <v>0</v>
      </c>
      <c r="BH285" s="37">
        <v>0</v>
      </c>
      <c r="BI285" s="37">
        <v>0</v>
      </c>
      <c r="BJ285" s="37">
        <v>0</v>
      </c>
      <c r="BK285" s="59">
        <v>0</v>
      </c>
      <c r="BL285" s="37">
        <v>0</v>
      </c>
      <c r="BM285" s="37">
        <v>0</v>
      </c>
      <c r="BN285" s="37">
        <v>0</v>
      </c>
      <c r="BO285" s="37">
        <v>0</v>
      </c>
      <c r="BP285" s="37">
        <v>0</v>
      </c>
      <c r="BQ285" s="37">
        <v>0</v>
      </c>
      <c r="BR285" s="37">
        <v>0</v>
      </c>
      <c r="BS285" s="37">
        <v>0</v>
      </c>
      <c r="BT285" s="37">
        <v>0</v>
      </c>
      <c r="BU285" s="37">
        <v>0</v>
      </c>
      <c r="BV285" s="37">
        <v>0</v>
      </c>
      <c r="BW285" s="59">
        <v>0</v>
      </c>
      <c r="BX285" s="59">
        <v>0</v>
      </c>
      <c r="BZ285" s="37">
        <v>4000</v>
      </c>
      <c r="CA285" s="37">
        <v>2000</v>
      </c>
      <c r="CB285" s="37">
        <v>0</v>
      </c>
      <c r="CC285" s="37">
        <v>400</v>
      </c>
      <c r="CD285" s="37">
        <v>200</v>
      </c>
      <c r="CE285" s="37">
        <v>80</v>
      </c>
      <c r="CF285" s="37">
        <v>0</v>
      </c>
      <c r="CG285" s="59">
        <v>6680</v>
      </c>
      <c r="CH285" s="37">
        <v>0</v>
      </c>
      <c r="CI285" s="37">
        <v>0</v>
      </c>
      <c r="CJ285" s="37">
        <v>0</v>
      </c>
      <c r="CK285" s="37">
        <v>0</v>
      </c>
      <c r="CL285" s="37">
        <v>0</v>
      </c>
      <c r="CM285" s="37">
        <v>0</v>
      </c>
      <c r="CN285" s="59">
        <v>0</v>
      </c>
      <c r="CO285" s="59">
        <v>6680</v>
      </c>
      <c r="CP285" s="58"/>
      <c r="CQ285" s="3">
        <v>6680</v>
      </c>
    </row>
    <row r="286" spans="1:95" customFormat="1" x14ac:dyDescent="0.2">
      <c r="A286" s="209">
        <v>43291</v>
      </c>
      <c r="B286" s="33" t="s">
        <v>60</v>
      </c>
      <c r="C286" s="33" t="s">
        <v>61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1</v>
      </c>
      <c r="O286" s="43">
        <v>0</v>
      </c>
      <c r="P286" s="47" t="s">
        <v>45</v>
      </c>
      <c r="R286" s="37">
        <v>0</v>
      </c>
      <c r="S286" s="37">
        <v>0</v>
      </c>
      <c r="T286" s="37">
        <v>0</v>
      </c>
      <c r="U286" s="37">
        <v>0</v>
      </c>
      <c r="V286" s="37">
        <v>100000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20000</v>
      </c>
      <c r="AC286" s="37">
        <v>0</v>
      </c>
      <c r="AD286" s="37">
        <v>12000</v>
      </c>
      <c r="AE286" s="37">
        <v>0</v>
      </c>
      <c r="AF286" s="37">
        <v>0</v>
      </c>
      <c r="AG286" s="59">
        <v>132000</v>
      </c>
      <c r="AH286" s="37">
        <v>0</v>
      </c>
      <c r="AI286" s="37">
        <v>0</v>
      </c>
      <c r="AJ286" s="37">
        <v>0</v>
      </c>
      <c r="AK286" s="37">
        <v>0</v>
      </c>
      <c r="AL286" s="37">
        <v>0</v>
      </c>
      <c r="AM286" s="37">
        <v>0</v>
      </c>
      <c r="AN286" s="37">
        <v>200</v>
      </c>
      <c r="AO286" s="37">
        <v>0</v>
      </c>
      <c r="AP286" s="37">
        <v>100</v>
      </c>
      <c r="AQ286" s="37">
        <v>0</v>
      </c>
      <c r="AR286" s="37">
        <v>0</v>
      </c>
      <c r="AS286" s="59">
        <v>300</v>
      </c>
      <c r="AT286" s="59">
        <v>132300</v>
      </c>
      <c r="AU286" s="45"/>
      <c r="AV286" s="37">
        <v>0</v>
      </c>
      <c r="AW286" s="37">
        <v>0</v>
      </c>
      <c r="AX286" s="37">
        <v>0</v>
      </c>
      <c r="AY286" s="37">
        <v>0</v>
      </c>
      <c r="AZ286" s="37">
        <v>0</v>
      </c>
      <c r="BA286" s="37">
        <v>0</v>
      </c>
      <c r="BB286" s="37">
        <v>0</v>
      </c>
      <c r="BC286" s="37">
        <v>0</v>
      </c>
      <c r="BD286" s="37">
        <v>0</v>
      </c>
      <c r="BE286" s="37">
        <v>0</v>
      </c>
      <c r="BF286" s="37">
        <v>0</v>
      </c>
      <c r="BG286" s="37">
        <v>0</v>
      </c>
      <c r="BH286" s="37">
        <v>0</v>
      </c>
      <c r="BI286" s="37">
        <v>0</v>
      </c>
      <c r="BJ286" s="37">
        <v>0</v>
      </c>
      <c r="BK286" s="59">
        <v>0</v>
      </c>
      <c r="BL286" s="37">
        <v>0</v>
      </c>
      <c r="BM286" s="37">
        <v>0</v>
      </c>
      <c r="BN286" s="37">
        <v>0</v>
      </c>
      <c r="BO286" s="37">
        <v>0</v>
      </c>
      <c r="BP286" s="37">
        <v>0</v>
      </c>
      <c r="BQ286" s="37">
        <v>0</v>
      </c>
      <c r="BR286" s="37">
        <v>0</v>
      </c>
      <c r="BS286" s="37">
        <v>0</v>
      </c>
      <c r="BT286" s="37">
        <v>0</v>
      </c>
      <c r="BU286" s="37">
        <v>0</v>
      </c>
      <c r="BV286" s="37">
        <v>0</v>
      </c>
      <c r="BW286" s="59">
        <v>0</v>
      </c>
      <c r="BX286" s="59">
        <v>0</v>
      </c>
      <c r="BZ286" s="37">
        <v>0</v>
      </c>
      <c r="CA286" s="37">
        <v>100000</v>
      </c>
      <c r="CB286" s="37">
        <v>0</v>
      </c>
      <c r="CC286" s="37">
        <v>0</v>
      </c>
      <c r="CD286" s="37">
        <v>20000</v>
      </c>
      <c r="CE286" s="37">
        <v>12000</v>
      </c>
      <c r="CF286" s="37">
        <v>0</v>
      </c>
      <c r="CG286" s="59">
        <v>132000</v>
      </c>
      <c r="CH286" s="37">
        <v>0</v>
      </c>
      <c r="CI286" s="37">
        <v>0</v>
      </c>
      <c r="CJ286" s="37">
        <v>200</v>
      </c>
      <c r="CK286" s="37">
        <v>100</v>
      </c>
      <c r="CL286" s="37">
        <v>0</v>
      </c>
      <c r="CM286" s="37">
        <v>0</v>
      </c>
      <c r="CN286" s="59">
        <v>300</v>
      </c>
      <c r="CO286" s="59">
        <v>132300</v>
      </c>
      <c r="CP286" s="58"/>
      <c r="CQ286" s="3">
        <v>132300</v>
      </c>
    </row>
    <row r="287" spans="1:95" customFormat="1" x14ac:dyDescent="0.2">
      <c r="A287" s="209">
        <v>43291</v>
      </c>
      <c r="B287" s="33" t="s">
        <v>130</v>
      </c>
      <c r="C287" s="33" t="s">
        <v>61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1</v>
      </c>
      <c r="O287" s="43">
        <v>0</v>
      </c>
      <c r="P287" s="47" t="s">
        <v>45</v>
      </c>
      <c r="R287" s="37">
        <v>0</v>
      </c>
      <c r="S287" s="37">
        <v>0</v>
      </c>
      <c r="T287" s="37">
        <v>400000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  <c r="AE287" s="37">
        <v>0</v>
      </c>
      <c r="AF287" s="37">
        <v>0</v>
      </c>
      <c r="AG287" s="59">
        <v>400000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37">
        <v>0</v>
      </c>
      <c r="AN287" s="37">
        <v>0</v>
      </c>
      <c r="AO287" s="37">
        <v>0</v>
      </c>
      <c r="AP287" s="37">
        <v>0</v>
      </c>
      <c r="AQ287" s="37">
        <v>0</v>
      </c>
      <c r="AR287" s="37">
        <v>0</v>
      </c>
      <c r="AS287" s="59">
        <v>0</v>
      </c>
      <c r="AT287" s="59">
        <v>400000</v>
      </c>
      <c r="AU287" s="45"/>
      <c r="AV287" s="37">
        <v>0</v>
      </c>
      <c r="AW287" s="37">
        <v>0</v>
      </c>
      <c r="AX287" s="37">
        <v>0</v>
      </c>
      <c r="AY287" s="37">
        <v>0</v>
      </c>
      <c r="AZ287" s="37">
        <v>0</v>
      </c>
      <c r="BA287" s="37">
        <v>0</v>
      </c>
      <c r="BB287" s="37">
        <v>0</v>
      </c>
      <c r="BC287" s="37">
        <v>0</v>
      </c>
      <c r="BD287" s="37">
        <v>0</v>
      </c>
      <c r="BE287" s="37">
        <v>0</v>
      </c>
      <c r="BF287" s="37">
        <v>0</v>
      </c>
      <c r="BG287" s="37">
        <v>0</v>
      </c>
      <c r="BH287" s="37">
        <v>0</v>
      </c>
      <c r="BI287" s="37">
        <v>0</v>
      </c>
      <c r="BJ287" s="37">
        <v>0</v>
      </c>
      <c r="BK287" s="59">
        <v>0</v>
      </c>
      <c r="BL287" s="37">
        <v>0</v>
      </c>
      <c r="BM287" s="37">
        <v>0</v>
      </c>
      <c r="BN287" s="37">
        <v>0</v>
      </c>
      <c r="BO287" s="37">
        <v>0</v>
      </c>
      <c r="BP287" s="37">
        <v>0</v>
      </c>
      <c r="BQ287" s="37">
        <v>0</v>
      </c>
      <c r="BR287" s="37">
        <v>0</v>
      </c>
      <c r="BS287" s="37">
        <v>0</v>
      </c>
      <c r="BT287" s="37">
        <v>0</v>
      </c>
      <c r="BU287" s="37">
        <v>0</v>
      </c>
      <c r="BV287" s="37">
        <v>0</v>
      </c>
      <c r="BW287" s="59">
        <v>0</v>
      </c>
      <c r="BX287" s="59">
        <v>0</v>
      </c>
      <c r="BZ287" s="37">
        <v>400000</v>
      </c>
      <c r="CA287" s="37">
        <v>0</v>
      </c>
      <c r="CB287" s="37">
        <v>0</v>
      </c>
      <c r="CC287" s="37">
        <v>0</v>
      </c>
      <c r="CD287" s="37">
        <v>0</v>
      </c>
      <c r="CE287" s="37">
        <v>0</v>
      </c>
      <c r="CF287" s="37">
        <v>0</v>
      </c>
      <c r="CG287" s="59">
        <v>400000</v>
      </c>
      <c r="CH287" s="37">
        <v>0</v>
      </c>
      <c r="CI287" s="37">
        <v>0</v>
      </c>
      <c r="CJ287" s="37">
        <v>0</v>
      </c>
      <c r="CK287" s="37">
        <v>0</v>
      </c>
      <c r="CL287" s="37">
        <v>0</v>
      </c>
      <c r="CM287" s="37">
        <v>0</v>
      </c>
      <c r="CN287" s="59">
        <v>0</v>
      </c>
      <c r="CO287" s="59">
        <v>400000</v>
      </c>
      <c r="CP287" s="58"/>
      <c r="CQ287" s="3">
        <v>400000</v>
      </c>
    </row>
    <row r="288" spans="1:95" customFormat="1" x14ac:dyDescent="0.2">
      <c r="A288" s="209">
        <v>43292</v>
      </c>
      <c r="B288" s="33" t="s">
        <v>55</v>
      </c>
      <c r="C288" s="33" t="s">
        <v>56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7">
        <v>0</v>
      </c>
      <c r="R288" s="37">
        <v>0</v>
      </c>
      <c r="S288" s="37">
        <v>0</v>
      </c>
      <c r="T288" s="37">
        <v>4000</v>
      </c>
      <c r="U288" s="37">
        <v>0</v>
      </c>
      <c r="V288" s="37">
        <v>2000</v>
      </c>
      <c r="W288" s="37">
        <v>0</v>
      </c>
      <c r="X288" s="37">
        <v>0</v>
      </c>
      <c r="Y288" s="37">
        <v>0</v>
      </c>
      <c r="Z288" s="37">
        <v>400</v>
      </c>
      <c r="AA288" s="37">
        <v>0</v>
      </c>
      <c r="AB288" s="37">
        <v>200</v>
      </c>
      <c r="AC288" s="37">
        <v>0</v>
      </c>
      <c r="AD288" s="37">
        <v>80</v>
      </c>
      <c r="AE288" s="37">
        <v>0</v>
      </c>
      <c r="AF288" s="37">
        <v>0</v>
      </c>
      <c r="AG288" s="59">
        <v>6680</v>
      </c>
      <c r="AH288" s="37">
        <v>0</v>
      </c>
      <c r="AI288" s="37">
        <v>0</v>
      </c>
      <c r="AJ288" s="37">
        <v>0</v>
      </c>
      <c r="AK288" s="37">
        <v>0</v>
      </c>
      <c r="AL288" s="37">
        <v>0</v>
      </c>
      <c r="AM288" s="37">
        <v>0</v>
      </c>
      <c r="AN288" s="37">
        <v>0</v>
      </c>
      <c r="AO288" s="37">
        <v>0</v>
      </c>
      <c r="AP288" s="37">
        <v>0</v>
      </c>
      <c r="AQ288" s="37">
        <v>0</v>
      </c>
      <c r="AR288" s="37">
        <v>0</v>
      </c>
      <c r="AS288" s="59">
        <v>0</v>
      </c>
      <c r="AT288" s="59">
        <v>6680</v>
      </c>
      <c r="AU288" s="45"/>
      <c r="AV288" s="37">
        <v>0</v>
      </c>
      <c r="AW288" s="37">
        <v>0</v>
      </c>
      <c r="AX288" s="37">
        <v>0</v>
      </c>
      <c r="AY288" s="37">
        <v>0</v>
      </c>
      <c r="AZ288" s="37">
        <v>0</v>
      </c>
      <c r="BA288" s="37">
        <v>0</v>
      </c>
      <c r="BB288" s="37">
        <v>0</v>
      </c>
      <c r="BC288" s="37">
        <v>0</v>
      </c>
      <c r="BD288" s="37">
        <v>0</v>
      </c>
      <c r="BE288" s="37">
        <v>0</v>
      </c>
      <c r="BF288" s="37">
        <v>0</v>
      </c>
      <c r="BG288" s="37">
        <v>0</v>
      </c>
      <c r="BH288" s="37">
        <v>0</v>
      </c>
      <c r="BI288" s="37">
        <v>0</v>
      </c>
      <c r="BJ288" s="37">
        <v>0</v>
      </c>
      <c r="BK288" s="59">
        <v>0</v>
      </c>
      <c r="BL288" s="37">
        <v>0</v>
      </c>
      <c r="BM288" s="37">
        <v>0</v>
      </c>
      <c r="BN288" s="37">
        <v>0</v>
      </c>
      <c r="BO288" s="37">
        <v>0</v>
      </c>
      <c r="BP288" s="37">
        <v>0</v>
      </c>
      <c r="BQ288" s="37">
        <v>0</v>
      </c>
      <c r="BR288" s="37">
        <v>0</v>
      </c>
      <c r="BS288" s="37">
        <v>0</v>
      </c>
      <c r="BT288" s="37">
        <v>0</v>
      </c>
      <c r="BU288" s="37">
        <v>0</v>
      </c>
      <c r="BV288" s="37">
        <v>0</v>
      </c>
      <c r="BW288" s="59">
        <v>0</v>
      </c>
      <c r="BX288" s="59">
        <v>0</v>
      </c>
      <c r="BZ288" s="37">
        <v>4000</v>
      </c>
      <c r="CA288" s="37">
        <v>2000</v>
      </c>
      <c r="CB288" s="37">
        <v>0</v>
      </c>
      <c r="CC288" s="37">
        <v>400</v>
      </c>
      <c r="CD288" s="37">
        <v>200</v>
      </c>
      <c r="CE288" s="37">
        <v>80</v>
      </c>
      <c r="CF288" s="37">
        <v>0</v>
      </c>
      <c r="CG288" s="59">
        <v>6680</v>
      </c>
      <c r="CH288" s="37">
        <v>0</v>
      </c>
      <c r="CI288" s="37">
        <v>0</v>
      </c>
      <c r="CJ288" s="37">
        <v>0</v>
      </c>
      <c r="CK288" s="37">
        <v>0</v>
      </c>
      <c r="CL288" s="37">
        <v>0</v>
      </c>
      <c r="CM288" s="37">
        <v>0</v>
      </c>
      <c r="CN288" s="59">
        <v>0</v>
      </c>
      <c r="CO288" s="59">
        <v>6680</v>
      </c>
      <c r="CP288" s="58"/>
      <c r="CQ288" s="3">
        <v>6680</v>
      </c>
    </row>
    <row r="289" spans="1:95" customFormat="1" x14ac:dyDescent="0.2">
      <c r="A289" s="209">
        <v>43293</v>
      </c>
      <c r="B289" s="33" t="s">
        <v>55</v>
      </c>
      <c r="C289" s="33" t="s">
        <v>56</v>
      </c>
      <c r="D289" s="43">
        <v>0</v>
      </c>
      <c r="E289" s="43">
        <v>0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0</v>
      </c>
      <c r="O289" s="43">
        <v>0</v>
      </c>
      <c r="P289" s="47">
        <v>0</v>
      </c>
      <c r="R289" s="37">
        <v>0</v>
      </c>
      <c r="S289" s="37">
        <v>0</v>
      </c>
      <c r="T289" s="37">
        <v>4000</v>
      </c>
      <c r="U289" s="37">
        <v>0</v>
      </c>
      <c r="V289" s="37">
        <v>2000</v>
      </c>
      <c r="W289" s="37">
        <v>0</v>
      </c>
      <c r="X289" s="37">
        <v>0</v>
      </c>
      <c r="Y289" s="37">
        <v>0</v>
      </c>
      <c r="Z289" s="37">
        <v>400</v>
      </c>
      <c r="AA289" s="37">
        <v>0</v>
      </c>
      <c r="AB289" s="37">
        <v>200</v>
      </c>
      <c r="AC289" s="37">
        <v>0</v>
      </c>
      <c r="AD289" s="37">
        <v>80</v>
      </c>
      <c r="AE289" s="37">
        <v>0</v>
      </c>
      <c r="AF289" s="37">
        <v>0</v>
      </c>
      <c r="AG289" s="59">
        <v>6680</v>
      </c>
      <c r="AH289" s="37">
        <v>0</v>
      </c>
      <c r="AI289" s="37">
        <v>0</v>
      </c>
      <c r="AJ289" s="37">
        <v>0</v>
      </c>
      <c r="AK289" s="37">
        <v>0</v>
      </c>
      <c r="AL289" s="37">
        <v>5</v>
      </c>
      <c r="AM289" s="37">
        <v>0</v>
      </c>
      <c r="AN289" s="37">
        <v>4</v>
      </c>
      <c r="AO289" s="37">
        <v>0</v>
      </c>
      <c r="AP289" s="37">
        <v>2</v>
      </c>
      <c r="AQ289" s="37">
        <v>0</v>
      </c>
      <c r="AR289" s="37">
        <v>0</v>
      </c>
      <c r="AS289" s="59">
        <v>11</v>
      </c>
      <c r="AT289" s="59">
        <v>6691</v>
      </c>
      <c r="AU289" s="45"/>
      <c r="AV289" s="37">
        <v>0</v>
      </c>
      <c r="AW289" s="37">
        <v>0</v>
      </c>
      <c r="AX289" s="37">
        <v>0</v>
      </c>
      <c r="AY289" s="37">
        <v>0</v>
      </c>
      <c r="AZ289" s="37">
        <v>0</v>
      </c>
      <c r="BA289" s="37">
        <v>0</v>
      </c>
      <c r="BB289" s="37">
        <v>0</v>
      </c>
      <c r="BC289" s="37">
        <v>0</v>
      </c>
      <c r="BD289" s="37">
        <v>0</v>
      </c>
      <c r="BE289" s="37">
        <v>0</v>
      </c>
      <c r="BF289" s="37">
        <v>0</v>
      </c>
      <c r="BG289" s="37">
        <v>0</v>
      </c>
      <c r="BH289" s="37">
        <v>0</v>
      </c>
      <c r="BI289" s="37">
        <v>0</v>
      </c>
      <c r="BJ289" s="37">
        <v>0</v>
      </c>
      <c r="BK289" s="59">
        <v>0</v>
      </c>
      <c r="BL289" s="37">
        <v>0</v>
      </c>
      <c r="BM289" s="37">
        <v>0</v>
      </c>
      <c r="BN289" s="37">
        <v>0</v>
      </c>
      <c r="BO289" s="37">
        <v>0</v>
      </c>
      <c r="BP289" s="37">
        <v>0</v>
      </c>
      <c r="BQ289" s="37">
        <v>0</v>
      </c>
      <c r="BR289" s="37">
        <v>0</v>
      </c>
      <c r="BS289" s="37">
        <v>0</v>
      </c>
      <c r="BT289" s="37">
        <v>0</v>
      </c>
      <c r="BU289" s="37">
        <v>0</v>
      </c>
      <c r="BV289" s="37">
        <v>0</v>
      </c>
      <c r="BW289" s="59">
        <v>0</v>
      </c>
      <c r="BX289" s="59">
        <v>0</v>
      </c>
      <c r="BZ289" s="37">
        <v>4000</v>
      </c>
      <c r="CA289" s="37">
        <v>2000</v>
      </c>
      <c r="CB289" s="37">
        <v>0</v>
      </c>
      <c r="CC289" s="37">
        <v>400</v>
      </c>
      <c r="CD289" s="37">
        <v>200</v>
      </c>
      <c r="CE289" s="37">
        <v>80</v>
      </c>
      <c r="CF289" s="37">
        <v>0</v>
      </c>
      <c r="CG289" s="59">
        <v>6680</v>
      </c>
      <c r="CH289" s="37">
        <v>0</v>
      </c>
      <c r="CI289" s="37">
        <v>5</v>
      </c>
      <c r="CJ289" s="37">
        <v>4</v>
      </c>
      <c r="CK289" s="37">
        <v>2</v>
      </c>
      <c r="CL289" s="37">
        <v>0</v>
      </c>
      <c r="CM289" s="37">
        <v>0</v>
      </c>
      <c r="CN289" s="59">
        <v>11</v>
      </c>
      <c r="CO289" s="59">
        <v>6691</v>
      </c>
      <c r="CP289" s="58"/>
      <c r="CQ289" s="3">
        <v>6691</v>
      </c>
    </row>
    <row r="290" spans="1:95" customFormat="1" x14ac:dyDescent="0.2">
      <c r="A290" s="209">
        <v>43293</v>
      </c>
      <c r="B290" s="33" t="s">
        <v>53</v>
      </c>
      <c r="C290" s="33" t="s">
        <v>54</v>
      </c>
      <c r="D290" s="43">
        <v>1</v>
      </c>
      <c r="E290" s="43">
        <v>0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7" t="s">
        <v>45</v>
      </c>
      <c r="R290" s="37">
        <v>0</v>
      </c>
      <c r="S290" s="37">
        <v>0</v>
      </c>
      <c r="T290" s="37">
        <v>0</v>
      </c>
      <c r="U290" s="37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  <c r="AE290" s="37">
        <v>0</v>
      </c>
      <c r="AF290" s="37">
        <v>0</v>
      </c>
      <c r="AG290" s="59">
        <v>0</v>
      </c>
      <c r="AH290" s="37">
        <v>0</v>
      </c>
      <c r="AI290" s="37">
        <v>0</v>
      </c>
      <c r="AJ290" s="37">
        <v>0</v>
      </c>
      <c r="AK290" s="37">
        <v>0</v>
      </c>
      <c r="AL290" s="37">
        <v>1250</v>
      </c>
      <c r="AM290" s="37">
        <v>0</v>
      </c>
      <c r="AN290" s="37">
        <v>300</v>
      </c>
      <c r="AO290" s="37">
        <v>0</v>
      </c>
      <c r="AP290" s="37">
        <v>50</v>
      </c>
      <c r="AQ290" s="37">
        <v>0</v>
      </c>
      <c r="AR290" s="37">
        <v>0</v>
      </c>
      <c r="AS290" s="59">
        <v>1600</v>
      </c>
      <c r="AT290" s="59">
        <v>1600</v>
      </c>
      <c r="AU290" s="45"/>
      <c r="AV290" s="37">
        <v>0</v>
      </c>
      <c r="AW290" s="37">
        <v>0</v>
      </c>
      <c r="AX290" s="37">
        <v>0</v>
      </c>
      <c r="AY290" s="37">
        <v>0</v>
      </c>
      <c r="AZ290" s="37">
        <v>0</v>
      </c>
      <c r="BA290" s="37">
        <v>0</v>
      </c>
      <c r="BB290" s="37">
        <v>0</v>
      </c>
      <c r="BC290" s="37">
        <v>0</v>
      </c>
      <c r="BD290" s="37">
        <v>0</v>
      </c>
      <c r="BE290" s="37">
        <v>0</v>
      </c>
      <c r="BF290" s="37">
        <v>0</v>
      </c>
      <c r="BG290" s="37">
        <v>0</v>
      </c>
      <c r="BH290" s="37">
        <v>0</v>
      </c>
      <c r="BI290" s="37">
        <v>0</v>
      </c>
      <c r="BJ290" s="37">
        <v>0</v>
      </c>
      <c r="BK290" s="59">
        <v>0</v>
      </c>
      <c r="BL290" s="37">
        <v>0</v>
      </c>
      <c r="BM290" s="37">
        <v>0</v>
      </c>
      <c r="BN290" s="37">
        <v>0</v>
      </c>
      <c r="BO290" s="37">
        <v>0</v>
      </c>
      <c r="BP290" s="37">
        <v>0</v>
      </c>
      <c r="BQ290" s="37">
        <v>0</v>
      </c>
      <c r="BR290" s="37">
        <v>0</v>
      </c>
      <c r="BS290" s="37">
        <v>0</v>
      </c>
      <c r="BT290" s="37">
        <v>0</v>
      </c>
      <c r="BU290" s="37">
        <v>0</v>
      </c>
      <c r="BV290" s="37">
        <v>0</v>
      </c>
      <c r="BW290" s="59">
        <v>0</v>
      </c>
      <c r="BX290" s="59">
        <v>0</v>
      </c>
      <c r="BZ290" s="37">
        <v>0</v>
      </c>
      <c r="CA290" s="37">
        <v>0</v>
      </c>
      <c r="CB290" s="37">
        <v>0</v>
      </c>
      <c r="CC290" s="37">
        <v>0</v>
      </c>
      <c r="CD290" s="37">
        <v>0</v>
      </c>
      <c r="CE290" s="37">
        <v>0</v>
      </c>
      <c r="CF290" s="37">
        <v>0</v>
      </c>
      <c r="CG290" s="59">
        <v>0</v>
      </c>
      <c r="CH290" s="37">
        <v>0</v>
      </c>
      <c r="CI290" s="37">
        <v>1250</v>
      </c>
      <c r="CJ290" s="37">
        <v>300</v>
      </c>
      <c r="CK290" s="37">
        <v>50</v>
      </c>
      <c r="CL290" s="37">
        <v>0</v>
      </c>
      <c r="CM290" s="37">
        <v>0</v>
      </c>
      <c r="CN290" s="59">
        <v>1600</v>
      </c>
      <c r="CO290" s="59">
        <v>1600</v>
      </c>
      <c r="CP290" s="58"/>
      <c r="CQ290" s="3">
        <v>1600</v>
      </c>
    </row>
    <row r="291" spans="1:95" customFormat="1" x14ac:dyDescent="0.2">
      <c r="A291" s="209">
        <v>43293</v>
      </c>
      <c r="B291" s="33" t="s">
        <v>62</v>
      </c>
      <c r="C291" s="33" t="s">
        <v>118</v>
      </c>
      <c r="D291" s="43">
        <v>0</v>
      </c>
      <c r="E291" s="43">
        <v>0</v>
      </c>
      <c r="F291" s="43">
        <v>0</v>
      </c>
      <c r="G291" s="43">
        <v>0</v>
      </c>
      <c r="H291" s="43">
        <v>0</v>
      </c>
      <c r="I291" s="43">
        <v>1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  <c r="P291" s="47" t="s">
        <v>45</v>
      </c>
      <c r="R291" s="37">
        <v>0</v>
      </c>
      <c r="S291" s="37">
        <v>0</v>
      </c>
      <c r="T291" s="37">
        <v>800000</v>
      </c>
      <c r="U291" s="37">
        <v>0</v>
      </c>
      <c r="V291" s="37">
        <v>200000</v>
      </c>
      <c r="W291" s="37">
        <v>0</v>
      </c>
      <c r="X291" s="37">
        <v>160000</v>
      </c>
      <c r="Y291" s="37">
        <v>0</v>
      </c>
      <c r="Z291" s="37">
        <v>20000</v>
      </c>
      <c r="AA291" s="37">
        <v>0</v>
      </c>
      <c r="AB291" s="37">
        <v>40000</v>
      </c>
      <c r="AC291" s="37">
        <v>0</v>
      </c>
      <c r="AD291" s="37">
        <v>24000</v>
      </c>
      <c r="AE291" s="37">
        <v>0</v>
      </c>
      <c r="AF291" s="37">
        <v>0</v>
      </c>
      <c r="AG291" s="59">
        <v>1244000</v>
      </c>
      <c r="AH291" s="37">
        <v>2500</v>
      </c>
      <c r="AI291" s="37">
        <v>0</v>
      </c>
      <c r="AJ291" s="37">
        <v>0</v>
      </c>
      <c r="AK291" s="37">
        <v>0</v>
      </c>
      <c r="AL291" s="37">
        <v>1000</v>
      </c>
      <c r="AM291" s="37">
        <v>0</v>
      </c>
      <c r="AN291" s="37">
        <v>600</v>
      </c>
      <c r="AO291" s="37">
        <v>0</v>
      </c>
      <c r="AP291" s="37">
        <v>0</v>
      </c>
      <c r="AQ291" s="37">
        <v>0</v>
      </c>
      <c r="AR291" s="37">
        <v>0</v>
      </c>
      <c r="AS291" s="59">
        <v>4100</v>
      </c>
      <c r="AT291" s="59">
        <v>1248100</v>
      </c>
      <c r="AU291" s="45"/>
      <c r="AV291" s="37">
        <v>0</v>
      </c>
      <c r="AW291" s="37">
        <v>0</v>
      </c>
      <c r="AX291" s="37">
        <v>0</v>
      </c>
      <c r="AY291" s="37">
        <v>0</v>
      </c>
      <c r="AZ291" s="37">
        <v>0</v>
      </c>
      <c r="BA291" s="37">
        <v>0</v>
      </c>
      <c r="BB291" s="37">
        <v>0</v>
      </c>
      <c r="BC291" s="37">
        <v>0</v>
      </c>
      <c r="BD291" s="37">
        <v>0</v>
      </c>
      <c r="BE291" s="37">
        <v>0</v>
      </c>
      <c r="BF291" s="37">
        <v>0</v>
      </c>
      <c r="BG291" s="37">
        <v>0</v>
      </c>
      <c r="BH291" s="37">
        <v>0</v>
      </c>
      <c r="BI291" s="37">
        <v>0</v>
      </c>
      <c r="BJ291" s="37">
        <v>0</v>
      </c>
      <c r="BK291" s="59">
        <v>0</v>
      </c>
      <c r="BL291" s="37">
        <v>0</v>
      </c>
      <c r="BM291" s="37">
        <v>0</v>
      </c>
      <c r="BN291" s="37">
        <v>0</v>
      </c>
      <c r="BO291" s="37">
        <v>0</v>
      </c>
      <c r="BP291" s="37">
        <v>0</v>
      </c>
      <c r="BQ291" s="37">
        <v>0</v>
      </c>
      <c r="BR291" s="37">
        <v>0</v>
      </c>
      <c r="BS291" s="37">
        <v>0</v>
      </c>
      <c r="BT291" s="37">
        <v>0</v>
      </c>
      <c r="BU291" s="37">
        <v>0</v>
      </c>
      <c r="BV291" s="37">
        <v>0</v>
      </c>
      <c r="BW291" s="59">
        <v>0</v>
      </c>
      <c r="BX291" s="59">
        <v>0</v>
      </c>
      <c r="BZ291" s="37">
        <v>800000</v>
      </c>
      <c r="CA291" s="37">
        <v>200000</v>
      </c>
      <c r="CB291" s="37">
        <v>160000</v>
      </c>
      <c r="CC291" s="37">
        <v>20000</v>
      </c>
      <c r="CD291" s="37">
        <v>40000</v>
      </c>
      <c r="CE291" s="37">
        <v>24000</v>
      </c>
      <c r="CF291" s="37">
        <v>0</v>
      </c>
      <c r="CG291" s="59">
        <v>1244000</v>
      </c>
      <c r="CH291" s="37">
        <v>2500</v>
      </c>
      <c r="CI291" s="37">
        <v>1000</v>
      </c>
      <c r="CJ291" s="37">
        <v>600</v>
      </c>
      <c r="CK291" s="37">
        <v>0</v>
      </c>
      <c r="CL291" s="37">
        <v>0</v>
      </c>
      <c r="CM291" s="37">
        <v>0</v>
      </c>
      <c r="CN291" s="59">
        <v>4100</v>
      </c>
      <c r="CO291" s="59">
        <v>1248100</v>
      </c>
      <c r="CP291" s="58"/>
      <c r="CQ291" s="3">
        <v>1248100</v>
      </c>
    </row>
    <row r="292" spans="1:95" customFormat="1" x14ac:dyDescent="0.2">
      <c r="A292" s="209">
        <v>43294</v>
      </c>
      <c r="B292" s="33" t="s">
        <v>53</v>
      </c>
      <c r="C292" s="33" t="s">
        <v>54</v>
      </c>
      <c r="D292" s="43">
        <v>1</v>
      </c>
      <c r="E292" s="43">
        <v>0</v>
      </c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0</v>
      </c>
      <c r="L292" s="43">
        <v>0</v>
      </c>
      <c r="M292" s="43">
        <v>0</v>
      </c>
      <c r="N292" s="43">
        <v>0</v>
      </c>
      <c r="O292" s="43">
        <v>0</v>
      </c>
      <c r="P292" s="47" t="s">
        <v>45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  <c r="AE292" s="37">
        <v>0</v>
      </c>
      <c r="AF292" s="37">
        <v>0</v>
      </c>
      <c r="AG292" s="59">
        <v>0</v>
      </c>
      <c r="AH292" s="37">
        <v>0</v>
      </c>
      <c r="AI292" s="37">
        <v>0</v>
      </c>
      <c r="AJ292" s="37">
        <v>0</v>
      </c>
      <c r="AK292" s="37">
        <v>0</v>
      </c>
      <c r="AL292" s="37">
        <v>625</v>
      </c>
      <c r="AM292" s="37">
        <v>0</v>
      </c>
      <c r="AN292" s="37">
        <v>0</v>
      </c>
      <c r="AO292" s="37">
        <v>0</v>
      </c>
      <c r="AP292" s="37">
        <v>0</v>
      </c>
      <c r="AQ292" s="37">
        <v>0</v>
      </c>
      <c r="AR292" s="37">
        <v>0</v>
      </c>
      <c r="AS292" s="59">
        <v>625</v>
      </c>
      <c r="AT292" s="59">
        <v>625</v>
      </c>
      <c r="AU292" s="45"/>
      <c r="AV292" s="37">
        <v>0</v>
      </c>
      <c r="AW292" s="37">
        <v>0</v>
      </c>
      <c r="AX292" s="37">
        <v>0</v>
      </c>
      <c r="AY292" s="37">
        <v>0</v>
      </c>
      <c r="AZ292" s="37">
        <v>0</v>
      </c>
      <c r="BA292" s="37">
        <v>0</v>
      </c>
      <c r="BB292" s="37">
        <v>0</v>
      </c>
      <c r="BC292" s="37">
        <v>0</v>
      </c>
      <c r="BD292" s="37">
        <v>0</v>
      </c>
      <c r="BE292" s="37">
        <v>0</v>
      </c>
      <c r="BF292" s="37">
        <v>0</v>
      </c>
      <c r="BG292" s="37">
        <v>0</v>
      </c>
      <c r="BH292" s="37">
        <v>0</v>
      </c>
      <c r="BI292" s="37">
        <v>0</v>
      </c>
      <c r="BJ292" s="37">
        <v>0</v>
      </c>
      <c r="BK292" s="59">
        <v>0</v>
      </c>
      <c r="BL292" s="37">
        <v>0</v>
      </c>
      <c r="BM292" s="37">
        <v>0</v>
      </c>
      <c r="BN292" s="37">
        <v>0</v>
      </c>
      <c r="BO292" s="37">
        <v>0</v>
      </c>
      <c r="BP292" s="37">
        <v>0</v>
      </c>
      <c r="BQ292" s="37">
        <v>0</v>
      </c>
      <c r="BR292" s="37">
        <v>0</v>
      </c>
      <c r="BS292" s="37">
        <v>0</v>
      </c>
      <c r="BT292" s="37">
        <v>0</v>
      </c>
      <c r="BU292" s="37">
        <v>0</v>
      </c>
      <c r="BV292" s="37">
        <v>0</v>
      </c>
      <c r="BW292" s="59">
        <v>0</v>
      </c>
      <c r="BX292" s="59">
        <v>0</v>
      </c>
      <c r="BZ292" s="37">
        <v>0</v>
      </c>
      <c r="CA292" s="37">
        <v>0</v>
      </c>
      <c r="CB292" s="37">
        <v>0</v>
      </c>
      <c r="CC292" s="37">
        <v>0</v>
      </c>
      <c r="CD292" s="37">
        <v>0</v>
      </c>
      <c r="CE292" s="37">
        <v>0</v>
      </c>
      <c r="CF292" s="37">
        <v>0</v>
      </c>
      <c r="CG292" s="59">
        <v>0</v>
      </c>
      <c r="CH292" s="37">
        <v>0</v>
      </c>
      <c r="CI292" s="37">
        <v>625</v>
      </c>
      <c r="CJ292" s="37">
        <v>0</v>
      </c>
      <c r="CK292" s="37">
        <v>0</v>
      </c>
      <c r="CL292" s="37">
        <v>0</v>
      </c>
      <c r="CM292" s="37">
        <v>0</v>
      </c>
      <c r="CN292" s="59">
        <v>625</v>
      </c>
      <c r="CO292" s="59">
        <v>625</v>
      </c>
      <c r="CP292" s="58"/>
      <c r="CQ292" s="3">
        <v>625</v>
      </c>
    </row>
    <row r="293" spans="1:95" customFormat="1" x14ac:dyDescent="0.2">
      <c r="A293" s="209">
        <v>43294</v>
      </c>
      <c r="B293" s="33" t="s">
        <v>81</v>
      </c>
      <c r="C293" s="33" t="s">
        <v>131</v>
      </c>
      <c r="D293" s="43">
        <v>0</v>
      </c>
      <c r="E293" s="43">
        <v>0</v>
      </c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1</v>
      </c>
      <c r="L293" s="43">
        <v>0</v>
      </c>
      <c r="M293" s="43">
        <v>0</v>
      </c>
      <c r="N293" s="43">
        <v>0</v>
      </c>
      <c r="O293" s="43">
        <v>0</v>
      </c>
      <c r="P293" s="47" t="s">
        <v>45</v>
      </c>
      <c r="R293" s="37">
        <v>0</v>
      </c>
      <c r="S293" s="37">
        <v>0</v>
      </c>
      <c r="T293" s="37">
        <v>600000</v>
      </c>
      <c r="U293" s="37">
        <v>0</v>
      </c>
      <c r="V293" s="37">
        <v>100000</v>
      </c>
      <c r="W293" s="37">
        <v>0</v>
      </c>
      <c r="X293" s="37">
        <v>140000</v>
      </c>
      <c r="Y293" s="37">
        <v>0</v>
      </c>
      <c r="Z293" s="37">
        <v>20000</v>
      </c>
      <c r="AA293" s="37">
        <v>0</v>
      </c>
      <c r="AB293" s="37">
        <v>50000</v>
      </c>
      <c r="AC293" s="37">
        <v>0</v>
      </c>
      <c r="AD293" s="37">
        <v>26000</v>
      </c>
      <c r="AE293" s="37">
        <v>0</v>
      </c>
      <c r="AF293" s="37">
        <v>0</v>
      </c>
      <c r="AG293" s="59">
        <v>936000</v>
      </c>
      <c r="AH293" s="37">
        <v>2500</v>
      </c>
      <c r="AI293" s="37">
        <v>0</v>
      </c>
      <c r="AJ293" s="37">
        <v>0</v>
      </c>
      <c r="AK293" s="37">
        <v>0</v>
      </c>
      <c r="AL293" s="37">
        <v>750</v>
      </c>
      <c r="AM293" s="37">
        <v>0</v>
      </c>
      <c r="AN293" s="37">
        <v>400</v>
      </c>
      <c r="AO293" s="37">
        <v>0</v>
      </c>
      <c r="AP293" s="37">
        <v>200</v>
      </c>
      <c r="AQ293" s="37">
        <v>0</v>
      </c>
      <c r="AR293" s="37">
        <v>0</v>
      </c>
      <c r="AS293" s="59">
        <v>3850</v>
      </c>
      <c r="AT293" s="59">
        <v>939850</v>
      </c>
      <c r="AU293" s="45"/>
      <c r="AV293" s="37">
        <v>0</v>
      </c>
      <c r="AW293" s="37">
        <v>0</v>
      </c>
      <c r="AX293" s="37">
        <v>0</v>
      </c>
      <c r="AY293" s="37">
        <v>0</v>
      </c>
      <c r="AZ293" s="37">
        <v>0</v>
      </c>
      <c r="BA293" s="37">
        <v>0</v>
      </c>
      <c r="BB293" s="37">
        <v>0</v>
      </c>
      <c r="BC293" s="37">
        <v>0</v>
      </c>
      <c r="BD293" s="37">
        <v>0</v>
      </c>
      <c r="BE293" s="37">
        <v>0</v>
      </c>
      <c r="BF293" s="37">
        <v>0</v>
      </c>
      <c r="BG293" s="37">
        <v>0</v>
      </c>
      <c r="BH293" s="37">
        <v>0</v>
      </c>
      <c r="BI293" s="37">
        <v>0</v>
      </c>
      <c r="BJ293" s="37">
        <v>0</v>
      </c>
      <c r="BK293" s="59">
        <v>0</v>
      </c>
      <c r="BL293" s="37">
        <v>0</v>
      </c>
      <c r="BM293" s="37">
        <v>0</v>
      </c>
      <c r="BN293" s="37">
        <v>0</v>
      </c>
      <c r="BO293" s="37">
        <v>0</v>
      </c>
      <c r="BP293" s="37">
        <v>0</v>
      </c>
      <c r="BQ293" s="37">
        <v>0</v>
      </c>
      <c r="BR293" s="37">
        <v>0</v>
      </c>
      <c r="BS293" s="37">
        <v>0</v>
      </c>
      <c r="BT293" s="37">
        <v>0</v>
      </c>
      <c r="BU293" s="37">
        <v>0</v>
      </c>
      <c r="BV293" s="37">
        <v>0</v>
      </c>
      <c r="BW293" s="59">
        <v>0</v>
      </c>
      <c r="BX293" s="59">
        <v>0</v>
      </c>
      <c r="BZ293" s="37">
        <v>600000</v>
      </c>
      <c r="CA293" s="37">
        <v>100000</v>
      </c>
      <c r="CB293" s="37">
        <v>140000</v>
      </c>
      <c r="CC293" s="37">
        <v>20000</v>
      </c>
      <c r="CD293" s="37">
        <v>50000</v>
      </c>
      <c r="CE293" s="37">
        <v>26000</v>
      </c>
      <c r="CF293" s="37">
        <v>0</v>
      </c>
      <c r="CG293" s="59">
        <v>936000</v>
      </c>
      <c r="CH293" s="37">
        <v>2500</v>
      </c>
      <c r="CI293" s="37">
        <v>750</v>
      </c>
      <c r="CJ293" s="37">
        <v>400</v>
      </c>
      <c r="CK293" s="37">
        <v>200</v>
      </c>
      <c r="CL293" s="37">
        <v>0</v>
      </c>
      <c r="CM293" s="37">
        <v>0</v>
      </c>
      <c r="CN293" s="59">
        <v>3850</v>
      </c>
      <c r="CO293" s="59">
        <v>939850</v>
      </c>
      <c r="CP293" s="58"/>
      <c r="CQ293" s="3">
        <v>939850</v>
      </c>
    </row>
    <row r="294" spans="1:95" customFormat="1" x14ac:dyDescent="0.2">
      <c r="A294" s="209">
        <v>43294</v>
      </c>
      <c r="B294" s="33" t="s">
        <v>132</v>
      </c>
      <c r="C294" s="33" t="s">
        <v>131</v>
      </c>
      <c r="D294" s="43">
        <v>0</v>
      </c>
      <c r="E294" s="43">
        <v>0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1</v>
      </c>
      <c r="L294" s="43">
        <v>0</v>
      </c>
      <c r="M294" s="43">
        <v>0</v>
      </c>
      <c r="N294" s="43">
        <v>0</v>
      </c>
      <c r="O294" s="43">
        <v>0</v>
      </c>
      <c r="P294" s="47" t="s">
        <v>45</v>
      </c>
      <c r="R294" s="37">
        <v>0</v>
      </c>
      <c r="S294" s="37">
        <v>0</v>
      </c>
      <c r="T294" s="37">
        <v>200000</v>
      </c>
      <c r="U294" s="37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  <c r="AE294" s="37">
        <v>0</v>
      </c>
      <c r="AF294" s="37">
        <v>0</v>
      </c>
      <c r="AG294" s="59">
        <v>200000</v>
      </c>
      <c r="AH294" s="37">
        <v>0</v>
      </c>
      <c r="AI294" s="37">
        <v>0</v>
      </c>
      <c r="AJ294" s="37">
        <v>0</v>
      </c>
      <c r="AK294" s="37">
        <v>0</v>
      </c>
      <c r="AL294" s="37">
        <v>0</v>
      </c>
      <c r="AM294" s="37">
        <v>0</v>
      </c>
      <c r="AN294" s="37">
        <v>0</v>
      </c>
      <c r="AO294" s="37">
        <v>0</v>
      </c>
      <c r="AP294" s="37">
        <v>0</v>
      </c>
      <c r="AQ294" s="37">
        <v>0</v>
      </c>
      <c r="AR294" s="37">
        <v>0</v>
      </c>
      <c r="AS294" s="59">
        <v>0</v>
      </c>
      <c r="AT294" s="59">
        <v>200000</v>
      </c>
      <c r="AU294" s="45"/>
      <c r="AV294" s="37">
        <v>0</v>
      </c>
      <c r="AW294" s="37">
        <v>0</v>
      </c>
      <c r="AX294" s="37">
        <v>0</v>
      </c>
      <c r="AY294" s="37">
        <v>0</v>
      </c>
      <c r="AZ294" s="37">
        <v>0</v>
      </c>
      <c r="BA294" s="37">
        <v>0</v>
      </c>
      <c r="BB294" s="37">
        <v>0</v>
      </c>
      <c r="BC294" s="37">
        <v>0</v>
      </c>
      <c r="BD294" s="37">
        <v>0</v>
      </c>
      <c r="BE294" s="37">
        <v>0</v>
      </c>
      <c r="BF294" s="37">
        <v>0</v>
      </c>
      <c r="BG294" s="37">
        <v>0</v>
      </c>
      <c r="BH294" s="37">
        <v>0</v>
      </c>
      <c r="BI294" s="37">
        <v>0</v>
      </c>
      <c r="BJ294" s="37">
        <v>0</v>
      </c>
      <c r="BK294" s="59">
        <v>0</v>
      </c>
      <c r="BL294" s="37">
        <v>0</v>
      </c>
      <c r="BM294" s="37">
        <v>0</v>
      </c>
      <c r="BN294" s="37">
        <v>0</v>
      </c>
      <c r="BO294" s="37">
        <v>0</v>
      </c>
      <c r="BP294" s="37">
        <v>0</v>
      </c>
      <c r="BQ294" s="37">
        <v>0</v>
      </c>
      <c r="BR294" s="37">
        <v>0</v>
      </c>
      <c r="BS294" s="37">
        <v>0</v>
      </c>
      <c r="BT294" s="37">
        <v>0</v>
      </c>
      <c r="BU294" s="37">
        <v>0</v>
      </c>
      <c r="BV294" s="37">
        <v>0</v>
      </c>
      <c r="BW294" s="59">
        <v>0</v>
      </c>
      <c r="BX294" s="59">
        <v>0</v>
      </c>
      <c r="BZ294" s="37">
        <v>200000</v>
      </c>
      <c r="CA294" s="37">
        <v>0</v>
      </c>
      <c r="CB294" s="37">
        <v>0</v>
      </c>
      <c r="CC294" s="37">
        <v>0</v>
      </c>
      <c r="CD294" s="37">
        <v>0</v>
      </c>
      <c r="CE294" s="37">
        <v>0</v>
      </c>
      <c r="CF294" s="37">
        <v>0</v>
      </c>
      <c r="CG294" s="59">
        <v>200000</v>
      </c>
      <c r="CH294" s="37">
        <v>0</v>
      </c>
      <c r="CI294" s="37">
        <v>0</v>
      </c>
      <c r="CJ294" s="37">
        <v>0</v>
      </c>
      <c r="CK294" s="37">
        <v>0</v>
      </c>
      <c r="CL294" s="37">
        <v>0</v>
      </c>
      <c r="CM294" s="37">
        <v>0</v>
      </c>
      <c r="CN294" s="59">
        <v>0</v>
      </c>
      <c r="CO294" s="59">
        <v>200000</v>
      </c>
      <c r="CP294" s="58"/>
      <c r="CQ294" s="3">
        <v>200000</v>
      </c>
    </row>
    <row r="295" spans="1:95" customFormat="1" x14ac:dyDescent="0.2">
      <c r="A295" s="209">
        <v>43297</v>
      </c>
      <c r="B295" s="33" t="s">
        <v>55</v>
      </c>
      <c r="C295" s="33" t="s">
        <v>56</v>
      </c>
      <c r="D295" s="43">
        <v>0</v>
      </c>
      <c r="E295" s="43">
        <v>0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0</v>
      </c>
      <c r="L295" s="43">
        <v>0</v>
      </c>
      <c r="M295" s="43">
        <v>0</v>
      </c>
      <c r="N295" s="43">
        <v>0</v>
      </c>
      <c r="O295" s="43">
        <v>0</v>
      </c>
      <c r="P295" s="47">
        <v>0</v>
      </c>
      <c r="R295" s="37">
        <v>0</v>
      </c>
      <c r="S295" s="37">
        <v>0</v>
      </c>
      <c r="T295" s="37">
        <v>4000</v>
      </c>
      <c r="U295" s="37">
        <v>0</v>
      </c>
      <c r="V295" s="37">
        <v>2000</v>
      </c>
      <c r="W295" s="37">
        <v>0</v>
      </c>
      <c r="X295" s="37">
        <v>0</v>
      </c>
      <c r="Y295" s="37">
        <v>0</v>
      </c>
      <c r="Z295" s="37">
        <v>400</v>
      </c>
      <c r="AA295" s="37">
        <v>0</v>
      </c>
      <c r="AB295" s="37">
        <v>200</v>
      </c>
      <c r="AC295" s="37">
        <v>0</v>
      </c>
      <c r="AD295" s="37">
        <v>80</v>
      </c>
      <c r="AE295" s="37">
        <v>0</v>
      </c>
      <c r="AF295" s="37">
        <v>0</v>
      </c>
      <c r="AG295" s="59">
        <v>6680</v>
      </c>
      <c r="AH295" s="37">
        <v>0</v>
      </c>
      <c r="AI295" s="37">
        <v>0</v>
      </c>
      <c r="AJ295" s="37">
        <v>0</v>
      </c>
      <c r="AK295" s="37">
        <v>0</v>
      </c>
      <c r="AL295" s="37">
        <v>5</v>
      </c>
      <c r="AM295" s="37">
        <v>0</v>
      </c>
      <c r="AN295" s="37">
        <v>4</v>
      </c>
      <c r="AO295" s="37">
        <v>0</v>
      </c>
      <c r="AP295" s="37">
        <v>2</v>
      </c>
      <c r="AQ295" s="37">
        <v>0</v>
      </c>
      <c r="AR295" s="37">
        <v>0</v>
      </c>
      <c r="AS295" s="59">
        <v>11</v>
      </c>
      <c r="AT295" s="59">
        <v>6691</v>
      </c>
      <c r="AU295" s="45"/>
      <c r="AV295" s="37">
        <v>0</v>
      </c>
      <c r="AW295" s="37">
        <v>0</v>
      </c>
      <c r="AX295" s="37">
        <v>0</v>
      </c>
      <c r="AY295" s="37">
        <v>0</v>
      </c>
      <c r="AZ295" s="37">
        <v>0</v>
      </c>
      <c r="BA295" s="37">
        <v>0</v>
      </c>
      <c r="BB295" s="37">
        <v>0</v>
      </c>
      <c r="BC295" s="37">
        <v>0</v>
      </c>
      <c r="BD295" s="37">
        <v>0</v>
      </c>
      <c r="BE295" s="37">
        <v>0</v>
      </c>
      <c r="BF295" s="37">
        <v>0</v>
      </c>
      <c r="BG295" s="37">
        <v>0</v>
      </c>
      <c r="BH295" s="37">
        <v>0</v>
      </c>
      <c r="BI295" s="37">
        <v>0</v>
      </c>
      <c r="BJ295" s="37">
        <v>0</v>
      </c>
      <c r="BK295" s="59">
        <v>0</v>
      </c>
      <c r="BL295" s="37">
        <v>0</v>
      </c>
      <c r="BM295" s="37">
        <v>0</v>
      </c>
      <c r="BN295" s="37">
        <v>0</v>
      </c>
      <c r="BO295" s="37">
        <v>0</v>
      </c>
      <c r="BP295" s="37">
        <v>0</v>
      </c>
      <c r="BQ295" s="37">
        <v>0</v>
      </c>
      <c r="BR295" s="37">
        <v>0</v>
      </c>
      <c r="BS295" s="37">
        <v>0</v>
      </c>
      <c r="BT295" s="37">
        <v>0</v>
      </c>
      <c r="BU295" s="37">
        <v>0</v>
      </c>
      <c r="BV295" s="37">
        <v>0</v>
      </c>
      <c r="BW295" s="59">
        <v>0</v>
      </c>
      <c r="BX295" s="59">
        <v>0</v>
      </c>
      <c r="BZ295" s="37">
        <v>4000</v>
      </c>
      <c r="CA295" s="37">
        <v>2000</v>
      </c>
      <c r="CB295" s="37">
        <v>0</v>
      </c>
      <c r="CC295" s="37">
        <v>400</v>
      </c>
      <c r="CD295" s="37">
        <v>200</v>
      </c>
      <c r="CE295" s="37">
        <v>80</v>
      </c>
      <c r="CF295" s="37">
        <v>0</v>
      </c>
      <c r="CG295" s="59">
        <v>6680</v>
      </c>
      <c r="CH295" s="37">
        <v>0</v>
      </c>
      <c r="CI295" s="37">
        <v>5</v>
      </c>
      <c r="CJ295" s="37">
        <v>4</v>
      </c>
      <c r="CK295" s="37">
        <v>2</v>
      </c>
      <c r="CL295" s="37">
        <v>0</v>
      </c>
      <c r="CM295" s="37">
        <v>0</v>
      </c>
      <c r="CN295" s="59">
        <v>11</v>
      </c>
      <c r="CO295" s="59">
        <v>6691</v>
      </c>
      <c r="CP295" s="58"/>
      <c r="CQ295" s="3">
        <v>6691</v>
      </c>
    </row>
    <row r="296" spans="1:95" customFormat="1" x14ac:dyDescent="0.2">
      <c r="A296" s="209">
        <v>43297</v>
      </c>
      <c r="B296" s="33" t="s">
        <v>53</v>
      </c>
      <c r="C296" s="33" t="s">
        <v>57</v>
      </c>
      <c r="D296" s="43">
        <v>0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0</v>
      </c>
      <c r="L296" s="43">
        <v>0</v>
      </c>
      <c r="M296" s="43">
        <v>0</v>
      </c>
      <c r="N296" s="43">
        <v>0</v>
      </c>
      <c r="O296" s="43">
        <v>0</v>
      </c>
      <c r="P296" s="47">
        <v>0</v>
      </c>
      <c r="R296" s="37">
        <v>0</v>
      </c>
      <c r="S296" s="37">
        <v>0</v>
      </c>
      <c r="T296" s="37">
        <v>16000</v>
      </c>
      <c r="U296" s="37">
        <v>0</v>
      </c>
      <c r="V296" s="37">
        <v>6000</v>
      </c>
      <c r="W296" s="37">
        <v>0</v>
      </c>
      <c r="X296" s="37">
        <v>0</v>
      </c>
      <c r="Y296" s="37">
        <v>0</v>
      </c>
      <c r="Z296" s="37">
        <v>1200</v>
      </c>
      <c r="AA296" s="37">
        <v>0</v>
      </c>
      <c r="AB296" s="37">
        <v>800</v>
      </c>
      <c r="AC296" s="37">
        <v>0</v>
      </c>
      <c r="AD296" s="37">
        <v>320</v>
      </c>
      <c r="AE296" s="37">
        <v>0</v>
      </c>
      <c r="AF296" s="37">
        <v>0</v>
      </c>
      <c r="AG296" s="59">
        <v>24320</v>
      </c>
      <c r="AH296" s="37">
        <v>0</v>
      </c>
      <c r="AI296" s="37">
        <v>10</v>
      </c>
      <c r="AJ296" s="37">
        <v>0</v>
      </c>
      <c r="AK296" s="37">
        <v>0</v>
      </c>
      <c r="AL296" s="37">
        <v>15</v>
      </c>
      <c r="AM296" s="37">
        <v>0</v>
      </c>
      <c r="AN296" s="37">
        <v>12</v>
      </c>
      <c r="AO296" s="37">
        <v>0</v>
      </c>
      <c r="AP296" s="37">
        <v>6</v>
      </c>
      <c r="AQ296" s="37">
        <v>0</v>
      </c>
      <c r="AR296" s="37">
        <v>0</v>
      </c>
      <c r="AS296" s="59">
        <v>43</v>
      </c>
      <c r="AT296" s="59">
        <v>24363</v>
      </c>
      <c r="AU296" s="45"/>
      <c r="AV296" s="37">
        <v>0</v>
      </c>
      <c r="AW296" s="37">
        <v>0</v>
      </c>
      <c r="AX296" s="37">
        <v>0</v>
      </c>
      <c r="AY296" s="37">
        <v>0</v>
      </c>
      <c r="AZ296" s="37">
        <v>0</v>
      </c>
      <c r="BA296" s="37">
        <v>0</v>
      </c>
      <c r="BB296" s="37">
        <v>0</v>
      </c>
      <c r="BC296" s="37">
        <v>0</v>
      </c>
      <c r="BD296" s="37">
        <v>0</v>
      </c>
      <c r="BE296" s="37">
        <v>0</v>
      </c>
      <c r="BF296" s="37">
        <v>0</v>
      </c>
      <c r="BG296" s="37">
        <v>0</v>
      </c>
      <c r="BH296" s="37">
        <v>0</v>
      </c>
      <c r="BI296" s="37">
        <v>0</v>
      </c>
      <c r="BJ296" s="37">
        <v>0</v>
      </c>
      <c r="BK296" s="59">
        <v>0</v>
      </c>
      <c r="BL296" s="37">
        <v>0</v>
      </c>
      <c r="BM296" s="37">
        <v>0</v>
      </c>
      <c r="BN296" s="37">
        <v>0</v>
      </c>
      <c r="BO296" s="37">
        <v>0</v>
      </c>
      <c r="BP296" s="37">
        <v>0</v>
      </c>
      <c r="BQ296" s="37">
        <v>0</v>
      </c>
      <c r="BR296" s="37">
        <v>0</v>
      </c>
      <c r="BS296" s="37">
        <v>0</v>
      </c>
      <c r="BT296" s="37">
        <v>0</v>
      </c>
      <c r="BU296" s="37">
        <v>0</v>
      </c>
      <c r="BV296" s="37">
        <v>0</v>
      </c>
      <c r="BW296" s="59">
        <v>0</v>
      </c>
      <c r="BX296" s="59">
        <v>0</v>
      </c>
      <c r="BZ296" s="37">
        <v>16000</v>
      </c>
      <c r="CA296" s="37">
        <v>6000</v>
      </c>
      <c r="CB296" s="37">
        <v>0</v>
      </c>
      <c r="CC296" s="37">
        <v>1200</v>
      </c>
      <c r="CD296" s="37">
        <v>800</v>
      </c>
      <c r="CE296" s="37">
        <v>320</v>
      </c>
      <c r="CF296" s="37">
        <v>0</v>
      </c>
      <c r="CG296" s="59">
        <v>24320</v>
      </c>
      <c r="CH296" s="37">
        <v>10</v>
      </c>
      <c r="CI296" s="37">
        <v>15</v>
      </c>
      <c r="CJ296" s="37">
        <v>12</v>
      </c>
      <c r="CK296" s="37">
        <v>6</v>
      </c>
      <c r="CL296" s="37">
        <v>0</v>
      </c>
      <c r="CM296" s="37">
        <v>0</v>
      </c>
      <c r="CN296" s="59">
        <v>43</v>
      </c>
      <c r="CO296" s="59">
        <v>24363</v>
      </c>
      <c r="CP296" s="58"/>
      <c r="CQ296" s="3">
        <v>24363</v>
      </c>
    </row>
    <row r="297" spans="1:95" customFormat="1" x14ac:dyDescent="0.2">
      <c r="A297" s="209">
        <v>43297</v>
      </c>
      <c r="B297" s="33" t="s">
        <v>53</v>
      </c>
      <c r="C297" s="33" t="s">
        <v>54</v>
      </c>
      <c r="D297" s="43">
        <v>1</v>
      </c>
      <c r="E297" s="43">
        <v>0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0</v>
      </c>
      <c r="L297" s="43">
        <v>0</v>
      </c>
      <c r="M297" s="43">
        <v>0</v>
      </c>
      <c r="N297" s="43">
        <v>0</v>
      </c>
      <c r="O297" s="43">
        <v>0</v>
      </c>
      <c r="P297" s="47" t="s">
        <v>45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59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400</v>
      </c>
      <c r="AO297" s="37">
        <v>0</v>
      </c>
      <c r="AP297" s="37">
        <v>200</v>
      </c>
      <c r="AQ297" s="37">
        <v>0</v>
      </c>
      <c r="AR297" s="37">
        <v>0</v>
      </c>
      <c r="AS297" s="59">
        <v>600</v>
      </c>
      <c r="AT297" s="59">
        <v>600</v>
      </c>
      <c r="AU297" s="45"/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>
        <v>0</v>
      </c>
      <c r="BB297" s="37">
        <v>0</v>
      </c>
      <c r="BC297" s="37">
        <v>0</v>
      </c>
      <c r="BD297" s="37">
        <v>0</v>
      </c>
      <c r="BE297" s="37">
        <v>0</v>
      </c>
      <c r="BF297" s="37">
        <v>0</v>
      </c>
      <c r="BG297" s="37">
        <v>0</v>
      </c>
      <c r="BH297" s="37">
        <v>0</v>
      </c>
      <c r="BI297" s="37">
        <v>0</v>
      </c>
      <c r="BJ297" s="37">
        <v>0</v>
      </c>
      <c r="BK297" s="59">
        <v>0</v>
      </c>
      <c r="BL297" s="37">
        <v>0</v>
      </c>
      <c r="BM297" s="37">
        <v>0</v>
      </c>
      <c r="BN297" s="37">
        <v>0</v>
      </c>
      <c r="BO297" s="37">
        <v>0</v>
      </c>
      <c r="BP297" s="37">
        <v>0</v>
      </c>
      <c r="BQ297" s="37">
        <v>0</v>
      </c>
      <c r="BR297" s="37">
        <v>0</v>
      </c>
      <c r="BS297" s="37">
        <v>0</v>
      </c>
      <c r="BT297" s="37">
        <v>0</v>
      </c>
      <c r="BU297" s="37">
        <v>0</v>
      </c>
      <c r="BV297" s="37">
        <v>0</v>
      </c>
      <c r="BW297" s="59">
        <v>0</v>
      </c>
      <c r="BX297" s="59">
        <v>0</v>
      </c>
      <c r="BZ297" s="37">
        <v>0</v>
      </c>
      <c r="CA297" s="37">
        <v>0</v>
      </c>
      <c r="CB297" s="37">
        <v>0</v>
      </c>
      <c r="CC297" s="37">
        <v>0</v>
      </c>
      <c r="CD297" s="37">
        <v>0</v>
      </c>
      <c r="CE297" s="37">
        <v>0</v>
      </c>
      <c r="CF297" s="37">
        <v>0</v>
      </c>
      <c r="CG297" s="59">
        <v>0</v>
      </c>
      <c r="CH297" s="37">
        <v>0</v>
      </c>
      <c r="CI297" s="37">
        <v>0</v>
      </c>
      <c r="CJ297" s="37">
        <v>400</v>
      </c>
      <c r="CK297" s="37">
        <v>200</v>
      </c>
      <c r="CL297" s="37">
        <v>0</v>
      </c>
      <c r="CM297" s="37">
        <v>0</v>
      </c>
      <c r="CN297" s="59">
        <v>600</v>
      </c>
      <c r="CO297" s="59">
        <v>600</v>
      </c>
      <c r="CP297" s="58"/>
      <c r="CQ297" s="3">
        <v>600</v>
      </c>
    </row>
    <row r="298" spans="1:95" customFormat="1" x14ac:dyDescent="0.2">
      <c r="A298" s="209">
        <v>43297</v>
      </c>
      <c r="B298" s="33" t="s">
        <v>70</v>
      </c>
      <c r="C298" s="33" t="s">
        <v>90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1</v>
      </c>
      <c r="J298" s="43">
        <v>0</v>
      </c>
      <c r="K298" s="43">
        <v>0</v>
      </c>
      <c r="L298" s="43">
        <v>0</v>
      </c>
      <c r="M298" s="43">
        <v>0</v>
      </c>
      <c r="N298" s="43">
        <v>0</v>
      </c>
      <c r="O298" s="43">
        <v>0</v>
      </c>
      <c r="P298" s="47" t="s">
        <v>45</v>
      </c>
      <c r="R298" s="37">
        <v>0</v>
      </c>
      <c r="S298" s="37">
        <v>0</v>
      </c>
      <c r="T298" s="37">
        <v>600000</v>
      </c>
      <c r="U298" s="37">
        <v>0</v>
      </c>
      <c r="V298" s="37">
        <v>300000</v>
      </c>
      <c r="W298" s="37">
        <v>0</v>
      </c>
      <c r="X298" s="37">
        <v>40000</v>
      </c>
      <c r="Y298" s="37">
        <v>0</v>
      </c>
      <c r="Z298" s="37">
        <v>40000</v>
      </c>
      <c r="AA298" s="37">
        <v>0</v>
      </c>
      <c r="AB298" s="37">
        <v>30000</v>
      </c>
      <c r="AC298" s="37">
        <v>0</v>
      </c>
      <c r="AD298" s="37">
        <v>16000</v>
      </c>
      <c r="AE298" s="37">
        <v>0</v>
      </c>
      <c r="AF298" s="37">
        <v>0</v>
      </c>
      <c r="AG298" s="59">
        <v>1026000</v>
      </c>
      <c r="AH298" s="37">
        <v>1500</v>
      </c>
      <c r="AI298" s="37">
        <v>0</v>
      </c>
      <c r="AJ298" s="37">
        <v>0</v>
      </c>
      <c r="AK298" s="37">
        <v>0</v>
      </c>
      <c r="AL298" s="37">
        <v>1000</v>
      </c>
      <c r="AM298" s="37">
        <v>0</v>
      </c>
      <c r="AN298" s="37">
        <v>300</v>
      </c>
      <c r="AO298" s="37">
        <v>0</v>
      </c>
      <c r="AP298" s="37">
        <v>100</v>
      </c>
      <c r="AQ298" s="37">
        <v>0</v>
      </c>
      <c r="AR298" s="37">
        <v>0</v>
      </c>
      <c r="AS298" s="59">
        <v>2900</v>
      </c>
      <c r="AT298" s="59">
        <v>1028900</v>
      </c>
      <c r="AU298" s="45"/>
      <c r="AV298" s="37">
        <v>0</v>
      </c>
      <c r="AW298" s="37">
        <v>0</v>
      </c>
      <c r="AX298" s="37">
        <v>0</v>
      </c>
      <c r="AY298" s="37">
        <v>0</v>
      </c>
      <c r="AZ298" s="37">
        <v>0</v>
      </c>
      <c r="BA298" s="37">
        <v>0</v>
      </c>
      <c r="BB298" s="37">
        <v>0</v>
      </c>
      <c r="BC298" s="37">
        <v>0</v>
      </c>
      <c r="BD298" s="37">
        <v>0</v>
      </c>
      <c r="BE298" s="37">
        <v>0</v>
      </c>
      <c r="BF298" s="37">
        <v>0</v>
      </c>
      <c r="BG298" s="37">
        <v>0</v>
      </c>
      <c r="BH298" s="37">
        <v>0</v>
      </c>
      <c r="BI298" s="37">
        <v>0</v>
      </c>
      <c r="BJ298" s="37">
        <v>0</v>
      </c>
      <c r="BK298" s="59">
        <v>0</v>
      </c>
      <c r="BL298" s="37">
        <v>0</v>
      </c>
      <c r="BM298" s="37">
        <v>0</v>
      </c>
      <c r="BN298" s="37">
        <v>0</v>
      </c>
      <c r="BO298" s="37">
        <v>0</v>
      </c>
      <c r="BP298" s="37">
        <v>0</v>
      </c>
      <c r="BQ298" s="37">
        <v>0</v>
      </c>
      <c r="BR298" s="37">
        <v>0</v>
      </c>
      <c r="BS298" s="37">
        <v>0</v>
      </c>
      <c r="BT298" s="37">
        <v>0</v>
      </c>
      <c r="BU298" s="37">
        <v>0</v>
      </c>
      <c r="BV298" s="37">
        <v>0</v>
      </c>
      <c r="BW298" s="59">
        <v>0</v>
      </c>
      <c r="BX298" s="59">
        <v>0</v>
      </c>
      <c r="BZ298" s="37">
        <v>600000</v>
      </c>
      <c r="CA298" s="37">
        <v>300000</v>
      </c>
      <c r="CB298" s="37">
        <v>40000</v>
      </c>
      <c r="CC298" s="37">
        <v>40000</v>
      </c>
      <c r="CD298" s="37">
        <v>30000</v>
      </c>
      <c r="CE298" s="37">
        <v>16000</v>
      </c>
      <c r="CF298" s="37">
        <v>0</v>
      </c>
      <c r="CG298" s="59">
        <v>1026000</v>
      </c>
      <c r="CH298" s="37">
        <v>1500</v>
      </c>
      <c r="CI298" s="37">
        <v>1000</v>
      </c>
      <c r="CJ298" s="37">
        <v>300</v>
      </c>
      <c r="CK298" s="37">
        <v>100</v>
      </c>
      <c r="CL298" s="37">
        <v>0</v>
      </c>
      <c r="CM298" s="37">
        <v>0</v>
      </c>
      <c r="CN298" s="59">
        <v>2900</v>
      </c>
      <c r="CO298" s="59">
        <v>1028900</v>
      </c>
      <c r="CP298" s="58"/>
      <c r="CQ298" s="3">
        <v>1028900</v>
      </c>
    </row>
    <row r="299" spans="1:95" customFormat="1" x14ac:dyDescent="0.2">
      <c r="A299" s="209">
        <v>43297</v>
      </c>
      <c r="B299" s="33" t="s">
        <v>133</v>
      </c>
      <c r="C299" s="33" t="s">
        <v>90</v>
      </c>
      <c r="D299" s="43">
        <v>0</v>
      </c>
      <c r="E299" s="43">
        <v>0</v>
      </c>
      <c r="F299" s="43">
        <v>0</v>
      </c>
      <c r="G299" s="43">
        <v>0</v>
      </c>
      <c r="H299" s="43">
        <v>0</v>
      </c>
      <c r="I299" s="43">
        <v>1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47" t="s">
        <v>45</v>
      </c>
      <c r="R299" s="37">
        <v>0</v>
      </c>
      <c r="S299" s="37">
        <v>0</v>
      </c>
      <c r="T299" s="37">
        <v>400000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  <c r="AE299" s="37">
        <v>0</v>
      </c>
      <c r="AF299" s="37">
        <v>0</v>
      </c>
      <c r="AG299" s="59">
        <v>400000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>
        <v>0</v>
      </c>
      <c r="AN299" s="37">
        <v>0</v>
      </c>
      <c r="AO299" s="37">
        <v>0</v>
      </c>
      <c r="AP299" s="37">
        <v>0</v>
      </c>
      <c r="AQ299" s="37">
        <v>0</v>
      </c>
      <c r="AR299" s="37">
        <v>0</v>
      </c>
      <c r="AS299" s="59">
        <v>0</v>
      </c>
      <c r="AT299" s="59">
        <v>400000</v>
      </c>
      <c r="AU299" s="45"/>
      <c r="AV299" s="37">
        <v>0</v>
      </c>
      <c r="AW299" s="37">
        <v>0</v>
      </c>
      <c r="AX299" s="37">
        <v>0</v>
      </c>
      <c r="AY299" s="37">
        <v>0</v>
      </c>
      <c r="AZ299" s="37">
        <v>0</v>
      </c>
      <c r="BA299" s="37">
        <v>0</v>
      </c>
      <c r="BB299" s="37">
        <v>0</v>
      </c>
      <c r="BC299" s="37">
        <v>0</v>
      </c>
      <c r="BD299" s="37">
        <v>0</v>
      </c>
      <c r="BE299" s="37">
        <v>0</v>
      </c>
      <c r="BF299" s="37">
        <v>0</v>
      </c>
      <c r="BG299" s="37">
        <v>0</v>
      </c>
      <c r="BH299" s="37">
        <v>0</v>
      </c>
      <c r="BI299" s="37">
        <v>0</v>
      </c>
      <c r="BJ299" s="37">
        <v>0</v>
      </c>
      <c r="BK299" s="59">
        <v>0</v>
      </c>
      <c r="BL299" s="37">
        <v>0</v>
      </c>
      <c r="BM299" s="37">
        <v>0</v>
      </c>
      <c r="BN299" s="37">
        <v>0</v>
      </c>
      <c r="BO299" s="37">
        <v>0</v>
      </c>
      <c r="BP299" s="37">
        <v>0</v>
      </c>
      <c r="BQ299" s="37">
        <v>0</v>
      </c>
      <c r="BR299" s="37">
        <v>0</v>
      </c>
      <c r="BS299" s="37">
        <v>0</v>
      </c>
      <c r="BT299" s="37">
        <v>0</v>
      </c>
      <c r="BU299" s="37">
        <v>0</v>
      </c>
      <c r="BV299" s="37">
        <v>0</v>
      </c>
      <c r="BW299" s="59">
        <v>0</v>
      </c>
      <c r="BX299" s="59">
        <v>0</v>
      </c>
      <c r="BZ299" s="37">
        <v>400000</v>
      </c>
      <c r="CA299" s="37">
        <v>0</v>
      </c>
      <c r="CB299" s="37">
        <v>0</v>
      </c>
      <c r="CC299" s="37">
        <v>0</v>
      </c>
      <c r="CD299" s="37">
        <v>0</v>
      </c>
      <c r="CE299" s="37">
        <v>0</v>
      </c>
      <c r="CF299" s="37">
        <v>0</v>
      </c>
      <c r="CG299" s="59">
        <v>400000</v>
      </c>
      <c r="CH299" s="37">
        <v>0</v>
      </c>
      <c r="CI299" s="37">
        <v>0</v>
      </c>
      <c r="CJ299" s="37">
        <v>0</v>
      </c>
      <c r="CK299" s="37">
        <v>0</v>
      </c>
      <c r="CL299" s="37">
        <v>0</v>
      </c>
      <c r="CM299" s="37">
        <v>0</v>
      </c>
      <c r="CN299" s="59">
        <v>0</v>
      </c>
      <c r="CO299" s="59">
        <v>400000</v>
      </c>
      <c r="CP299" s="58"/>
      <c r="CQ299" s="3">
        <v>400000</v>
      </c>
    </row>
    <row r="300" spans="1:95" customFormat="1" x14ac:dyDescent="0.2">
      <c r="A300" s="209">
        <v>43298</v>
      </c>
      <c r="B300" s="33" t="s">
        <v>55</v>
      </c>
      <c r="C300" s="33" t="s">
        <v>56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47">
        <v>0</v>
      </c>
      <c r="R300" s="37">
        <v>0</v>
      </c>
      <c r="S300" s="37">
        <v>0</v>
      </c>
      <c r="T300" s="37">
        <v>4000</v>
      </c>
      <c r="U300" s="37">
        <v>0</v>
      </c>
      <c r="V300" s="37">
        <v>2000</v>
      </c>
      <c r="W300" s="37">
        <v>0</v>
      </c>
      <c r="X300" s="37">
        <v>0</v>
      </c>
      <c r="Y300" s="37">
        <v>0</v>
      </c>
      <c r="Z300" s="37">
        <v>400</v>
      </c>
      <c r="AA300" s="37">
        <v>0</v>
      </c>
      <c r="AB300" s="37">
        <v>200</v>
      </c>
      <c r="AC300" s="37">
        <v>0</v>
      </c>
      <c r="AD300" s="37">
        <v>80</v>
      </c>
      <c r="AE300" s="37">
        <v>0</v>
      </c>
      <c r="AF300" s="37">
        <v>0</v>
      </c>
      <c r="AG300" s="59">
        <v>6680</v>
      </c>
      <c r="AH300" s="37">
        <v>0</v>
      </c>
      <c r="AI300" s="37">
        <v>0</v>
      </c>
      <c r="AJ300" s="37">
        <v>0</v>
      </c>
      <c r="AK300" s="37">
        <v>0</v>
      </c>
      <c r="AL300" s="37">
        <v>5</v>
      </c>
      <c r="AM300" s="37">
        <v>0</v>
      </c>
      <c r="AN300" s="37">
        <v>4</v>
      </c>
      <c r="AO300" s="37">
        <v>0</v>
      </c>
      <c r="AP300" s="37">
        <v>2</v>
      </c>
      <c r="AQ300" s="37">
        <v>0</v>
      </c>
      <c r="AR300" s="37">
        <v>0</v>
      </c>
      <c r="AS300" s="59">
        <v>11</v>
      </c>
      <c r="AT300" s="59">
        <v>6691</v>
      </c>
      <c r="AU300" s="45"/>
      <c r="AV300" s="37">
        <v>0</v>
      </c>
      <c r="AW300" s="37">
        <v>0</v>
      </c>
      <c r="AX300" s="37">
        <v>0</v>
      </c>
      <c r="AY300" s="37">
        <v>0</v>
      </c>
      <c r="AZ300" s="37">
        <v>0</v>
      </c>
      <c r="BA300" s="37">
        <v>0</v>
      </c>
      <c r="BB300" s="37">
        <v>0</v>
      </c>
      <c r="BC300" s="37">
        <v>0</v>
      </c>
      <c r="BD300" s="37">
        <v>0</v>
      </c>
      <c r="BE300" s="37">
        <v>0</v>
      </c>
      <c r="BF300" s="37">
        <v>0</v>
      </c>
      <c r="BG300" s="37">
        <v>0</v>
      </c>
      <c r="BH300" s="37">
        <v>0</v>
      </c>
      <c r="BI300" s="37">
        <v>0</v>
      </c>
      <c r="BJ300" s="37">
        <v>0</v>
      </c>
      <c r="BK300" s="59">
        <v>0</v>
      </c>
      <c r="BL300" s="37">
        <v>0</v>
      </c>
      <c r="BM300" s="37">
        <v>0</v>
      </c>
      <c r="BN300" s="37">
        <v>0</v>
      </c>
      <c r="BO300" s="37">
        <v>0</v>
      </c>
      <c r="BP300" s="37">
        <v>0</v>
      </c>
      <c r="BQ300" s="37">
        <v>0</v>
      </c>
      <c r="BR300" s="37">
        <v>0</v>
      </c>
      <c r="BS300" s="37">
        <v>0</v>
      </c>
      <c r="BT300" s="37">
        <v>0</v>
      </c>
      <c r="BU300" s="37">
        <v>0</v>
      </c>
      <c r="BV300" s="37">
        <v>0</v>
      </c>
      <c r="BW300" s="59">
        <v>0</v>
      </c>
      <c r="BX300" s="59">
        <v>0</v>
      </c>
      <c r="BZ300" s="37">
        <v>4000</v>
      </c>
      <c r="CA300" s="37">
        <v>2000</v>
      </c>
      <c r="CB300" s="37">
        <v>0</v>
      </c>
      <c r="CC300" s="37">
        <v>400</v>
      </c>
      <c r="CD300" s="37">
        <v>200</v>
      </c>
      <c r="CE300" s="37">
        <v>80</v>
      </c>
      <c r="CF300" s="37">
        <v>0</v>
      </c>
      <c r="CG300" s="59">
        <v>6680</v>
      </c>
      <c r="CH300" s="37">
        <v>0</v>
      </c>
      <c r="CI300" s="37">
        <v>5</v>
      </c>
      <c r="CJ300" s="37">
        <v>4</v>
      </c>
      <c r="CK300" s="37">
        <v>2</v>
      </c>
      <c r="CL300" s="37">
        <v>0</v>
      </c>
      <c r="CM300" s="37">
        <v>0</v>
      </c>
      <c r="CN300" s="59">
        <v>11</v>
      </c>
      <c r="CO300" s="59">
        <v>6691</v>
      </c>
      <c r="CP300" s="58"/>
      <c r="CQ300" s="3">
        <v>6691</v>
      </c>
    </row>
    <row r="301" spans="1:95" customFormat="1" x14ac:dyDescent="0.2">
      <c r="A301" s="209">
        <v>43298</v>
      </c>
      <c r="B301" s="33" t="s">
        <v>68</v>
      </c>
      <c r="C301" s="33" t="s">
        <v>115</v>
      </c>
      <c r="D301" s="43">
        <v>0</v>
      </c>
      <c r="E301" s="43">
        <v>0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1</v>
      </c>
      <c r="O301" s="43">
        <v>0</v>
      </c>
      <c r="P301" s="47" t="s">
        <v>45</v>
      </c>
      <c r="R301" s="37">
        <v>0</v>
      </c>
      <c r="S301" s="37">
        <v>0</v>
      </c>
      <c r="T301" s="37">
        <v>600000</v>
      </c>
      <c r="U301" s="37">
        <v>0</v>
      </c>
      <c r="V301" s="37">
        <v>200000</v>
      </c>
      <c r="W301" s="37">
        <v>0</v>
      </c>
      <c r="X301" s="37">
        <v>0</v>
      </c>
      <c r="Y301" s="37">
        <v>0</v>
      </c>
      <c r="Z301" s="37">
        <v>20000</v>
      </c>
      <c r="AA301" s="37">
        <v>0</v>
      </c>
      <c r="AB301" s="37">
        <v>75000</v>
      </c>
      <c r="AC301" s="37">
        <v>0</v>
      </c>
      <c r="AD301" s="37">
        <v>20000</v>
      </c>
      <c r="AE301" s="37">
        <v>0</v>
      </c>
      <c r="AF301" s="37">
        <v>0</v>
      </c>
      <c r="AG301" s="59">
        <v>915000</v>
      </c>
      <c r="AH301" s="37">
        <v>0</v>
      </c>
      <c r="AI301" s="37">
        <v>0</v>
      </c>
      <c r="AJ301" s="37">
        <v>0</v>
      </c>
      <c r="AK301" s="37">
        <v>0</v>
      </c>
      <c r="AL301" s="37">
        <v>1000</v>
      </c>
      <c r="AM301" s="37">
        <v>0</v>
      </c>
      <c r="AN301" s="37">
        <v>600</v>
      </c>
      <c r="AO301" s="37">
        <v>0</v>
      </c>
      <c r="AP301" s="37">
        <v>100</v>
      </c>
      <c r="AQ301" s="37">
        <v>0</v>
      </c>
      <c r="AR301" s="37">
        <v>0</v>
      </c>
      <c r="AS301" s="59">
        <v>1700</v>
      </c>
      <c r="AT301" s="59">
        <v>916700</v>
      </c>
      <c r="AU301" s="45"/>
      <c r="AV301" s="37">
        <v>0</v>
      </c>
      <c r="AW301" s="37">
        <v>0</v>
      </c>
      <c r="AX301" s="37">
        <v>0</v>
      </c>
      <c r="AY301" s="37">
        <v>0</v>
      </c>
      <c r="AZ301" s="37">
        <v>0</v>
      </c>
      <c r="BA301" s="37">
        <v>0</v>
      </c>
      <c r="BB301" s="37">
        <v>0</v>
      </c>
      <c r="BC301" s="37">
        <v>0</v>
      </c>
      <c r="BD301" s="37">
        <v>0</v>
      </c>
      <c r="BE301" s="37">
        <v>0</v>
      </c>
      <c r="BF301" s="37">
        <v>0</v>
      </c>
      <c r="BG301" s="37">
        <v>0</v>
      </c>
      <c r="BH301" s="37">
        <v>0</v>
      </c>
      <c r="BI301" s="37">
        <v>0</v>
      </c>
      <c r="BJ301" s="37">
        <v>0</v>
      </c>
      <c r="BK301" s="59">
        <v>0</v>
      </c>
      <c r="BL301" s="37">
        <v>0</v>
      </c>
      <c r="BM301" s="37">
        <v>0</v>
      </c>
      <c r="BN301" s="37">
        <v>0</v>
      </c>
      <c r="BO301" s="37">
        <v>0</v>
      </c>
      <c r="BP301" s="37">
        <v>0</v>
      </c>
      <c r="BQ301" s="37">
        <v>0</v>
      </c>
      <c r="BR301" s="37">
        <v>0</v>
      </c>
      <c r="BS301" s="37">
        <v>0</v>
      </c>
      <c r="BT301" s="37">
        <v>0</v>
      </c>
      <c r="BU301" s="37">
        <v>0</v>
      </c>
      <c r="BV301" s="37">
        <v>0</v>
      </c>
      <c r="BW301" s="59">
        <v>0</v>
      </c>
      <c r="BX301" s="59">
        <v>0</v>
      </c>
      <c r="BZ301" s="37">
        <v>600000</v>
      </c>
      <c r="CA301" s="37">
        <v>200000</v>
      </c>
      <c r="CB301" s="37">
        <v>0</v>
      </c>
      <c r="CC301" s="37">
        <v>20000</v>
      </c>
      <c r="CD301" s="37">
        <v>75000</v>
      </c>
      <c r="CE301" s="37">
        <v>20000</v>
      </c>
      <c r="CF301" s="37">
        <v>0</v>
      </c>
      <c r="CG301" s="59">
        <v>915000</v>
      </c>
      <c r="CH301" s="37">
        <v>0</v>
      </c>
      <c r="CI301" s="37">
        <v>1000</v>
      </c>
      <c r="CJ301" s="37">
        <v>600</v>
      </c>
      <c r="CK301" s="37">
        <v>100</v>
      </c>
      <c r="CL301" s="37">
        <v>0</v>
      </c>
      <c r="CM301" s="37">
        <v>0</v>
      </c>
      <c r="CN301" s="59">
        <v>1700</v>
      </c>
      <c r="CO301" s="59">
        <v>916700</v>
      </c>
      <c r="CP301" s="58"/>
      <c r="CQ301" s="3">
        <v>916700</v>
      </c>
    </row>
    <row r="302" spans="1:95" customFormat="1" x14ac:dyDescent="0.2">
      <c r="A302" s="209">
        <v>43298</v>
      </c>
      <c r="B302" s="33" t="s">
        <v>134</v>
      </c>
      <c r="C302" s="33" t="s">
        <v>115</v>
      </c>
      <c r="D302" s="43">
        <v>0</v>
      </c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1</v>
      </c>
      <c r="O302" s="43">
        <v>0</v>
      </c>
      <c r="P302" s="47" t="s">
        <v>45</v>
      </c>
      <c r="R302" s="37">
        <v>0</v>
      </c>
      <c r="S302" s="37">
        <v>0</v>
      </c>
      <c r="T302" s="37">
        <v>400000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</v>
      </c>
      <c r="AG302" s="59">
        <v>400000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>
        <v>0</v>
      </c>
      <c r="AN302" s="37">
        <v>0</v>
      </c>
      <c r="AO302" s="37">
        <v>0</v>
      </c>
      <c r="AP302" s="37">
        <v>0</v>
      </c>
      <c r="AQ302" s="37">
        <v>0</v>
      </c>
      <c r="AR302" s="37">
        <v>0</v>
      </c>
      <c r="AS302" s="59">
        <v>0</v>
      </c>
      <c r="AT302" s="59">
        <v>400000</v>
      </c>
      <c r="AU302" s="45"/>
      <c r="AV302" s="37">
        <v>0</v>
      </c>
      <c r="AW302" s="37">
        <v>0</v>
      </c>
      <c r="AX302" s="37">
        <v>0</v>
      </c>
      <c r="AY302" s="37">
        <v>0</v>
      </c>
      <c r="AZ302" s="37">
        <v>0</v>
      </c>
      <c r="BA302" s="37">
        <v>0</v>
      </c>
      <c r="BB302" s="37">
        <v>0</v>
      </c>
      <c r="BC302" s="37">
        <v>0</v>
      </c>
      <c r="BD302" s="37">
        <v>0</v>
      </c>
      <c r="BE302" s="37">
        <v>0</v>
      </c>
      <c r="BF302" s="37">
        <v>0</v>
      </c>
      <c r="BG302" s="37">
        <v>0</v>
      </c>
      <c r="BH302" s="37">
        <v>0</v>
      </c>
      <c r="BI302" s="37">
        <v>0</v>
      </c>
      <c r="BJ302" s="37">
        <v>0</v>
      </c>
      <c r="BK302" s="59">
        <v>0</v>
      </c>
      <c r="BL302" s="37">
        <v>0</v>
      </c>
      <c r="BM302" s="37">
        <v>0</v>
      </c>
      <c r="BN302" s="37">
        <v>0</v>
      </c>
      <c r="BO302" s="37">
        <v>0</v>
      </c>
      <c r="BP302" s="37">
        <v>0</v>
      </c>
      <c r="BQ302" s="37">
        <v>0</v>
      </c>
      <c r="BR302" s="37">
        <v>0</v>
      </c>
      <c r="BS302" s="37">
        <v>0</v>
      </c>
      <c r="BT302" s="37">
        <v>0</v>
      </c>
      <c r="BU302" s="37">
        <v>0</v>
      </c>
      <c r="BV302" s="37">
        <v>0</v>
      </c>
      <c r="BW302" s="59">
        <v>0</v>
      </c>
      <c r="BX302" s="59">
        <v>0</v>
      </c>
      <c r="BZ302" s="37">
        <v>400000</v>
      </c>
      <c r="CA302" s="37">
        <v>0</v>
      </c>
      <c r="CB302" s="37">
        <v>0</v>
      </c>
      <c r="CC302" s="37">
        <v>0</v>
      </c>
      <c r="CD302" s="37">
        <v>0</v>
      </c>
      <c r="CE302" s="37">
        <v>0</v>
      </c>
      <c r="CF302" s="37">
        <v>0</v>
      </c>
      <c r="CG302" s="59">
        <v>400000</v>
      </c>
      <c r="CH302" s="37">
        <v>0</v>
      </c>
      <c r="CI302" s="37">
        <v>0</v>
      </c>
      <c r="CJ302" s="37">
        <v>0</v>
      </c>
      <c r="CK302" s="37">
        <v>0</v>
      </c>
      <c r="CL302" s="37">
        <v>0</v>
      </c>
      <c r="CM302" s="37">
        <v>0</v>
      </c>
      <c r="CN302" s="59">
        <v>0</v>
      </c>
      <c r="CO302" s="59">
        <v>400000</v>
      </c>
      <c r="CP302" s="58"/>
      <c r="CQ302" s="3">
        <v>400000</v>
      </c>
    </row>
    <row r="303" spans="1:95" customFormat="1" x14ac:dyDescent="0.2">
      <c r="A303" s="209">
        <v>43298</v>
      </c>
      <c r="B303" s="33" t="s">
        <v>53</v>
      </c>
      <c r="C303" s="33" t="s">
        <v>54</v>
      </c>
      <c r="D303" s="43">
        <v>1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7" t="s">
        <v>45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  <c r="AE303" s="37">
        <v>0</v>
      </c>
      <c r="AF303" s="37">
        <v>0</v>
      </c>
      <c r="AG303" s="59">
        <v>0</v>
      </c>
      <c r="AH303" s="37">
        <v>0</v>
      </c>
      <c r="AI303" s="37">
        <v>0</v>
      </c>
      <c r="AJ303" s="37">
        <v>0</v>
      </c>
      <c r="AK303" s="37">
        <v>0</v>
      </c>
      <c r="AL303" s="37">
        <v>0</v>
      </c>
      <c r="AM303" s="37">
        <v>0</v>
      </c>
      <c r="AN303" s="37">
        <v>800</v>
      </c>
      <c r="AO303" s="37">
        <v>0</v>
      </c>
      <c r="AP303" s="37">
        <v>750</v>
      </c>
      <c r="AQ303" s="37">
        <v>0</v>
      </c>
      <c r="AR303" s="37">
        <v>0</v>
      </c>
      <c r="AS303" s="59">
        <v>1550</v>
      </c>
      <c r="AT303" s="59">
        <v>1550</v>
      </c>
      <c r="AU303" s="45"/>
      <c r="AV303" s="37">
        <v>0</v>
      </c>
      <c r="AW303" s="37">
        <v>0</v>
      </c>
      <c r="AX303" s="37">
        <v>0</v>
      </c>
      <c r="AY303" s="37">
        <v>0</v>
      </c>
      <c r="AZ303" s="37">
        <v>0</v>
      </c>
      <c r="BA303" s="37">
        <v>0</v>
      </c>
      <c r="BB303" s="37">
        <v>0</v>
      </c>
      <c r="BC303" s="37">
        <v>0</v>
      </c>
      <c r="BD303" s="37">
        <v>0</v>
      </c>
      <c r="BE303" s="37">
        <v>0</v>
      </c>
      <c r="BF303" s="37">
        <v>0</v>
      </c>
      <c r="BG303" s="37">
        <v>0</v>
      </c>
      <c r="BH303" s="37">
        <v>0</v>
      </c>
      <c r="BI303" s="37">
        <v>0</v>
      </c>
      <c r="BJ303" s="37">
        <v>0</v>
      </c>
      <c r="BK303" s="59">
        <v>0</v>
      </c>
      <c r="BL303" s="37">
        <v>0</v>
      </c>
      <c r="BM303" s="37">
        <v>0</v>
      </c>
      <c r="BN303" s="37">
        <v>0</v>
      </c>
      <c r="BO303" s="37">
        <v>0</v>
      </c>
      <c r="BP303" s="37">
        <v>0</v>
      </c>
      <c r="BQ303" s="37">
        <v>0</v>
      </c>
      <c r="BR303" s="37">
        <v>0</v>
      </c>
      <c r="BS303" s="37">
        <v>0</v>
      </c>
      <c r="BT303" s="37">
        <v>0</v>
      </c>
      <c r="BU303" s="37">
        <v>0</v>
      </c>
      <c r="BV303" s="37">
        <v>0</v>
      </c>
      <c r="BW303" s="59">
        <v>0</v>
      </c>
      <c r="BX303" s="59">
        <v>0</v>
      </c>
      <c r="BZ303" s="37">
        <v>0</v>
      </c>
      <c r="CA303" s="37">
        <v>0</v>
      </c>
      <c r="CB303" s="37">
        <v>0</v>
      </c>
      <c r="CC303" s="37">
        <v>0</v>
      </c>
      <c r="CD303" s="37">
        <v>0</v>
      </c>
      <c r="CE303" s="37">
        <v>0</v>
      </c>
      <c r="CF303" s="37">
        <v>0</v>
      </c>
      <c r="CG303" s="59">
        <v>0</v>
      </c>
      <c r="CH303" s="37">
        <v>0</v>
      </c>
      <c r="CI303" s="37">
        <v>0</v>
      </c>
      <c r="CJ303" s="37">
        <v>800</v>
      </c>
      <c r="CK303" s="37">
        <v>750</v>
      </c>
      <c r="CL303" s="37">
        <v>0</v>
      </c>
      <c r="CM303" s="37">
        <v>0</v>
      </c>
      <c r="CN303" s="59">
        <v>1550</v>
      </c>
      <c r="CO303" s="59">
        <v>1550</v>
      </c>
      <c r="CP303" s="58"/>
      <c r="CQ303" s="3">
        <v>1550</v>
      </c>
    </row>
    <row r="304" spans="1:95" customFormat="1" x14ac:dyDescent="0.2">
      <c r="A304" s="209">
        <v>43299</v>
      </c>
      <c r="B304" s="33" t="s">
        <v>55</v>
      </c>
      <c r="C304" s="33" t="s">
        <v>56</v>
      </c>
      <c r="D304" s="43">
        <v>0</v>
      </c>
      <c r="E304" s="43">
        <v>0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  <c r="L304" s="43">
        <v>0</v>
      </c>
      <c r="M304" s="43">
        <v>0</v>
      </c>
      <c r="N304" s="43">
        <v>0</v>
      </c>
      <c r="O304" s="43">
        <v>0</v>
      </c>
      <c r="P304" s="47">
        <v>0</v>
      </c>
      <c r="R304" s="37">
        <v>0</v>
      </c>
      <c r="S304" s="37">
        <v>0</v>
      </c>
      <c r="T304" s="37">
        <v>4000</v>
      </c>
      <c r="U304" s="37">
        <v>0</v>
      </c>
      <c r="V304" s="37">
        <v>2000</v>
      </c>
      <c r="W304" s="37">
        <v>0</v>
      </c>
      <c r="X304" s="37">
        <v>0</v>
      </c>
      <c r="Y304" s="37">
        <v>0</v>
      </c>
      <c r="Z304" s="37">
        <v>400</v>
      </c>
      <c r="AA304" s="37">
        <v>0</v>
      </c>
      <c r="AB304" s="37">
        <v>200</v>
      </c>
      <c r="AC304" s="37">
        <v>0</v>
      </c>
      <c r="AD304" s="37">
        <v>0</v>
      </c>
      <c r="AE304" s="37">
        <v>0</v>
      </c>
      <c r="AF304" s="37">
        <v>0</v>
      </c>
      <c r="AG304" s="59">
        <v>6600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0</v>
      </c>
      <c r="AN304" s="37">
        <v>4</v>
      </c>
      <c r="AO304" s="37">
        <v>0</v>
      </c>
      <c r="AP304" s="37">
        <v>2</v>
      </c>
      <c r="AQ304" s="37">
        <v>0</v>
      </c>
      <c r="AR304" s="37">
        <v>0</v>
      </c>
      <c r="AS304" s="59">
        <v>6</v>
      </c>
      <c r="AT304" s="59">
        <v>6606</v>
      </c>
      <c r="AU304" s="45"/>
      <c r="AV304" s="37">
        <v>0</v>
      </c>
      <c r="AW304" s="37">
        <v>0</v>
      </c>
      <c r="AX304" s="37">
        <v>0</v>
      </c>
      <c r="AY304" s="37">
        <v>0</v>
      </c>
      <c r="AZ304" s="37">
        <v>0</v>
      </c>
      <c r="BA304" s="37">
        <v>0</v>
      </c>
      <c r="BB304" s="37">
        <v>0</v>
      </c>
      <c r="BC304" s="37">
        <v>0</v>
      </c>
      <c r="BD304" s="37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59">
        <v>0</v>
      </c>
      <c r="BL304" s="37">
        <v>0</v>
      </c>
      <c r="BM304" s="37">
        <v>0</v>
      </c>
      <c r="BN304" s="37">
        <v>0</v>
      </c>
      <c r="BO304" s="37">
        <v>0</v>
      </c>
      <c r="BP304" s="37">
        <v>0</v>
      </c>
      <c r="BQ304" s="37">
        <v>0</v>
      </c>
      <c r="BR304" s="37">
        <v>0</v>
      </c>
      <c r="BS304" s="37">
        <v>0</v>
      </c>
      <c r="BT304" s="37">
        <v>0</v>
      </c>
      <c r="BU304" s="37">
        <v>0</v>
      </c>
      <c r="BV304" s="37">
        <v>0</v>
      </c>
      <c r="BW304" s="59">
        <v>0</v>
      </c>
      <c r="BX304" s="59"/>
      <c r="BZ304" s="37">
        <v>4000</v>
      </c>
      <c r="CA304" s="37">
        <v>2000</v>
      </c>
      <c r="CB304" s="37">
        <v>0</v>
      </c>
      <c r="CC304" s="37">
        <v>400</v>
      </c>
      <c r="CD304" s="37">
        <v>200</v>
      </c>
      <c r="CE304" s="37">
        <v>0</v>
      </c>
      <c r="CF304" s="37">
        <v>0</v>
      </c>
      <c r="CG304" s="59">
        <v>6600</v>
      </c>
      <c r="CH304" s="37">
        <v>0</v>
      </c>
      <c r="CI304" s="37">
        <v>0</v>
      </c>
      <c r="CJ304" s="37">
        <v>4</v>
      </c>
      <c r="CK304" s="37">
        <v>2</v>
      </c>
      <c r="CL304" s="37">
        <v>0</v>
      </c>
      <c r="CM304" s="37">
        <v>0</v>
      </c>
      <c r="CN304" s="59">
        <v>6</v>
      </c>
      <c r="CO304" s="59">
        <v>6606</v>
      </c>
      <c r="CP304" s="58"/>
      <c r="CQ304" s="3">
        <v>6606</v>
      </c>
    </row>
    <row r="305" spans="1:95" customFormat="1" x14ac:dyDescent="0.2">
      <c r="A305" s="209">
        <v>43299</v>
      </c>
      <c r="B305" s="33" t="s">
        <v>53</v>
      </c>
      <c r="C305" s="33" t="s">
        <v>84</v>
      </c>
      <c r="D305" s="43">
        <v>0</v>
      </c>
      <c r="E305" s="43">
        <v>1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0</v>
      </c>
      <c r="L305" s="43">
        <v>0</v>
      </c>
      <c r="M305" s="43">
        <v>0</v>
      </c>
      <c r="N305" s="43">
        <v>0</v>
      </c>
      <c r="O305" s="43">
        <v>0</v>
      </c>
      <c r="P305" s="47" t="s">
        <v>45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  <c r="AE305" s="37">
        <v>0</v>
      </c>
      <c r="AF305" s="37">
        <v>0</v>
      </c>
      <c r="AG305" s="59">
        <v>0</v>
      </c>
      <c r="AH305" s="37">
        <v>0</v>
      </c>
      <c r="AI305" s="37">
        <v>6250</v>
      </c>
      <c r="AJ305" s="37">
        <v>0</v>
      </c>
      <c r="AK305" s="37">
        <v>0</v>
      </c>
      <c r="AL305" s="37">
        <v>0</v>
      </c>
      <c r="AM305" s="37">
        <v>0</v>
      </c>
      <c r="AN305" s="37">
        <v>0</v>
      </c>
      <c r="AO305" s="37">
        <v>0</v>
      </c>
      <c r="AP305" s="37">
        <v>0</v>
      </c>
      <c r="AQ305" s="37">
        <v>0</v>
      </c>
      <c r="AR305" s="37">
        <v>0</v>
      </c>
      <c r="AS305" s="59">
        <v>6250</v>
      </c>
      <c r="AT305" s="59">
        <v>6250</v>
      </c>
      <c r="AU305" s="45"/>
      <c r="AV305" s="37">
        <v>0</v>
      </c>
      <c r="AW305" s="37">
        <v>0</v>
      </c>
      <c r="AX305" s="37">
        <v>0</v>
      </c>
      <c r="AY305" s="37">
        <v>0</v>
      </c>
      <c r="AZ305" s="37">
        <v>0</v>
      </c>
      <c r="BA305" s="37">
        <v>0</v>
      </c>
      <c r="BB305" s="37">
        <v>0</v>
      </c>
      <c r="BC305" s="37">
        <v>0</v>
      </c>
      <c r="BD305" s="37">
        <v>0</v>
      </c>
      <c r="BE305" s="37">
        <v>0</v>
      </c>
      <c r="BF305" s="37">
        <v>0</v>
      </c>
      <c r="BG305" s="37">
        <v>0</v>
      </c>
      <c r="BH305" s="37">
        <v>0</v>
      </c>
      <c r="BI305" s="37">
        <v>0</v>
      </c>
      <c r="BJ305" s="37">
        <v>0</v>
      </c>
      <c r="BK305" s="59">
        <v>0</v>
      </c>
      <c r="BL305" s="37">
        <v>0</v>
      </c>
      <c r="BM305" s="37">
        <v>0</v>
      </c>
      <c r="BN305" s="37">
        <v>0</v>
      </c>
      <c r="BO305" s="37">
        <v>0</v>
      </c>
      <c r="BP305" s="37">
        <v>0</v>
      </c>
      <c r="BQ305" s="37">
        <v>0</v>
      </c>
      <c r="BR305" s="37">
        <v>0</v>
      </c>
      <c r="BS305" s="37">
        <v>0</v>
      </c>
      <c r="BT305" s="37">
        <v>0</v>
      </c>
      <c r="BU305" s="37">
        <v>0</v>
      </c>
      <c r="BV305" s="37">
        <v>0</v>
      </c>
      <c r="BW305" s="59">
        <v>0</v>
      </c>
      <c r="BX305" s="59">
        <v>0</v>
      </c>
      <c r="BZ305" s="37">
        <v>0</v>
      </c>
      <c r="CA305" s="37">
        <v>0</v>
      </c>
      <c r="CB305" s="37">
        <v>0</v>
      </c>
      <c r="CC305" s="37">
        <v>0</v>
      </c>
      <c r="CD305" s="37">
        <v>0</v>
      </c>
      <c r="CE305" s="37">
        <v>0</v>
      </c>
      <c r="CF305" s="37">
        <v>0</v>
      </c>
      <c r="CG305" s="59">
        <v>0</v>
      </c>
      <c r="CH305" s="37">
        <v>6250</v>
      </c>
      <c r="CI305" s="37">
        <v>0</v>
      </c>
      <c r="CJ305" s="37">
        <v>0</v>
      </c>
      <c r="CK305" s="37">
        <v>0</v>
      </c>
      <c r="CL305" s="37">
        <v>0</v>
      </c>
      <c r="CM305" s="37">
        <v>0</v>
      </c>
      <c r="CN305" s="59">
        <v>6250</v>
      </c>
      <c r="CO305" s="59">
        <v>6250</v>
      </c>
      <c r="CP305" s="58"/>
      <c r="CQ305" s="3">
        <v>6250</v>
      </c>
    </row>
    <row r="306" spans="1:95" customFormat="1" x14ac:dyDescent="0.2">
      <c r="A306" s="209">
        <v>43300</v>
      </c>
      <c r="B306" s="33" t="s">
        <v>55</v>
      </c>
      <c r="C306" s="33" t="s">
        <v>56</v>
      </c>
      <c r="D306" s="43">
        <v>0</v>
      </c>
      <c r="E306" s="43">
        <v>0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0</v>
      </c>
      <c r="L306" s="43">
        <v>0</v>
      </c>
      <c r="M306" s="43">
        <v>0</v>
      </c>
      <c r="N306" s="43">
        <v>0</v>
      </c>
      <c r="O306" s="43">
        <v>0</v>
      </c>
      <c r="P306" s="47">
        <v>0</v>
      </c>
      <c r="R306" s="37">
        <v>0</v>
      </c>
      <c r="S306" s="37">
        <v>0</v>
      </c>
      <c r="T306" s="37">
        <v>4000</v>
      </c>
      <c r="U306" s="37">
        <v>0</v>
      </c>
      <c r="V306" s="37">
        <v>2000</v>
      </c>
      <c r="W306" s="37">
        <v>0</v>
      </c>
      <c r="X306" s="37">
        <v>0</v>
      </c>
      <c r="Y306" s="37">
        <v>0</v>
      </c>
      <c r="Z306" s="37">
        <v>400</v>
      </c>
      <c r="AA306" s="37">
        <v>0</v>
      </c>
      <c r="AB306" s="37">
        <v>200</v>
      </c>
      <c r="AC306" s="37">
        <v>0</v>
      </c>
      <c r="AD306" s="37">
        <v>80</v>
      </c>
      <c r="AE306" s="37">
        <v>0</v>
      </c>
      <c r="AF306" s="37">
        <v>0</v>
      </c>
      <c r="AG306" s="59">
        <v>6680</v>
      </c>
      <c r="AH306" s="37">
        <v>0</v>
      </c>
      <c r="AI306" s="37">
        <v>0</v>
      </c>
      <c r="AJ306" s="37">
        <v>0</v>
      </c>
      <c r="AK306" s="37">
        <v>0</v>
      </c>
      <c r="AL306" s="37">
        <v>0</v>
      </c>
      <c r="AM306" s="37">
        <v>0</v>
      </c>
      <c r="AN306" s="37">
        <v>4</v>
      </c>
      <c r="AO306" s="37">
        <v>0</v>
      </c>
      <c r="AP306" s="37">
        <v>2</v>
      </c>
      <c r="AQ306" s="37">
        <v>0</v>
      </c>
      <c r="AR306" s="37">
        <v>0</v>
      </c>
      <c r="AS306" s="59">
        <v>6</v>
      </c>
      <c r="AT306" s="59">
        <v>6686</v>
      </c>
      <c r="AU306" s="45"/>
      <c r="AV306" s="37">
        <v>0</v>
      </c>
      <c r="AW306" s="37">
        <v>0</v>
      </c>
      <c r="AX306" s="37">
        <v>0</v>
      </c>
      <c r="AY306" s="37">
        <v>0</v>
      </c>
      <c r="AZ306" s="37">
        <v>0</v>
      </c>
      <c r="BA306" s="37">
        <v>0</v>
      </c>
      <c r="BB306" s="37">
        <v>0</v>
      </c>
      <c r="BC306" s="37">
        <v>0</v>
      </c>
      <c r="BD306" s="37">
        <v>0</v>
      </c>
      <c r="BE306" s="37">
        <v>0</v>
      </c>
      <c r="BF306" s="37">
        <v>0</v>
      </c>
      <c r="BG306" s="37">
        <v>0</v>
      </c>
      <c r="BH306" s="37">
        <v>0</v>
      </c>
      <c r="BI306" s="37">
        <v>0</v>
      </c>
      <c r="BJ306" s="37">
        <v>0</v>
      </c>
      <c r="BK306" s="59">
        <v>0</v>
      </c>
      <c r="BL306" s="37">
        <v>0</v>
      </c>
      <c r="BM306" s="37">
        <v>0</v>
      </c>
      <c r="BN306" s="37">
        <v>0</v>
      </c>
      <c r="BO306" s="37">
        <v>0</v>
      </c>
      <c r="BP306" s="37">
        <v>0</v>
      </c>
      <c r="BQ306" s="37">
        <v>0</v>
      </c>
      <c r="BR306" s="37">
        <v>0</v>
      </c>
      <c r="BS306" s="37">
        <v>0</v>
      </c>
      <c r="BT306" s="37">
        <v>0</v>
      </c>
      <c r="BU306" s="37">
        <v>0</v>
      </c>
      <c r="BV306" s="37">
        <v>0</v>
      </c>
      <c r="BW306" s="59">
        <v>0</v>
      </c>
      <c r="BX306" s="59">
        <v>0</v>
      </c>
      <c r="BZ306" s="37">
        <v>4000</v>
      </c>
      <c r="CA306" s="37">
        <v>2000</v>
      </c>
      <c r="CB306" s="37">
        <v>0</v>
      </c>
      <c r="CC306" s="37">
        <v>400</v>
      </c>
      <c r="CD306" s="37">
        <v>200</v>
      </c>
      <c r="CE306" s="37">
        <v>80</v>
      </c>
      <c r="CF306" s="37">
        <v>0</v>
      </c>
      <c r="CG306" s="59">
        <v>6680</v>
      </c>
      <c r="CH306" s="37">
        <v>0</v>
      </c>
      <c r="CI306" s="37">
        <v>0</v>
      </c>
      <c r="CJ306" s="37">
        <v>4</v>
      </c>
      <c r="CK306" s="37">
        <v>2</v>
      </c>
      <c r="CL306" s="37">
        <v>0</v>
      </c>
      <c r="CM306" s="37">
        <v>0</v>
      </c>
      <c r="CN306" s="59">
        <v>6</v>
      </c>
      <c r="CO306" s="59">
        <v>6686</v>
      </c>
      <c r="CP306" s="58"/>
      <c r="CQ306" s="3">
        <v>6686</v>
      </c>
    </row>
    <row r="307" spans="1:95" customFormat="1" x14ac:dyDescent="0.2">
      <c r="A307" s="209">
        <v>43300</v>
      </c>
      <c r="B307" s="33" t="s">
        <v>66</v>
      </c>
      <c r="C307" s="33" t="s">
        <v>65</v>
      </c>
      <c r="D307" s="43">
        <v>0</v>
      </c>
      <c r="E307" s="43">
        <v>0</v>
      </c>
      <c r="F307" s="43">
        <v>0</v>
      </c>
      <c r="G307" s="43">
        <v>0</v>
      </c>
      <c r="H307" s="43">
        <v>0</v>
      </c>
      <c r="I307" s="43">
        <v>1</v>
      </c>
      <c r="J307" s="43">
        <v>0</v>
      </c>
      <c r="K307" s="43">
        <v>0</v>
      </c>
      <c r="L307" s="43">
        <v>0</v>
      </c>
      <c r="M307" s="43">
        <v>0</v>
      </c>
      <c r="N307" s="43">
        <v>0</v>
      </c>
      <c r="O307" s="43">
        <v>0</v>
      </c>
      <c r="P307" s="47" t="s">
        <v>45</v>
      </c>
      <c r="R307" s="37">
        <v>0</v>
      </c>
      <c r="S307" s="37">
        <v>0</v>
      </c>
      <c r="T307" s="37">
        <v>600000</v>
      </c>
      <c r="U307" s="37">
        <v>0</v>
      </c>
      <c r="V307" s="37">
        <v>400000</v>
      </c>
      <c r="W307" s="37">
        <v>0</v>
      </c>
      <c r="X307" s="37">
        <v>40000</v>
      </c>
      <c r="Y307" s="37">
        <v>0</v>
      </c>
      <c r="Z307" s="37">
        <v>40000</v>
      </c>
      <c r="AA307" s="37">
        <v>0</v>
      </c>
      <c r="AB307" s="37">
        <v>40000</v>
      </c>
      <c r="AC307" s="37">
        <v>0</v>
      </c>
      <c r="AD307" s="37">
        <v>16000</v>
      </c>
      <c r="AE307" s="37">
        <v>0</v>
      </c>
      <c r="AF307" s="37">
        <v>0</v>
      </c>
      <c r="AG307" s="59">
        <v>1136000</v>
      </c>
      <c r="AH307" s="37">
        <v>1500</v>
      </c>
      <c r="AI307" s="37">
        <v>0</v>
      </c>
      <c r="AJ307" s="37">
        <v>0</v>
      </c>
      <c r="AK307" s="37">
        <v>0</v>
      </c>
      <c r="AL307" s="37">
        <v>1500</v>
      </c>
      <c r="AM307" s="37">
        <v>0</v>
      </c>
      <c r="AN307" s="37">
        <v>400</v>
      </c>
      <c r="AO307" s="37">
        <v>0</v>
      </c>
      <c r="AP307" s="37">
        <v>0</v>
      </c>
      <c r="AQ307" s="37">
        <v>0</v>
      </c>
      <c r="AR307" s="37">
        <v>0</v>
      </c>
      <c r="AS307" s="59">
        <v>3400</v>
      </c>
      <c r="AT307" s="59">
        <v>1139400</v>
      </c>
      <c r="AU307" s="45"/>
      <c r="AV307" s="37">
        <v>0</v>
      </c>
      <c r="AW307" s="37">
        <v>0</v>
      </c>
      <c r="AX307" s="37">
        <v>0</v>
      </c>
      <c r="AY307" s="37">
        <v>0</v>
      </c>
      <c r="AZ307" s="37">
        <v>0</v>
      </c>
      <c r="BA307" s="37">
        <v>0</v>
      </c>
      <c r="BB307" s="37">
        <v>0</v>
      </c>
      <c r="BC307" s="37">
        <v>0</v>
      </c>
      <c r="BD307" s="37">
        <v>0</v>
      </c>
      <c r="BE307" s="37">
        <v>0</v>
      </c>
      <c r="BF307" s="37">
        <v>0</v>
      </c>
      <c r="BG307" s="37">
        <v>0</v>
      </c>
      <c r="BH307" s="37">
        <v>0</v>
      </c>
      <c r="BI307" s="37">
        <v>0</v>
      </c>
      <c r="BJ307" s="37">
        <v>0</v>
      </c>
      <c r="BK307" s="59">
        <v>0</v>
      </c>
      <c r="BL307" s="37">
        <v>0</v>
      </c>
      <c r="BM307" s="37">
        <v>0</v>
      </c>
      <c r="BN307" s="37">
        <v>0</v>
      </c>
      <c r="BO307" s="37">
        <v>0</v>
      </c>
      <c r="BP307" s="37">
        <v>0</v>
      </c>
      <c r="BQ307" s="37">
        <v>0</v>
      </c>
      <c r="BR307" s="37">
        <v>0</v>
      </c>
      <c r="BS307" s="37">
        <v>0</v>
      </c>
      <c r="BT307" s="37">
        <v>0</v>
      </c>
      <c r="BU307" s="37">
        <v>0</v>
      </c>
      <c r="BV307" s="37">
        <v>0</v>
      </c>
      <c r="BW307" s="59">
        <v>0</v>
      </c>
      <c r="BX307" s="59">
        <v>0</v>
      </c>
      <c r="BZ307" s="37">
        <v>600000</v>
      </c>
      <c r="CA307" s="37">
        <v>400000</v>
      </c>
      <c r="CB307" s="37">
        <v>40000</v>
      </c>
      <c r="CC307" s="37">
        <v>40000</v>
      </c>
      <c r="CD307" s="37">
        <v>40000</v>
      </c>
      <c r="CE307" s="37">
        <v>16000</v>
      </c>
      <c r="CF307" s="37">
        <v>0</v>
      </c>
      <c r="CG307" s="59">
        <v>1136000</v>
      </c>
      <c r="CH307" s="37">
        <v>1500</v>
      </c>
      <c r="CI307" s="37">
        <v>1500</v>
      </c>
      <c r="CJ307" s="37">
        <v>400</v>
      </c>
      <c r="CK307" s="37">
        <v>0</v>
      </c>
      <c r="CL307" s="37">
        <v>0</v>
      </c>
      <c r="CM307" s="37">
        <v>0</v>
      </c>
      <c r="CN307" s="59">
        <v>3400</v>
      </c>
      <c r="CO307" s="59">
        <v>1139400</v>
      </c>
      <c r="CP307" s="58"/>
      <c r="CQ307" s="3">
        <v>1139400</v>
      </c>
    </row>
    <row r="308" spans="1:95" customFormat="1" x14ac:dyDescent="0.2">
      <c r="A308" s="209">
        <v>43300</v>
      </c>
      <c r="B308" s="33" t="s">
        <v>66</v>
      </c>
      <c r="C308" s="33" t="s">
        <v>135</v>
      </c>
      <c r="D308" s="43">
        <v>0</v>
      </c>
      <c r="E308" s="43">
        <v>0</v>
      </c>
      <c r="F308" s="43">
        <v>0</v>
      </c>
      <c r="G308" s="43">
        <v>0</v>
      </c>
      <c r="H308" s="43">
        <v>0</v>
      </c>
      <c r="I308" s="43">
        <v>1</v>
      </c>
      <c r="J308" s="43">
        <v>0</v>
      </c>
      <c r="K308" s="43">
        <v>0</v>
      </c>
      <c r="L308" s="43">
        <v>0</v>
      </c>
      <c r="M308" s="43">
        <v>0</v>
      </c>
      <c r="N308" s="43">
        <v>0</v>
      </c>
      <c r="O308" s="43">
        <v>0</v>
      </c>
      <c r="P308" s="47" t="s">
        <v>45</v>
      </c>
      <c r="R308" s="37">
        <v>0</v>
      </c>
      <c r="S308" s="37">
        <v>400000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  <c r="AE308" s="37">
        <v>0</v>
      </c>
      <c r="AF308" s="37">
        <v>0</v>
      </c>
      <c r="AG308" s="59">
        <v>400000</v>
      </c>
      <c r="AH308" s="37">
        <v>0</v>
      </c>
      <c r="AI308" s="37">
        <v>0</v>
      </c>
      <c r="AJ308" s="37">
        <v>0</v>
      </c>
      <c r="AK308" s="37">
        <v>0</v>
      </c>
      <c r="AL308" s="37">
        <v>0</v>
      </c>
      <c r="AM308" s="37">
        <v>0</v>
      </c>
      <c r="AN308" s="37">
        <v>0</v>
      </c>
      <c r="AO308" s="37">
        <v>0</v>
      </c>
      <c r="AP308" s="37">
        <v>0</v>
      </c>
      <c r="AQ308" s="37">
        <v>0</v>
      </c>
      <c r="AR308" s="37">
        <v>0</v>
      </c>
      <c r="AS308" s="59">
        <v>0</v>
      </c>
      <c r="AT308" s="59">
        <v>400000</v>
      </c>
      <c r="AU308" s="45"/>
      <c r="AV308" s="37">
        <v>0</v>
      </c>
      <c r="AW308" s="37">
        <v>0</v>
      </c>
      <c r="AX308" s="37">
        <v>0</v>
      </c>
      <c r="AY308" s="37">
        <v>0</v>
      </c>
      <c r="AZ308" s="37">
        <v>0</v>
      </c>
      <c r="BA308" s="37">
        <v>0</v>
      </c>
      <c r="BB308" s="37">
        <v>0</v>
      </c>
      <c r="BC308" s="37">
        <v>0</v>
      </c>
      <c r="BD308" s="37">
        <v>0</v>
      </c>
      <c r="BE308" s="37">
        <v>0</v>
      </c>
      <c r="BF308" s="37">
        <v>0</v>
      </c>
      <c r="BG308" s="37">
        <v>0</v>
      </c>
      <c r="BH308" s="37">
        <v>0</v>
      </c>
      <c r="BI308" s="37">
        <v>0</v>
      </c>
      <c r="BJ308" s="37">
        <v>0</v>
      </c>
      <c r="BK308" s="59">
        <v>0</v>
      </c>
      <c r="BL308" s="37">
        <v>0</v>
      </c>
      <c r="BM308" s="37">
        <v>0</v>
      </c>
      <c r="BN308" s="37">
        <v>0</v>
      </c>
      <c r="BO308" s="37">
        <v>0</v>
      </c>
      <c r="BP308" s="37">
        <v>0</v>
      </c>
      <c r="BQ308" s="37">
        <v>0</v>
      </c>
      <c r="BR308" s="37">
        <v>0</v>
      </c>
      <c r="BS308" s="37">
        <v>0</v>
      </c>
      <c r="BT308" s="37">
        <v>0</v>
      </c>
      <c r="BU308" s="37">
        <v>0</v>
      </c>
      <c r="BV308" s="37">
        <v>0</v>
      </c>
      <c r="BW308" s="59">
        <v>0</v>
      </c>
      <c r="BX308" s="59">
        <v>0</v>
      </c>
      <c r="BZ308" s="37">
        <v>400000</v>
      </c>
      <c r="CA308" s="37">
        <v>0</v>
      </c>
      <c r="CB308" s="37">
        <v>0</v>
      </c>
      <c r="CC308" s="37">
        <v>0</v>
      </c>
      <c r="CD308" s="37">
        <v>0</v>
      </c>
      <c r="CE308" s="37">
        <v>0</v>
      </c>
      <c r="CF308" s="37">
        <v>0</v>
      </c>
      <c r="CG308" s="59">
        <v>400000</v>
      </c>
      <c r="CH308" s="37">
        <v>0</v>
      </c>
      <c r="CI308" s="37">
        <v>0</v>
      </c>
      <c r="CJ308" s="37">
        <v>0</v>
      </c>
      <c r="CK308" s="37">
        <v>0</v>
      </c>
      <c r="CL308" s="37">
        <v>0</v>
      </c>
      <c r="CM308" s="37">
        <v>0</v>
      </c>
      <c r="CN308" s="59">
        <v>0</v>
      </c>
      <c r="CO308" s="59">
        <v>400000</v>
      </c>
      <c r="CP308" s="58"/>
      <c r="CQ308" s="3">
        <v>400000</v>
      </c>
    </row>
    <row r="309" spans="1:95" customFormat="1" x14ac:dyDescent="0.2">
      <c r="A309" s="209">
        <v>43300</v>
      </c>
      <c r="B309" s="33" t="s">
        <v>136</v>
      </c>
      <c r="C309" s="33" t="s">
        <v>65</v>
      </c>
      <c r="D309" s="43">
        <v>0</v>
      </c>
      <c r="E309" s="43">
        <v>0</v>
      </c>
      <c r="F309" s="43">
        <v>0</v>
      </c>
      <c r="G309" s="43">
        <v>0</v>
      </c>
      <c r="H309" s="43">
        <v>0</v>
      </c>
      <c r="I309" s="43">
        <v>1</v>
      </c>
      <c r="J309" s="43">
        <v>0</v>
      </c>
      <c r="K309" s="43">
        <v>0</v>
      </c>
      <c r="L309" s="43">
        <v>0</v>
      </c>
      <c r="M309" s="43">
        <v>0</v>
      </c>
      <c r="N309" s="43">
        <v>0</v>
      </c>
      <c r="O309" s="43">
        <v>0</v>
      </c>
      <c r="P309" s="47" t="s">
        <v>45</v>
      </c>
      <c r="R309" s="37">
        <v>0</v>
      </c>
      <c r="S309" s="37">
        <v>0</v>
      </c>
      <c r="T309" s="37">
        <v>400000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59">
        <v>400000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59">
        <v>0</v>
      </c>
      <c r="AT309" s="59">
        <v>400000</v>
      </c>
      <c r="AU309" s="45"/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>
        <v>0</v>
      </c>
      <c r="BB309" s="37">
        <v>0</v>
      </c>
      <c r="BC309" s="37">
        <v>0</v>
      </c>
      <c r="BD309" s="37">
        <v>0</v>
      </c>
      <c r="BE309" s="37">
        <v>0</v>
      </c>
      <c r="BF309" s="37">
        <v>0</v>
      </c>
      <c r="BG309" s="37">
        <v>0</v>
      </c>
      <c r="BH309" s="37">
        <v>0</v>
      </c>
      <c r="BI309" s="37">
        <v>0</v>
      </c>
      <c r="BJ309" s="37">
        <v>0</v>
      </c>
      <c r="BK309" s="59">
        <v>0</v>
      </c>
      <c r="BL309" s="37">
        <v>0</v>
      </c>
      <c r="BM309" s="37">
        <v>0</v>
      </c>
      <c r="BN309" s="37">
        <v>0</v>
      </c>
      <c r="BO309" s="37">
        <v>0</v>
      </c>
      <c r="BP309" s="37">
        <v>0</v>
      </c>
      <c r="BQ309" s="37">
        <v>0</v>
      </c>
      <c r="BR309" s="37">
        <v>0</v>
      </c>
      <c r="BS309" s="37">
        <v>0</v>
      </c>
      <c r="BT309" s="37">
        <v>0</v>
      </c>
      <c r="BU309" s="37">
        <v>0</v>
      </c>
      <c r="BV309" s="37">
        <v>0</v>
      </c>
      <c r="BW309" s="59">
        <v>0</v>
      </c>
      <c r="BX309" s="59">
        <v>0</v>
      </c>
      <c r="BZ309" s="37">
        <v>400000</v>
      </c>
      <c r="CA309" s="37">
        <v>0</v>
      </c>
      <c r="CB309" s="37">
        <v>0</v>
      </c>
      <c r="CC309" s="37">
        <v>0</v>
      </c>
      <c r="CD309" s="37">
        <v>0</v>
      </c>
      <c r="CE309" s="37">
        <v>0</v>
      </c>
      <c r="CF309" s="37">
        <v>0</v>
      </c>
      <c r="CG309" s="59">
        <v>400000</v>
      </c>
      <c r="CH309" s="37">
        <v>0</v>
      </c>
      <c r="CI309" s="37">
        <v>0</v>
      </c>
      <c r="CJ309" s="37">
        <v>0</v>
      </c>
      <c r="CK309" s="37">
        <v>0</v>
      </c>
      <c r="CL309" s="37">
        <v>0</v>
      </c>
      <c r="CM309" s="37">
        <v>0</v>
      </c>
      <c r="CN309" s="59">
        <v>0</v>
      </c>
      <c r="CO309" s="59">
        <v>400000</v>
      </c>
      <c r="CP309" s="58"/>
      <c r="CQ309" s="3">
        <v>400000</v>
      </c>
    </row>
    <row r="310" spans="1:95" customFormat="1" x14ac:dyDescent="0.2">
      <c r="A310" s="209">
        <v>43299</v>
      </c>
      <c r="B310" s="33" t="s">
        <v>64</v>
      </c>
      <c r="C310" s="33" t="s">
        <v>65</v>
      </c>
      <c r="D310" s="43">
        <v>0</v>
      </c>
      <c r="E310" s="43">
        <v>0</v>
      </c>
      <c r="F310" s="43">
        <v>0</v>
      </c>
      <c r="G310" s="43">
        <v>0</v>
      </c>
      <c r="H310" s="43">
        <v>0</v>
      </c>
      <c r="I310" s="43">
        <v>1</v>
      </c>
      <c r="J310" s="43">
        <v>0</v>
      </c>
      <c r="K310" s="43">
        <v>0</v>
      </c>
      <c r="L310" s="43">
        <v>0</v>
      </c>
      <c r="M310" s="43">
        <v>0</v>
      </c>
      <c r="N310" s="43">
        <v>0</v>
      </c>
      <c r="O310" s="43">
        <v>0</v>
      </c>
      <c r="P310" s="47" t="s">
        <v>45</v>
      </c>
      <c r="R310" s="37">
        <v>0</v>
      </c>
      <c r="S310" s="37">
        <v>0</v>
      </c>
      <c r="T310" s="37">
        <v>400000</v>
      </c>
      <c r="U310" s="37">
        <v>0</v>
      </c>
      <c r="V310" s="37">
        <v>300000</v>
      </c>
      <c r="W310" s="37">
        <v>0</v>
      </c>
      <c r="X310" s="37">
        <v>40000</v>
      </c>
      <c r="Y310" s="37">
        <v>0</v>
      </c>
      <c r="Z310" s="37">
        <v>20000</v>
      </c>
      <c r="AA310" s="37">
        <v>0</v>
      </c>
      <c r="AB310" s="37">
        <v>20000</v>
      </c>
      <c r="AC310" s="37">
        <v>0</v>
      </c>
      <c r="AD310" s="37">
        <v>10000</v>
      </c>
      <c r="AE310" s="37">
        <v>0</v>
      </c>
      <c r="AF310" s="37">
        <v>0</v>
      </c>
      <c r="AG310" s="59">
        <v>790000</v>
      </c>
      <c r="AH310" s="37">
        <v>500</v>
      </c>
      <c r="AI310" s="37">
        <v>0</v>
      </c>
      <c r="AJ310" s="37">
        <v>0</v>
      </c>
      <c r="AK310" s="37">
        <v>0</v>
      </c>
      <c r="AL310" s="37">
        <v>625</v>
      </c>
      <c r="AM310" s="37">
        <v>0</v>
      </c>
      <c r="AN310" s="37">
        <v>300</v>
      </c>
      <c r="AO310" s="37">
        <v>0</v>
      </c>
      <c r="AP310" s="37">
        <v>0</v>
      </c>
      <c r="AQ310" s="37">
        <v>0</v>
      </c>
      <c r="AR310" s="37">
        <v>0</v>
      </c>
      <c r="AS310" s="59">
        <v>1425</v>
      </c>
      <c r="AT310" s="59">
        <v>791425</v>
      </c>
      <c r="AU310" s="45"/>
      <c r="AV310" s="37">
        <v>0</v>
      </c>
      <c r="AW310" s="37">
        <v>0</v>
      </c>
      <c r="AX310" s="37">
        <v>0</v>
      </c>
      <c r="AY310" s="37">
        <v>0</v>
      </c>
      <c r="AZ310" s="37">
        <v>0</v>
      </c>
      <c r="BA310" s="37">
        <v>0</v>
      </c>
      <c r="BB310" s="37">
        <v>0</v>
      </c>
      <c r="BC310" s="37">
        <v>0</v>
      </c>
      <c r="BD310" s="37">
        <v>0</v>
      </c>
      <c r="BE310" s="37">
        <v>0</v>
      </c>
      <c r="BF310" s="37">
        <v>0</v>
      </c>
      <c r="BG310" s="37">
        <v>0</v>
      </c>
      <c r="BH310" s="37">
        <v>0</v>
      </c>
      <c r="BI310" s="37">
        <v>0</v>
      </c>
      <c r="BJ310" s="37">
        <v>0</v>
      </c>
      <c r="BK310" s="59">
        <v>0</v>
      </c>
      <c r="BL310" s="37">
        <v>0</v>
      </c>
      <c r="BM310" s="37">
        <v>0</v>
      </c>
      <c r="BN310" s="37">
        <v>0</v>
      </c>
      <c r="BO310" s="37">
        <v>0</v>
      </c>
      <c r="BP310" s="37">
        <v>0</v>
      </c>
      <c r="BQ310" s="37">
        <v>0</v>
      </c>
      <c r="BR310" s="37">
        <v>0</v>
      </c>
      <c r="BS310" s="37">
        <v>0</v>
      </c>
      <c r="BT310" s="37">
        <v>0</v>
      </c>
      <c r="BU310" s="37">
        <v>0</v>
      </c>
      <c r="BV310" s="37">
        <v>0</v>
      </c>
      <c r="BW310" s="59">
        <v>0</v>
      </c>
      <c r="BX310" s="59">
        <v>0</v>
      </c>
      <c r="BZ310" s="37">
        <v>400000</v>
      </c>
      <c r="CA310" s="37">
        <v>300000</v>
      </c>
      <c r="CB310" s="37">
        <v>40000</v>
      </c>
      <c r="CC310" s="37">
        <v>20000</v>
      </c>
      <c r="CD310" s="37">
        <v>20000</v>
      </c>
      <c r="CE310" s="37">
        <v>10000</v>
      </c>
      <c r="CF310" s="37">
        <v>0</v>
      </c>
      <c r="CG310" s="59">
        <v>790000</v>
      </c>
      <c r="CH310" s="37">
        <v>500</v>
      </c>
      <c r="CI310" s="37">
        <v>625</v>
      </c>
      <c r="CJ310" s="37">
        <v>300</v>
      </c>
      <c r="CK310" s="37">
        <v>0</v>
      </c>
      <c r="CL310" s="37">
        <v>0</v>
      </c>
      <c r="CM310" s="37">
        <v>0</v>
      </c>
      <c r="CN310" s="59">
        <v>1425</v>
      </c>
      <c r="CO310" s="59">
        <v>791425</v>
      </c>
      <c r="CP310" s="58"/>
      <c r="CQ310" s="3">
        <v>791425</v>
      </c>
    </row>
    <row r="311" spans="1:95" customFormat="1" x14ac:dyDescent="0.2">
      <c r="A311" s="209">
        <v>43301</v>
      </c>
      <c r="B311" s="33" t="s">
        <v>55</v>
      </c>
      <c r="C311" s="33" t="s">
        <v>56</v>
      </c>
      <c r="D311" s="43">
        <v>0</v>
      </c>
      <c r="E311" s="43">
        <v>0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7">
        <v>0</v>
      </c>
      <c r="R311" s="37">
        <v>0</v>
      </c>
      <c r="S311" s="37">
        <v>0</v>
      </c>
      <c r="T311" s="37">
        <v>4000</v>
      </c>
      <c r="U311" s="37">
        <v>0</v>
      </c>
      <c r="V311" s="37">
        <v>2000</v>
      </c>
      <c r="W311" s="37">
        <v>0</v>
      </c>
      <c r="X311" s="37">
        <v>0</v>
      </c>
      <c r="Y311" s="37">
        <v>0</v>
      </c>
      <c r="Z311" s="37">
        <v>400</v>
      </c>
      <c r="AA311" s="37">
        <v>0</v>
      </c>
      <c r="AB311" s="37">
        <v>200</v>
      </c>
      <c r="AC311" s="37">
        <v>0</v>
      </c>
      <c r="AD311" s="37">
        <v>80</v>
      </c>
      <c r="AE311" s="37">
        <v>0</v>
      </c>
      <c r="AF311" s="37">
        <v>0</v>
      </c>
      <c r="AG311" s="59">
        <v>6680</v>
      </c>
      <c r="AH311" s="37">
        <v>0</v>
      </c>
      <c r="AI311" s="37">
        <v>0</v>
      </c>
      <c r="AJ311" s="37">
        <v>0</v>
      </c>
      <c r="AK311" s="37">
        <v>0</v>
      </c>
      <c r="AL311" s="37">
        <v>0</v>
      </c>
      <c r="AM311" s="37">
        <v>0</v>
      </c>
      <c r="AN311" s="37">
        <v>0</v>
      </c>
      <c r="AO311" s="37">
        <v>0</v>
      </c>
      <c r="AP311" s="37">
        <v>0</v>
      </c>
      <c r="AQ311" s="37">
        <v>0</v>
      </c>
      <c r="AR311" s="37">
        <v>0</v>
      </c>
      <c r="AS311" s="59">
        <v>0</v>
      </c>
      <c r="AT311" s="59">
        <v>6680</v>
      </c>
      <c r="AU311" s="45"/>
      <c r="AV311" s="37">
        <v>0</v>
      </c>
      <c r="AW311" s="37">
        <v>0</v>
      </c>
      <c r="AX311" s="37">
        <v>0</v>
      </c>
      <c r="AY311" s="37">
        <v>0</v>
      </c>
      <c r="AZ311" s="37">
        <v>0</v>
      </c>
      <c r="BA311" s="37">
        <v>0</v>
      </c>
      <c r="BB311" s="37">
        <v>0</v>
      </c>
      <c r="BC311" s="37">
        <v>0</v>
      </c>
      <c r="BD311" s="37">
        <v>0</v>
      </c>
      <c r="BE311" s="37">
        <v>0</v>
      </c>
      <c r="BF311" s="37">
        <v>0</v>
      </c>
      <c r="BG311" s="37">
        <v>0</v>
      </c>
      <c r="BH311" s="37">
        <v>0</v>
      </c>
      <c r="BI311" s="37">
        <v>0</v>
      </c>
      <c r="BJ311" s="37">
        <v>0</v>
      </c>
      <c r="BK311" s="59">
        <v>0</v>
      </c>
      <c r="BL311" s="37">
        <v>0</v>
      </c>
      <c r="BM311" s="37">
        <v>0</v>
      </c>
      <c r="BN311" s="37">
        <v>0</v>
      </c>
      <c r="BO311" s="37">
        <v>0</v>
      </c>
      <c r="BP311" s="37">
        <v>0</v>
      </c>
      <c r="BQ311" s="37">
        <v>0</v>
      </c>
      <c r="BR311" s="37">
        <v>0</v>
      </c>
      <c r="BS311" s="37">
        <v>0</v>
      </c>
      <c r="BT311" s="37">
        <v>0</v>
      </c>
      <c r="BU311" s="37">
        <v>0</v>
      </c>
      <c r="BV311" s="37">
        <v>0</v>
      </c>
      <c r="BW311" s="59">
        <v>0</v>
      </c>
      <c r="BX311" s="59">
        <v>0</v>
      </c>
      <c r="BZ311" s="37">
        <v>4000</v>
      </c>
      <c r="CA311" s="37">
        <v>2000</v>
      </c>
      <c r="CB311" s="37">
        <v>0</v>
      </c>
      <c r="CC311" s="37">
        <v>400</v>
      </c>
      <c r="CD311" s="37">
        <v>200</v>
      </c>
      <c r="CE311" s="37">
        <v>80</v>
      </c>
      <c r="CF311" s="37">
        <v>0</v>
      </c>
      <c r="CG311" s="59">
        <v>6680</v>
      </c>
      <c r="CH311" s="37">
        <v>0</v>
      </c>
      <c r="CI311" s="37">
        <v>0</v>
      </c>
      <c r="CJ311" s="37">
        <v>0</v>
      </c>
      <c r="CK311" s="37">
        <v>0</v>
      </c>
      <c r="CL311" s="37">
        <v>0</v>
      </c>
      <c r="CM311" s="37">
        <v>0</v>
      </c>
      <c r="CN311" s="59">
        <v>0</v>
      </c>
      <c r="CO311" s="59">
        <v>6680</v>
      </c>
      <c r="CP311" s="58"/>
      <c r="CQ311" s="3">
        <v>6680</v>
      </c>
    </row>
    <row r="312" spans="1:95" customFormat="1" x14ac:dyDescent="0.2">
      <c r="A312" s="209">
        <v>43301</v>
      </c>
      <c r="B312" s="33" t="s">
        <v>72</v>
      </c>
      <c r="C312" s="33" t="s">
        <v>137</v>
      </c>
      <c r="D312" s="43">
        <v>0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1</v>
      </c>
      <c r="L312" s="43">
        <v>0</v>
      </c>
      <c r="M312" s="43">
        <v>0</v>
      </c>
      <c r="N312" s="43">
        <v>0</v>
      </c>
      <c r="O312" s="43">
        <v>0</v>
      </c>
      <c r="P312" s="47" t="s">
        <v>45</v>
      </c>
      <c r="R312" s="37">
        <v>0</v>
      </c>
      <c r="S312" s="37">
        <v>0</v>
      </c>
      <c r="T312" s="37">
        <v>600000</v>
      </c>
      <c r="U312" s="37">
        <v>0</v>
      </c>
      <c r="V312" s="37">
        <v>500000</v>
      </c>
      <c r="W312" s="37">
        <v>0</v>
      </c>
      <c r="X312" s="37">
        <v>40000</v>
      </c>
      <c r="Y312" s="37">
        <v>0</v>
      </c>
      <c r="Z312" s="37">
        <v>20000</v>
      </c>
      <c r="AA312" s="37">
        <v>0</v>
      </c>
      <c r="AB312" s="37">
        <v>38000</v>
      </c>
      <c r="AC312" s="37">
        <v>0</v>
      </c>
      <c r="AD312" s="37">
        <v>16000</v>
      </c>
      <c r="AE312" s="37">
        <v>0</v>
      </c>
      <c r="AF312" s="37">
        <v>0</v>
      </c>
      <c r="AG312" s="59">
        <v>1214000</v>
      </c>
      <c r="AH312" s="37">
        <v>0</v>
      </c>
      <c r="AI312" s="37">
        <v>0</v>
      </c>
      <c r="AJ312" s="37">
        <v>0</v>
      </c>
      <c r="AK312" s="37">
        <v>0</v>
      </c>
      <c r="AL312" s="37">
        <v>0</v>
      </c>
      <c r="AM312" s="37">
        <v>0</v>
      </c>
      <c r="AN312" s="37">
        <v>200</v>
      </c>
      <c r="AO312" s="37">
        <v>0</v>
      </c>
      <c r="AP312" s="37">
        <v>100</v>
      </c>
      <c r="AQ312" s="37">
        <v>0</v>
      </c>
      <c r="AR312" s="37">
        <v>0</v>
      </c>
      <c r="AS312" s="59">
        <v>300</v>
      </c>
      <c r="AT312" s="59">
        <v>1214300</v>
      </c>
      <c r="AU312" s="45"/>
      <c r="AV312" s="37">
        <v>0</v>
      </c>
      <c r="AW312" s="37">
        <v>0</v>
      </c>
      <c r="AX312" s="37">
        <v>0</v>
      </c>
      <c r="AY312" s="37">
        <v>0</v>
      </c>
      <c r="AZ312" s="37">
        <v>0</v>
      </c>
      <c r="BA312" s="37">
        <v>0</v>
      </c>
      <c r="BB312" s="37">
        <v>0</v>
      </c>
      <c r="BC312" s="37">
        <v>0</v>
      </c>
      <c r="BD312" s="37">
        <v>0</v>
      </c>
      <c r="BE312" s="37">
        <v>0</v>
      </c>
      <c r="BF312" s="37">
        <v>0</v>
      </c>
      <c r="BG312" s="37">
        <v>0</v>
      </c>
      <c r="BH312" s="37">
        <v>0</v>
      </c>
      <c r="BI312" s="37">
        <v>0</v>
      </c>
      <c r="BJ312" s="37">
        <v>0</v>
      </c>
      <c r="BK312" s="59">
        <v>0</v>
      </c>
      <c r="BL312" s="37">
        <v>0</v>
      </c>
      <c r="BM312" s="37">
        <v>0</v>
      </c>
      <c r="BN312" s="37">
        <v>0</v>
      </c>
      <c r="BO312" s="37">
        <v>0</v>
      </c>
      <c r="BP312" s="37">
        <v>0</v>
      </c>
      <c r="BQ312" s="37">
        <v>0</v>
      </c>
      <c r="BR312" s="37">
        <v>0</v>
      </c>
      <c r="BS312" s="37">
        <v>0</v>
      </c>
      <c r="BT312" s="37">
        <v>0</v>
      </c>
      <c r="BU312" s="37">
        <v>0</v>
      </c>
      <c r="BV312" s="37">
        <v>0</v>
      </c>
      <c r="BW312" s="59">
        <v>0</v>
      </c>
      <c r="BX312" s="59">
        <v>0</v>
      </c>
      <c r="BZ312" s="37">
        <v>600000</v>
      </c>
      <c r="CA312" s="37">
        <v>500000</v>
      </c>
      <c r="CB312" s="37">
        <v>40000</v>
      </c>
      <c r="CC312" s="37">
        <v>20000</v>
      </c>
      <c r="CD312" s="37">
        <v>38000</v>
      </c>
      <c r="CE312" s="37">
        <v>16000</v>
      </c>
      <c r="CF312" s="37">
        <v>0</v>
      </c>
      <c r="CG312" s="59">
        <v>1214000</v>
      </c>
      <c r="CH312" s="37">
        <v>0</v>
      </c>
      <c r="CI312" s="37">
        <v>0</v>
      </c>
      <c r="CJ312" s="37">
        <v>200</v>
      </c>
      <c r="CK312" s="37">
        <v>100</v>
      </c>
      <c r="CL312" s="37">
        <v>0</v>
      </c>
      <c r="CM312" s="37">
        <v>0</v>
      </c>
      <c r="CN312" s="59">
        <v>300</v>
      </c>
      <c r="CO312" s="59">
        <v>1214300</v>
      </c>
      <c r="CP312" s="58"/>
      <c r="CQ312" s="3">
        <v>1214300</v>
      </c>
    </row>
    <row r="313" spans="1:95" customFormat="1" x14ac:dyDescent="0.2">
      <c r="A313" s="209">
        <v>43301</v>
      </c>
      <c r="B313" s="33" t="s">
        <v>72</v>
      </c>
      <c r="C313" s="33" t="s">
        <v>135</v>
      </c>
      <c r="D313" s="43">
        <v>0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1</v>
      </c>
      <c r="L313" s="43">
        <v>0</v>
      </c>
      <c r="M313" s="43">
        <v>0</v>
      </c>
      <c r="N313" s="43">
        <v>0</v>
      </c>
      <c r="O313" s="43">
        <v>0</v>
      </c>
      <c r="P313" s="47" t="s">
        <v>45</v>
      </c>
      <c r="R313" s="37">
        <v>0</v>
      </c>
      <c r="S313" s="37">
        <v>0</v>
      </c>
      <c r="T313" s="37">
        <v>440000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59">
        <v>440000</v>
      </c>
      <c r="AH313" s="37">
        <v>0</v>
      </c>
      <c r="AI313" s="37">
        <v>0</v>
      </c>
      <c r="AJ313" s="37">
        <v>0</v>
      </c>
      <c r="AK313" s="37">
        <v>0</v>
      </c>
      <c r="AL313" s="37">
        <v>0</v>
      </c>
      <c r="AM313" s="37">
        <v>0</v>
      </c>
      <c r="AN313" s="37">
        <v>0</v>
      </c>
      <c r="AO313" s="37">
        <v>0</v>
      </c>
      <c r="AP313" s="37">
        <v>0</v>
      </c>
      <c r="AQ313" s="37">
        <v>0</v>
      </c>
      <c r="AR313" s="37">
        <v>0</v>
      </c>
      <c r="AS313" s="59">
        <v>0</v>
      </c>
      <c r="AT313" s="59">
        <v>440000</v>
      </c>
      <c r="AU313" s="45"/>
      <c r="AV313" s="37">
        <v>0</v>
      </c>
      <c r="AW313" s="37">
        <v>0</v>
      </c>
      <c r="AX313" s="37">
        <v>0</v>
      </c>
      <c r="AY313" s="37">
        <v>0</v>
      </c>
      <c r="AZ313" s="37">
        <v>0</v>
      </c>
      <c r="BA313" s="37">
        <v>0</v>
      </c>
      <c r="BB313" s="37">
        <v>0</v>
      </c>
      <c r="BC313" s="37">
        <v>0</v>
      </c>
      <c r="BD313" s="37">
        <v>0</v>
      </c>
      <c r="BE313" s="37">
        <v>0</v>
      </c>
      <c r="BF313" s="37">
        <v>0</v>
      </c>
      <c r="BG313" s="37">
        <v>0</v>
      </c>
      <c r="BH313" s="37">
        <v>0</v>
      </c>
      <c r="BI313" s="37">
        <v>0</v>
      </c>
      <c r="BJ313" s="37">
        <v>0</v>
      </c>
      <c r="BK313" s="59">
        <v>0</v>
      </c>
      <c r="BL313" s="37">
        <v>0</v>
      </c>
      <c r="BM313" s="37">
        <v>0</v>
      </c>
      <c r="BN313" s="37">
        <v>0</v>
      </c>
      <c r="BO313" s="37">
        <v>0</v>
      </c>
      <c r="BP313" s="37">
        <v>0</v>
      </c>
      <c r="BQ313" s="37">
        <v>0</v>
      </c>
      <c r="BR313" s="37">
        <v>0</v>
      </c>
      <c r="BS313" s="37">
        <v>0</v>
      </c>
      <c r="BT313" s="37">
        <v>0</v>
      </c>
      <c r="BU313" s="37">
        <v>0</v>
      </c>
      <c r="BV313" s="37">
        <v>0</v>
      </c>
      <c r="BW313" s="59">
        <v>0</v>
      </c>
      <c r="BX313" s="59">
        <v>0</v>
      </c>
      <c r="BZ313" s="37">
        <v>440000</v>
      </c>
      <c r="CA313" s="37">
        <v>0</v>
      </c>
      <c r="CB313" s="37">
        <v>0</v>
      </c>
      <c r="CC313" s="37">
        <v>0</v>
      </c>
      <c r="CD313" s="37">
        <v>0</v>
      </c>
      <c r="CE313" s="37">
        <v>0</v>
      </c>
      <c r="CF313" s="37">
        <v>0</v>
      </c>
      <c r="CG313" s="59">
        <v>440000</v>
      </c>
      <c r="CH313" s="37">
        <v>0</v>
      </c>
      <c r="CI313" s="37">
        <v>0</v>
      </c>
      <c r="CJ313" s="37">
        <v>0</v>
      </c>
      <c r="CK313" s="37">
        <v>0</v>
      </c>
      <c r="CL313" s="37">
        <v>0</v>
      </c>
      <c r="CM313" s="37">
        <v>0</v>
      </c>
      <c r="CN313" s="59">
        <v>0</v>
      </c>
      <c r="CO313" s="59">
        <v>440000</v>
      </c>
      <c r="CP313" s="58"/>
      <c r="CQ313" s="3">
        <v>440000</v>
      </c>
    </row>
    <row r="314" spans="1:95" customFormat="1" x14ac:dyDescent="0.2">
      <c r="A314" s="209">
        <v>43301</v>
      </c>
      <c r="B314" s="33" t="s">
        <v>77</v>
      </c>
      <c r="C314" s="33" t="s">
        <v>138</v>
      </c>
      <c r="D314" s="43">
        <v>0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1</v>
      </c>
      <c r="L314" s="43">
        <v>0</v>
      </c>
      <c r="M314" s="43">
        <v>0</v>
      </c>
      <c r="N314" s="43">
        <v>0</v>
      </c>
      <c r="O314" s="43">
        <v>0</v>
      </c>
      <c r="P314" s="47" t="s">
        <v>45</v>
      </c>
      <c r="R314" s="37">
        <v>0</v>
      </c>
      <c r="S314" s="37">
        <v>0</v>
      </c>
      <c r="T314" s="37">
        <v>400000</v>
      </c>
      <c r="U314" s="37">
        <v>0</v>
      </c>
      <c r="V314" s="37">
        <v>400000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20000</v>
      </c>
      <c r="AC314" s="37">
        <v>0</v>
      </c>
      <c r="AD314" s="37">
        <v>10000</v>
      </c>
      <c r="AE314" s="37">
        <v>0</v>
      </c>
      <c r="AF314" s="37">
        <v>0</v>
      </c>
      <c r="AG314" s="59">
        <v>830000</v>
      </c>
      <c r="AH314" s="37">
        <v>4500</v>
      </c>
      <c r="AI314" s="37">
        <v>0</v>
      </c>
      <c r="AJ314" s="37">
        <v>0</v>
      </c>
      <c r="AK314" s="37">
        <v>0</v>
      </c>
      <c r="AL314" s="37">
        <v>1250</v>
      </c>
      <c r="AM314" s="37">
        <v>0</v>
      </c>
      <c r="AN314" s="37">
        <v>400</v>
      </c>
      <c r="AO314" s="37">
        <v>0</v>
      </c>
      <c r="AP314" s="37">
        <v>100</v>
      </c>
      <c r="AQ314" s="37">
        <v>0</v>
      </c>
      <c r="AR314" s="37">
        <v>0</v>
      </c>
      <c r="AS314" s="59">
        <v>6250</v>
      </c>
      <c r="AT314" s="59">
        <v>836250</v>
      </c>
      <c r="AU314" s="45"/>
      <c r="AV314" s="37">
        <v>0</v>
      </c>
      <c r="AW314" s="37">
        <v>0</v>
      </c>
      <c r="AX314" s="37">
        <v>0</v>
      </c>
      <c r="AY314" s="37">
        <v>0</v>
      </c>
      <c r="AZ314" s="37">
        <v>0</v>
      </c>
      <c r="BA314" s="37">
        <v>0</v>
      </c>
      <c r="BB314" s="37">
        <v>0</v>
      </c>
      <c r="BC314" s="37">
        <v>0</v>
      </c>
      <c r="BD314" s="37">
        <v>0</v>
      </c>
      <c r="BE314" s="37">
        <v>0</v>
      </c>
      <c r="BF314" s="37">
        <v>0</v>
      </c>
      <c r="BG314" s="37">
        <v>0</v>
      </c>
      <c r="BH314" s="37">
        <v>0</v>
      </c>
      <c r="BI314" s="37">
        <v>0</v>
      </c>
      <c r="BJ314" s="37">
        <v>0</v>
      </c>
      <c r="BK314" s="59">
        <v>0</v>
      </c>
      <c r="BL314" s="37">
        <v>0</v>
      </c>
      <c r="BM314" s="37">
        <v>0</v>
      </c>
      <c r="BN314" s="37">
        <v>0</v>
      </c>
      <c r="BO314" s="37">
        <v>0</v>
      </c>
      <c r="BP314" s="37">
        <v>0</v>
      </c>
      <c r="BQ314" s="37">
        <v>0</v>
      </c>
      <c r="BR314" s="37">
        <v>0</v>
      </c>
      <c r="BS314" s="37">
        <v>0</v>
      </c>
      <c r="BT314" s="37">
        <v>0</v>
      </c>
      <c r="BU314" s="37">
        <v>0</v>
      </c>
      <c r="BV314" s="37">
        <v>0</v>
      </c>
      <c r="BW314" s="59">
        <v>0</v>
      </c>
      <c r="BX314" s="59">
        <v>0</v>
      </c>
      <c r="BZ314" s="37">
        <v>400000</v>
      </c>
      <c r="CA314" s="37">
        <v>400000</v>
      </c>
      <c r="CB314" s="37">
        <v>0</v>
      </c>
      <c r="CC314" s="37">
        <v>0</v>
      </c>
      <c r="CD314" s="37">
        <v>20000</v>
      </c>
      <c r="CE314" s="37">
        <v>10000</v>
      </c>
      <c r="CF314" s="37">
        <v>0</v>
      </c>
      <c r="CG314" s="59">
        <v>830000</v>
      </c>
      <c r="CH314" s="37">
        <v>4500</v>
      </c>
      <c r="CI314" s="37">
        <v>1250</v>
      </c>
      <c r="CJ314" s="37">
        <v>400</v>
      </c>
      <c r="CK314" s="37">
        <v>100</v>
      </c>
      <c r="CL314" s="37">
        <v>0</v>
      </c>
      <c r="CM314" s="37">
        <v>0</v>
      </c>
      <c r="CN314" s="59">
        <v>6250</v>
      </c>
      <c r="CO314" s="59">
        <v>836250</v>
      </c>
      <c r="CP314" s="58"/>
      <c r="CQ314" s="3">
        <v>836250</v>
      </c>
    </row>
    <row r="315" spans="1:95" customFormat="1" x14ac:dyDescent="0.2">
      <c r="A315" s="209">
        <v>43301</v>
      </c>
      <c r="B315" s="33" t="s">
        <v>62</v>
      </c>
      <c r="C315" s="33" t="s">
        <v>63</v>
      </c>
      <c r="D315" s="43">
        <v>0</v>
      </c>
      <c r="E315" s="43">
        <v>0</v>
      </c>
      <c r="F315" s="43">
        <v>0</v>
      </c>
      <c r="G315" s="43">
        <v>0</v>
      </c>
      <c r="H315" s="43">
        <v>0</v>
      </c>
      <c r="I315" s="43">
        <v>1</v>
      </c>
      <c r="J315" s="43">
        <v>0</v>
      </c>
      <c r="K315" s="43">
        <v>0</v>
      </c>
      <c r="L315" s="43">
        <v>0</v>
      </c>
      <c r="M315" s="43">
        <v>0</v>
      </c>
      <c r="N315" s="43">
        <v>0</v>
      </c>
      <c r="O315" s="43">
        <v>0</v>
      </c>
      <c r="P315" s="47" t="s">
        <v>45</v>
      </c>
      <c r="R315" s="37">
        <v>0</v>
      </c>
      <c r="S315" s="37">
        <v>0</v>
      </c>
      <c r="T315" s="37">
        <v>1000000</v>
      </c>
      <c r="U315" s="37">
        <v>0</v>
      </c>
      <c r="V315" s="37">
        <v>500000</v>
      </c>
      <c r="W315" s="37">
        <v>0</v>
      </c>
      <c r="X315" s="37">
        <v>0</v>
      </c>
      <c r="Y315" s="37">
        <v>0</v>
      </c>
      <c r="Z315" s="37">
        <v>40000</v>
      </c>
      <c r="AA315" s="37">
        <v>0</v>
      </c>
      <c r="AB315" s="37">
        <v>35000</v>
      </c>
      <c r="AC315" s="37">
        <v>0</v>
      </c>
      <c r="AD315" s="37">
        <v>16000</v>
      </c>
      <c r="AE315" s="37">
        <v>0</v>
      </c>
      <c r="AF315" s="37">
        <v>0</v>
      </c>
      <c r="AG315" s="59">
        <v>1591000</v>
      </c>
      <c r="AH315" s="37">
        <v>2000</v>
      </c>
      <c r="AI315" s="37">
        <v>0</v>
      </c>
      <c r="AJ315" s="37">
        <v>0</v>
      </c>
      <c r="AK315" s="37">
        <v>0</v>
      </c>
      <c r="AL315" s="37">
        <v>750</v>
      </c>
      <c r="AM315" s="37">
        <v>0</v>
      </c>
      <c r="AN315" s="37">
        <v>0</v>
      </c>
      <c r="AO315" s="37">
        <v>0</v>
      </c>
      <c r="AP315" s="37">
        <v>100</v>
      </c>
      <c r="AQ315" s="37">
        <v>0</v>
      </c>
      <c r="AR315" s="37">
        <v>0</v>
      </c>
      <c r="AS315" s="59">
        <v>2850</v>
      </c>
      <c r="AT315" s="59">
        <v>1593850</v>
      </c>
      <c r="AU315" s="45"/>
      <c r="AV315" s="37">
        <v>0</v>
      </c>
      <c r="AW315" s="37">
        <v>0</v>
      </c>
      <c r="AX315" s="37">
        <v>0</v>
      </c>
      <c r="AY315" s="37">
        <v>0</v>
      </c>
      <c r="AZ315" s="37">
        <v>0</v>
      </c>
      <c r="BA315" s="37">
        <v>0</v>
      </c>
      <c r="BB315" s="37">
        <v>0</v>
      </c>
      <c r="BC315" s="37">
        <v>0</v>
      </c>
      <c r="BD315" s="37">
        <v>0</v>
      </c>
      <c r="BE315" s="37">
        <v>0</v>
      </c>
      <c r="BF315" s="37">
        <v>0</v>
      </c>
      <c r="BG315" s="37">
        <v>0</v>
      </c>
      <c r="BH315" s="37">
        <v>0</v>
      </c>
      <c r="BI315" s="37">
        <v>0</v>
      </c>
      <c r="BJ315" s="37">
        <v>0</v>
      </c>
      <c r="BK315" s="59">
        <v>0</v>
      </c>
      <c r="BL315" s="37">
        <v>0</v>
      </c>
      <c r="BM315" s="37">
        <v>0</v>
      </c>
      <c r="BN315" s="37">
        <v>0</v>
      </c>
      <c r="BO315" s="37">
        <v>0</v>
      </c>
      <c r="BP315" s="37">
        <v>0</v>
      </c>
      <c r="BQ315" s="37">
        <v>0</v>
      </c>
      <c r="BR315" s="37">
        <v>0</v>
      </c>
      <c r="BS315" s="37">
        <v>0</v>
      </c>
      <c r="BT315" s="37">
        <v>0</v>
      </c>
      <c r="BU315" s="37">
        <v>0</v>
      </c>
      <c r="BV315" s="37">
        <v>0</v>
      </c>
      <c r="BW315" s="59">
        <v>0</v>
      </c>
      <c r="BX315" s="59">
        <v>0</v>
      </c>
      <c r="BZ315" s="37">
        <v>1000000</v>
      </c>
      <c r="CA315" s="37">
        <v>500000</v>
      </c>
      <c r="CB315" s="37">
        <v>0</v>
      </c>
      <c r="CC315" s="37">
        <v>40000</v>
      </c>
      <c r="CD315" s="37">
        <v>35000</v>
      </c>
      <c r="CE315" s="37">
        <v>16000</v>
      </c>
      <c r="CF315" s="37">
        <v>0</v>
      </c>
      <c r="CG315" s="59">
        <v>1591000</v>
      </c>
      <c r="CH315" s="37">
        <v>2000</v>
      </c>
      <c r="CI315" s="37">
        <v>750</v>
      </c>
      <c r="CJ315" s="37">
        <v>0</v>
      </c>
      <c r="CK315" s="37">
        <v>100</v>
      </c>
      <c r="CL315" s="37">
        <v>0</v>
      </c>
      <c r="CM315" s="37">
        <v>0</v>
      </c>
      <c r="CN315" s="59">
        <v>2850</v>
      </c>
      <c r="CO315" s="59">
        <v>1593850</v>
      </c>
      <c r="CP315" s="58"/>
      <c r="CQ315" s="3">
        <v>1593850</v>
      </c>
    </row>
    <row r="316" spans="1:95" customFormat="1" x14ac:dyDescent="0.2">
      <c r="A316" s="209">
        <v>43301</v>
      </c>
      <c r="B316" s="33" t="s">
        <v>58</v>
      </c>
      <c r="C316" s="33" t="s">
        <v>126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1</v>
      </c>
      <c r="L316" s="43">
        <v>0</v>
      </c>
      <c r="M316" s="43">
        <v>0</v>
      </c>
      <c r="N316" s="43">
        <v>0</v>
      </c>
      <c r="O316" s="43">
        <v>0</v>
      </c>
      <c r="P316" s="47" t="s">
        <v>45</v>
      </c>
      <c r="R316" s="37">
        <v>0</v>
      </c>
      <c r="S316" s="37">
        <v>0</v>
      </c>
      <c r="T316" s="37">
        <v>600000</v>
      </c>
      <c r="U316" s="37">
        <v>0</v>
      </c>
      <c r="V316" s="37">
        <v>500000</v>
      </c>
      <c r="W316" s="37">
        <v>0</v>
      </c>
      <c r="X316" s="37">
        <v>0</v>
      </c>
      <c r="Y316" s="37">
        <v>0</v>
      </c>
      <c r="Z316" s="37">
        <v>40000</v>
      </c>
      <c r="AA316" s="37">
        <v>0</v>
      </c>
      <c r="AB316" s="37">
        <v>40000</v>
      </c>
      <c r="AC316" s="37">
        <v>0</v>
      </c>
      <c r="AD316" s="37">
        <v>12000</v>
      </c>
      <c r="AE316" s="37">
        <v>0</v>
      </c>
      <c r="AF316" s="37">
        <v>0</v>
      </c>
      <c r="AG316" s="59">
        <v>1192000</v>
      </c>
      <c r="AH316" s="37">
        <v>0</v>
      </c>
      <c r="AI316" s="37">
        <v>0</v>
      </c>
      <c r="AJ316" s="37">
        <v>0</v>
      </c>
      <c r="AK316" s="37">
        <v>0</v>
      </c>
      <c r="AL316" s="37">
        <v>0</v>
      </c>
      <c r="AM316" s="37">
        <v>0</v>
      </c>
      <c r="AN316" s="37">
        <v>600</v>
      </c>
      <c r="AO316" s="37">
        <v>0</v>
      </c>
      <c r="AP316" s="37">
        <v>200</v>
      </c>
      <c r="AQ316" s="37">
        <v>0</v>
      </c>
      <c r="AR316" s="37">
        <v>0</v>
      </c>
      <c r="AS316" s="59">
        <v>800</v>
      </c>
      <c r="AT316" s="59">
        <v>1192800</v>
      </c>
      <c r="AU316" s="45"/>
      <c r="AV316" s="37">
        <v>0</v>
      </c>
      <c r="AW316" s="37">
        <v>0</v>
      </c>
      <c r="AX316" s="37">
        <v>0</v>
      </c>
      <c r="AY316" s="37">
        <v>0</v>
      </c>
      <c r="AZ316" s="37">
        <v>0</v>
      </c>
      <c r="BA316" s="37">
        <v>0</v>
      </c>
      <c r="BB316" s="37">
        <v>0</v>
      </c>
      <c r="BC316" s="37">
        <v>0</v>
      </c>
      <c r="BD316" s="37">
        <v>0</v>
      </c>
      <c r="BE316" s="37">
        <v>0</v>
      </c>
      <c r="BF316" s="37">
        <v>0</v>
      </c>
      <c r="BG316" s="37">
        <v>0</v>
      </c>
      <c r="BH316" s="37">
        <v>0</v>
      </c>
      <c r="BI316" s="37">
        <v>0</v>
      </c>
      <c r="BJ316" s="37">
        <v>0</v>
      </c>
      <c r="BK316" s="59">
        <v>0</v>
      </c>
      <c r="BL316" s="37">
        <v>0</v>
      </c>
      <c r="BM316" s="37">
        <v>0</v>
      </c>
      <c r="BN316" s="37">
        <v>0</v>
      </c>
      <c r="BO316" s="37">
        <v>0</v>
      </c>
      <c r="BP316" s="37">
        <v>0</v>
      </c>
      <c r="BQ316" s="37">
        <v>0</v>
      </c>
      <c r="BR316" s="37">
        <v>0</v>
      </c>
      <c r="BS316" s="37">
        <v>0</v>
      </c>
      <c r="BT316" s="37">
        <v>0</v>
      </c>
      <c r="BU316" s="37">
        <v>0</v>
      </c>
      <c r="BV316" s="37">
        <v>0</v>
      </c>
      <c r="BW316" s="59">
        <v>0</v>
      </c>
      <c r="BX316" s="59">
        <v>0</v>
      </c>
      <c r="BZ316" s="37">
        <v>600000</v>
      </c>
      <c r="CA316" s="37">
        <v>500000</v>
      </c>
      <c r="CB316" s="37">
        <v>0</v>
      </c>
      <c r="CC316" s="37">
        <v>40000</v>
      </c>
      <c r="CD316" s="37">
        <v>40000</v>
      </c>
      <c r="CE316" s="37">
        <v>12000</v>
      </c>
      <c r="CF316" s="37">
        <v>0</v>
      </c>
      <c r="CG316" s="59">
        <v>1192000</v>
      </c>
      <c r="CH316" s="37">
        <v>0</v>
      </c>
      <c r="CI316" s="37">
        <v>0</v>
      </c>
      <c r="CJ316" s="37">
        <v>600</v>
      </c>
      <c r="CK316" s="37">
        <v>200</v>
      </c>
      <c r="CL316" s="37">
        <v>0</v>
      </c>
      <c r="CM316" s="37">
        <v>0</v>
      </c>
      <c r="CN316" s="59">
        <v>800</v>
      </c>
      <c r="CO316" s="59">
        <v>1192800</v>
      </c>
      <c r="CP316" s="58"/>
      <c r="CQ316" s="3">
        <v>1192800</v>
      </c>
    </row>
    <row r="317" spans="1:95" customFormat="1" x14ac:dyDescent="0.2">
      <c r="A317" s="209">
        <v>43304</v>
      </c>
      <c r="B317" s="33" t="s">
        <v>55</v>
      </c>
      <c r="C317" s="33" t="s">
        <v>56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2000</v>
      </c>
      <c r="W317" s="37">
        <v>0</v>
      </c>
      <c r="X317" s="37">
        <v>0</v>
      </c>
      <c r="Y317" s="37">
        <v>0</v>
      </c>
      <c r="Z317" s="37">
        <v>400</v>
      </c>
      <c r="AA317" s="37">
        <v>0</v>
      </c>
      <c r="AB317" s="37">
        <v>200</v>
      </c>
      <c r="AC317" s="37">
        <v>0</v>
      </c>
      <c r="AD317" s="37">
        <v>80</v>
      </c>
      <c r="AE317" s="37">
        <v>0</v>
      </c>
      <c r="AF317" s="37">
        <v>0</v>
      </c>
      <c r="AG317" s="59">
        <v>2680</v>
      </c>
      <c r="AH317" s="37">
        <v>0</v>
      </c>
      <c r="AI317" s="37">
        <v>0</v>
      </c>
      <c r="AJ317" s="37">
        <v>0</v>
      </c>
      <c r="AK317" s="37">
        <v>0</v>
      </c>
      <c r="AL317" s="37">
        <v>5</v>
      </c>
      <c r="AM317" s="37">
        <v>0</v>
      </c>
      <c r="AN317" s="37">
        <v>4</v>
      </c>
      <c r="AO317" s="37">
        <v>0</v>
      </c>
      <c r="AP317" s="37">
        <v>2</v>
      </c>
      <c r="AQ317" s="37">
        <v>0</v>
      </c>
      <c r="AR317" s="37">
        <v>0</v>
      </c>
      <c r="AS317" s="59">
        <v>11</v>
      </c>
      <c r="AT317" s="59">
        <v>2691</v>
      </c>
      <c r="AU317" s="45"/>
      <c r="AV317" s="37">
        <v>0</v>
      </c>
      <c r="AW317" s="37">
        <v>0</v>
      </c>
      <c r="AX317" s="37">
        <v>0</v>
      </c>
      <c r="AY317" s="37">
        <v>0</v>
      </c>
      <c r="AZ317" s="37">
        <v>0</v>
      </c>
      <c r="BA317" s="37">
        <v>0</v>
      </c>
      <c r="BB317" s="37">
        <v>0</v>
      </c>
      <c r="BC317" s="37">
        <v>0</v>
      </c>
      <c r="BD317" s="37">
        <v>0</v>
      </c>
      <c r="BE317" s="37">
        <v>0</v>
      </c>
      <c r="BF317" s="37">
        <v>0</v>
      </c>
      <c r="BG317" s="37">
        <v>0</v>
      </c>
      <c r="BH317" s="37">
        <v>0</v>
      </c>
      <c r="BI317" s="37">
        <v>0</v>
      </c>
      <c r="BJ317" s="37">
        <v>0</v>
      </c>
      <c r="BK317" s="59">
        <v>0</v>
      </c>
      <c r="BL317" s="37">
        <v>0</v>
      </c>
      <c r="BM317" s="37">
        <v>0</v>
      </c>
      <c r="BN317" s="37">
        <v>0</v>
      </c>
      <c r="BO317" s="37">
        <v>0</v>
      </c>
      <c r="BP317" s="37">
        <v>0</v>
      </c>
      <c r="BQ317" s="37">
        <v>0</v>
      </c>
      <c r="BR317" s="37">
        <v>0</v>
      </c>
      <c r="BS317" s="37">
        <v>0</v>
      </c>
      <c r="BT317" s="37">
        <v>0</v>
      </c>
      <c r="BU317" s="37">
        <v>0</v>
      </c>
      <c r="BV317" s="37">
        <v>0</v>
      </c>
      <c r="BW317" s="59">
        <v>0</v>
      </c>
      <c r="BX317" s="59">
        <v>0</v>
      </c>
      <c r="BZ317" s="37">
        <v>0</v>
      </c>
      <c r="CA317" s="37">
        <v>2000</v>
      </c>
      <c r="CB317" s="37">
        <v>0</v>
      </c>
      <c r="CC317" s="37">
        <v>400</v>
      </c>
      <c r="CD317" s="37">
        <v>200</v>
      </c>
      <c r="CE317" s="37">
        <v>80</v>
      </c>
      <c r="CF317" s="37">
        <v>0</v>
      </c>
      <c r="CG317" s="59">
        <v>2680</v>
      </c>
      <c r="CH317" s="37">
        <v>0</v>
      </c>
      <c r="CI317" s="37">
        <v>5</v>
      </c>
      <c r="CJ317" s="37">
        <v>4</v>
      </c>
      <c r="CK317" s="37">
        <v>2</v>
      </c>
      <c r="CL317" s="37">
        <v>0</v>
      </c>
      <c r="CM317" s="37">
        <v>0</v>
      </c>
      <c r="CN317" s="59">
        <v>11</v>
      </c>
      <c r="CO317" s="59">
        <v>2691</v>
      </c>
      <c r="CP317" s="58"/>
      <c r="CQ317" s="3">
        <v>2691</v>
      </c>
    </row>
    <row r="318" spans="1:95" customFormat="1" x14ac:dyDescent="0.2">
      <c r="A318" s="209">
        <v>43304</v>
      </c>
      <c r="B318" s="33" t="s">
        <v>83</v>
      </c>
      <c r="C318" s="33" t="s">
        <v>76</v>
      </c>
      <c r="D318" s="43">
        <v>0</v>
      </c>
      <c r="E318" s="43">
        <v>1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0</v>
      </c>
      <c r="O318" s="43">
        <v>0</v>
      </c>
      <c r="P318" s="47" t="s">
        <v>88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  <c r="AE318" s="37">
        <v>0</v>
      </c>
      <c r="AF318" s="37">
        <v>0</v>
      </c>
      <c r="AG318" s="59">
        <v>0</v>
      </c>
      <c r="AH318" s="37">
        <v>2500</v>
      </c>
      <c r="AI318" s="37">
        <v>0</v>
      </c>
      <c r="AJ318" s="37">
        <v>1250</v>
      </c>
      <c r="AK318" s="37">
        <v>0</v>
      </c>
      <c r="AL318" s="37">
        <v>0</v>
      </c>
      <c r="AM318" s="37">
        <v>0</v>
      </c>
      <c r="AN318" s="37">
        <v>0</v>
      </c>
      <c r="AO318" s="37">
        <v>0</v>
      </c>
      <c r="AP318" s="37">
        <v>0</v>
      </c>
      <c r="AQ318" s="37">
        <v>0</v>
      </c>
      <c r="AR318" s="37">
        <v>0</v>
      </c>
      <c r="AS318" s="59">
        <v>3750</v>
      </c>
      <c r="AT318" s="59">
        <v>3750</v>
      </c>
      <c r="AU318" s="45"/>
      <c r="AV318" s="37">
        <v>0</v>
      </c>
      <c r="AW318" s="37">
        <v>0</v>
      </c>
      <c r="AX318" s="37">
        <v>0</v>
      </c>
      <c r="AY318" s="37">
        <v>0</v>
      </c>
      <c r="AZ318" s="37">
        <v>0</v>
      </c>
      <c r="BA318" s="37">
        <v>0</v>
      </c>
      <c r="BB318" s="37">
        <v>0</v>
      </c>
      <c r="BC318" s="37">
        <v>0</v>
      </c>
      <c r="BD318" s="37">
        <v>0</v>
      </c>
      <c r="BE318" s="37">
        <v>0</v>
      </c>
      <c r="BF318" s="37">
        <v>0</v>
      </c>
      <c r="BG318" s="37">
        <v>0</v>
      </c>
      <c r="BH318" s="37">
        <v>0</v>
      </c>
      <c r="BI318" s="37">
        <v>0</v>
      </c>
      <c r="BJ318" s="37">
        <v>0</v>
      </c>
      <c r="BK318" s="59">
        <v>0</v>
      </c>
      <c r="BL318" s="37">
        <v>0</v>
      </c>
      <c r="BM318" s="37">
        <v>0</v>
      </c>
      <c r="BN318" s="37">
        <v>0</v>
      </c>
      <c r="BO318" s="37">
        <v>0</v>
      </c>
      <c r="BP318" s="37">
        <v>0</v>
      </c>
      <c r="BQ318" s="37">
        <v>0</v>
      </c>
      <c r="BR318" s="37">
        <v>0</v>
      </c>
      <c r="BS318" s="37">
        <v>0</v>
      </c>
      <c r="BT318" s="37">
        <v>0</v>
      </c>
      <c r="BU318" s="37">
        <v>0</v>
      </c>
      <c r="BV318" s="37">
        <v>0</v>
      </c>
      <c r="BW318" s="59">
        <v>0</v>
      </c>
      <c r="BX318" s="59">
        <v>0</v>
      </c>
      <c r="BZ318" s="37">
        <v>0</v>
      </c>
      <c r="CA318" s="37">
        <v>0</v>
      </c>
      <c r="CB318" s="37">
        <v>0</v>
      </c>
      <c r="CC318" s="37">
        <v>0</v>
      </c>
      <c r="CD318" s="37">
        <v>0</v>
      </c>
      <c r="CE318" s="37">
        <v>0</v>
      </c>
      <c r="CF318" s="37">
        <v>0</v>
      </c>
      <c r="CG318" s="59">
        <v>0</v>
      </c>
      <c r="CH318" s="37">
        <v>2500</v>
      </c>
      <c r="CI318" s="37">
        <v>1250</v>
      </c>
      <c r="CJ318" s="37">
        <v>0</v>
      </c>
      <c r="CK318" s="37">
        <v>0</v>
      </c>
      <c r="CL318" s="37">
        <v>0</v>
      </c>
      <c r="CM318" s="37">
        <v>0</v>
      </c>
      <c r="CN318" s="59">
        <v>3750</v>
      </c>
      <c r="CO318" s="59">
        <v>3750</v>
      </c>
      <c r="CP318" s="58"/>
      <c r="CQ318" s="3">
        <v>3750</v>
      </c>
    </row>
    <row r="319" spans="1:95" customFormat="1" x14ac:dyDescent="0.2">
      <c r="A319" s="209">
        <v>43305</v>
      </c>
      <c r="B319" s="33" t="s">
        <v>55</v>
      </c>
      <c r="C319" s="33" t="s">
        <v>56</v>
      </c>
      <c r="D319" s="43">
        <v>0</v>
      </c>
      <c r="E319" s="43">
        <v>0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0</v>
      </c>
      <c r="L319" s="43">
        <v>0</v>
      </c>
      <c r="M319" s="43">
        <v>0</v>
      </c>
      <c r="N319" s="43">
        <v>0</v>
      </c>
      <c r="O319" s="43">
        <v>0</v>
      </c>
      <c r="P319" s="47">
        <v>0</v>
      </c>
      <c r="R319" s="37">
        <v>0</v>
      </c>
      <c r="S319" s="37">
        <v>0</v>
      </c>
      <c r="T319" s="37">
        <v>4000</v>
      </c>
      <c r="U319" s="37">
        <v>0</v>
      </c>
      <c r="V319" s="37">
        <v>2000</v>
      </c>
      <c r="W319" s="37">
        <v>0</v>
      </c>
      <c r="X319" s="37">
        <v>0</v>
      </c>
      <c r="Y319" s="37">
        <v>0</v>
      </c>
      <c r="Z319" s="37">
        <v>400</v>
      </c>
      <c r="AA319" s="37">
        <v>0</v>
      </c>
      <c r="AB319" s="37">
        <v>200</v>
      </c>
      <c r="AC319" s="37">
        <v>0</v>
      </c>
      <c r="AD319" s="37">
        <v>80</v>
      </c>
      <c r="AE319" s="37">
        <v>0</v>
      </c>
      <c r="AF319" s="37">
        <v>0</v>
      </c>
      <c r="AG319" s="59">
        <v>6680</v>
      </c>
      <c r="AH319" s="37">
        <v>0</v>
      </c>
      <c r="AI319" s="37">
        <v>0</v>
      </c>
      <c r="AJ319" s="37">
        <v>0</v>
      </c>
      <c r="AK319" s="37">
        <v>0</v>
      </c>
      <c r="AL319" s="37">
        <v>0</v>
      </c>
      <c r="AM319" s="37">
        <v>0</v>
      </c>
      <c r="AN319" s="37">
        <v>0</v>
      </c>
      <c r="AO319" s="37">
        <v>0</v>
      </c>
      <c r="AP319" s="37">
        <v>0</v>
      </c>
      <c r="AQ319" s="37">
        <v>0</v>
      </c>
      <c r="AR319" s="37">
        <v>0</v>
      </c>
      <c r="AS319" s="59">
        <v>0</v>
      </c>
      <c r="AT319" s="59">
        <v>6680</v>
      </c>
      <c r="AU319" s="45"/>
      <c r="AV319" s="37">
        <v>0</v>
      </c>
      <c r="AW319" s="37">
        <v>0</v>
      </c>
      <c r="AX319" s="37">
        <v>0</v>
      </c>
      <c r="AY319" s="37">
        <v>0</v>
      </c>
      <c r="AZ319" s="37">
        <v>0</v>
      </c>
      <c r="BA319" s="37">
        <v>0</v>
      </c>
      <c r="BB319" s="37">
        <v>0</v>
      </c>
      <c r="BC319" s="37">
        <v>0</v>
      </c>
      <c r="BD319" s="37">
        <v>0</v>
      </c>
      <c r="BE319" s="37">
        <v>0</v>
      </c>
      <c r="BF319" s="37">
        <v>0</v>
      </c>
      <c r="BG319" s="37">
        <v>0</v>
      </c>
      <c r="BH319" s="37">
        <v>0</v>
      </c>
      <c r="BI319" s="37">
        <v>0</v>
      </c>
      <c r="BJ319" s="37">
        <v>0</v>
      </c>
      <c r="BK319" s="59">
        <v>0</v>
      </c>
      <c r="BL319" s="37">
        <v>0</v>
      </c>
      <c r="BM319" s="37">
        <v>0</v>
      </c>
      <c r="BN319" s="37">
        <v>0</v>
      </c>
      <c r="BO319" s="37">
        <v>0</v>
      </c>
      <c r="BP319" s="37">
        <v>0</v>
      </c>
      <c r="BQ319" s="37">
        <v>0</v>
      </c>
      <c r="BR319" s="37">
        <v>0</v>
      </c>
      <c r="BS319" s="37">
        <v>0</v>
      </c>
      <c r="BT319" s="37">
        <v>0</v>
      </c>
      <c r="BU319" s="37">
        <v>0</v>
      </c>
      <c r="BV319" s="37">
        <v>0</v>
      </c>
      <c r="BW319" s="59">
        <v>0</v>
      </c>
      <c r="BX319" s="59">
        <v>0</v>
      </c>
      <c r="BZ319" s="37">
        <v>4000</v>
      </c>
      <c r="CA319" s="37">
        <v>2000</v>
      </c>
      <c r="CB319" s="37">
        <v>0</v>
      </c>
      <c r="CC319" s="37">
        <v>400</v>
      </c>
      <c r="CD319" s="37">
        <v>200</v>
      </c>
      <c r="CE319" s="37">
        <v>80</v>
      </c>
      <c r="CF319" s="37">
        <v>0</v>
      </c>
      <c r="CG319" s="59">
        <v>6680</v>
      </c>
      <c r="CH319" s="37">
        <v>0</v>
      </c>
      <c r="CI319" s="37">
        <v>0</v>
      </c>
      <c r="CJ319" s="37">
        <v>0</v>
      </c>
      <c r="CK319" s="37">
        <v>0</v>
      </c>
      <c r="CL319" s="37">
        <v>0</v>
      </c>
      <c r="CM319" s="37">
        <v>0</v>
      </c>
      <c r="CN319" s="59">
        <v>0</v>
      </c>
      <c r="CO319" s="59">
        <v>6680</v>
      </c>
      <c r="CP319" s="58"/>
      <c r="CQ319" s="3">
        <v>6680</v>
      </c>
    </row>
    <row r="320" spans="1:95" customFormat="1" x14ac:dyDescent="0.2">
      <c r="A320" s="209">
        <v>43305</v>
      </c>
      <c r="B320" s="33" t="s">
        <v>53</v>
      </c>
      <c r="C320" s="33" t="s">
        <v>84</v>
      </c>
      <c r="D320" s="43">
        <v>0</v>
      </c>
      <c r="E320" s="43">
        <v>1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47" t="s">
        <v>45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  <c r="AE320" s="37">
        <v>0</v>
      </c>
      <c r="AF320" s="37">
        <v>0</v>
      </c>
      <c r="AG320" s="59">
        <v>0</v>
      </c>
      <c r="AH320" s="37">
        <v>6250</v>
      </c>
      <c r="AI320" s="37">
        <v>0</v>
      </c>
      <c r="AJ320" s="37">
        <v>3125</v>
      </c>
      <c r="AK320" s="37">
        <v>0</v>
      </c>
      <c r="AL320" s="37">
        <v>0</v>
      </c>
      <c r="AM320" s="37">
        <v>0</v>
      </c>
      <c r="AN320" s="37">
        <v>0</v>
      </c>
      <c r="AO320" s="37">
        <v>0</v>
      </c>
      <c r="AP320" s="37">
        <v>0</v>
      </c>
      <c r="AQ320" s="37">
        <v>0</v>
      </c>
      <c r="AR320" s="37">
        <v>0</v>
      </c>
      <c r="AS320" s="59">
        <v>9375</v>
      </c>
      <c r="AT320" s="59">
        <v>9375</v>
      </c>
      <c r="AU320" s="45"/>
      <c r="AV320" s="37">
        <v>0</v>
      </c>
      <c r="AW320" s="37">
        <v>0</v>
      </c>
      <c r="AX320" s="37">
        <v>0</v>
      </c>
      <c r="AY320" s="37">
        <v>0</v>
      </c>
      <c r="AZ320" s="37">
        <v>0</v>
      </c>
      <c r="BA320" s="37">
        <v>0</v>
      </c>
      <c r="BB320" s="37">
        <v>0</v>
      </c>
      <c r="BC320" s="37">
        <v>0</v>
      </c>
      <c r="BD320" s="37">
        <v>0</v>
      </c>
      <c r="BE320" s="37">
        <v>0</v>
      </c>
      <c r="BF320" s="37">
        <v>0</v>
      </c>
      <c r="BG320" s="37">
        <v>0</v>
      </c>
      <c r="BH320" s="37">
        <v>0</v>
      </c>
      <c r="BI320" s="37">
        <v>0</v>
      </c>
      <c r="BJ320" s="37">
        <v>0</v>
      </c>
      <c r="BK320" s="59">
        <v>0</v>
      </c>
      <c r="BL320" s="37">
        <v>0</v>
      </c>
      <c r="BM320" s="37">
        <v>0</v>
      </c>
      <c r="BN320" s="37">
        <v>0</v>
      </c>
      <c r="BO320" s="37">
        <v>0</v>
      </c>
      <c r="BP320" s="37">
        <v>0</v>
      </c>
      <c r="BQ320" s="37">
        <v>0</v>
      </c>
      <c r="BR320" s="37">
        <v>0</v>
      </c>
      <c r="BS320" s="37">
        <v>0</v>
      </c>
      <c r="BT320" s="37">
        <v>0</v>
      </c>
      <c r="BU320" s="37">
        <v>0</v>
      </c>
      <c r="BV320" s="37">
        <v>0</v>
      </c>
      <c r="BW320" s="59">
        <v>0</v>
      </c>
      <c r="BX320" s="59">
        <v>0</v>
      </c>
      <c r="BZ320" s="37">
        <v>0</v>
      </c>
      <c r="CA320" s="37">
        <v>0</v>
      </c>
      <c r="CB320" s="37">
        <v>0</v>
      </c>
      <c r="CC320" s="37">
        <v>0</v>
      </c>
      <c r="CD320" s="37">
        <v>0</v>
      </c>
      <c r="CE320" s="37">
        <v>0</v>
      </c>
      <c r="CF320" s="37">
        <v>0</v>
      </c>
      <c r="CG320" s="59">
        <v>0</v>
      </c>
      <c r="CH320" s="37">
        <v>6250</v>
      </c>
      <c r="CI320" s="37">
        <v>3125</v>
      </c>
      <c r="CJ320" s="37">
        <v>0</v>
      </c>
      <c r="CK320" s="37">
        <v>0</v>
      </c>
      <c r="CL320" s="37">
        <v>0</v>
      </c>
      <c r="CM320" s="37">
        <v>0</v>
      </c>
      <c r="CN320" s="59">
        <v>9375</v>
      </c>
      <c r="CO320" s="59">
        <v>9375</v>
      </c>
      <c r="CP320" s="58"/>
      <c r="CQ320" s="3">
        <v>9375</v>
      </c>
    </row>
    <row r="321" spans="1:95" customFormat="1" x14ac:dyDescent="0.2">
      <c r="A321" s="209">
        <v>43306</v>
      </c>
      <c r="B321" s="33" t="s">
        <v>55</v>
      </c>
      <c r="C321" s="33" t="s">
        <v>56</v>
      </c>
      <c r="D321" s="43">
        <v>0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0</v>
      </c>
      <c r="P321" s="47">
        <v>0</v>
      </c>
      <c r="R321" s="37">
        <v>0</v>
      </c>
      <c r="S321" s="37">
        <v>0</v>
      </c>
      <c r="T321" s="37">
        <v>4000</v>
      </c>
      <c r="U321" s="37">
        <v>0</v>
      </c>
      <c r="V321" s="37">
        <v>2000</v>
      </c>
      <c r="W321" s="37">
        <v>0</v>
      </c>
      <c r="X321" s="37">
        <v>0</v>
      </c>
      <c r="Y321" s="37">
        <v>0</v>
      </c>
      <c r="Z321" s="37">
        <v>400</v>
      </c>
      <c r="AA321" s="37">
        <v>0</v>
      </c>
      <c r="AB321" s="37">
        <v>200</v>
      </c>
      <c r="AC321" s="37">
        <v>0</v>
      </c>
      <c r="AD321" s="37">
        <v>80</v>
      </c>
      <c r="AE321" s="37">
        <v>0</v>
      </c>
      <c r="AF321" s="37">
        <v>0</v>
      </c>
      <c r="AG321" s="59">
        <v>6680</v>
      </c>
      <c r="AH321" s="37">
        <v>0</v>
      </c>
      <c r="AI321" s="37">
        <v>0</v>
      </c>
      <c r="AJ321" s="37">
        <v>0</v>
      </c>
      <c r="AK321" s="37">
        <v>0</v>
      </c>
      <c r="AL321" s="37">
        <v>5</v>
      </c>
      <c r="AM321" s="37">
        <v>0</v>
      </c>
      <c r="AN321" s="37">
        <v>4</v>
      </c>
      <c r="AO321" s="37">
        <v>0</v>
      </c>
      <c r="AP321" s="37">
        <v>2</v>
      </c>
      <c r="AQ321" s="37">
        <v>0</v>
      </c>
      <c r="AR321" s="37">
        <v>0</v>
      </c>
      <c r="AS321" s="59">
        <v>11</v>
      </c>
      <c r="AT321" s="59">
        <v>6691</v>
      </c>
      <c r="AU321" s="45"/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>
        <v>0</v>
      </c>
      <c r="BB321" s="37">
        <v>0</v>
      </c>
      <c r="BC321" s="37">
        <v>0</v>
      </c>
      <c r="BD321" s="37">
        <v>0</v>
      </c>
      <c r="BE321" s="37">
        <v>0</v>
      </c>
      <c r="BF321" s="37">
        <v>0</v>
      </c>
      <c r="BG321" s="37">
        <v>0</v>
      </c>
      <c r="BH321" s="37">
        <v>0</v>
      </c>
      <c r="BI321" s="37">
        <v>0</v>
      </c>
      <c r="BJ321" s="37">
        <v>0</v>
      </c>
      <c r="BK321" s="59">
        <v>0</v>
      </c>
      <c r="BL321" s="37">
        <v>0</v>
      </c>
      <c r="BM321" s="37">
        <v>0</v>
      </c>
      <c r="BN321" s="37">
        <v>0</v>
      </c>
      <c r="BO321" s="37">
        <v>0</v>
      </c>
      <c r="BP321" s="37">
        <v>0</v>
      </c>
      <c r="BQ321" s="37">
        <v>0</v>
      </c>
      <c r="BR321" s="37">
        <v>0</v>
      </c>
      <c r="BS321" s="37">
        <v>0</v>
      </c>
      <c r="BT321" s="37">
        <v>0</v>
      </c>
      <c r="BU321" s="37">
        <v>0</v>
      </c>
      <c r="BV321" s="37">
        <v>0</v>
      </c>
      <c r="BW321" s="59">
        <v>0</v>
      </c>
      <c r="BX321" s="59">
        <v>0</v>
      </c>
      <c r="BZ321" s="37">
        <v>4000</v>
      </c>
      <c r="CA321" s="37">
        <v>2000</v>
      </c>
      <c r="CB321" s="37">
        <v>0</v>
      </c>
      <c r="CC321" s="37">
        <v>400</v>
      </c>
      <c r="CD321" s="37">
        <v>200</v>
      </c>
      <c r="CE321" s="37">
        <v>80</v>
      </c>
      <c r="CF321" s="37">
        <v>0</v>
      </c>
      <c r="CG321" s="59">
        <v>6680</v>
      </c>
      <c r="CH321" s="37">
        <v>0</v>
      </c>
      <c r="CI321" s="37">
        <v>5</v>
      </c>
      <c r="CJ321" s="37">
        <v>4</v>
      </c>
      <c r="CK321" s="37">
        <v>2</v>
      </c>
      <c r="CL321" s="37">
        <v>0</v>
      </c>
      <c r="CM321" s="37">
        <v>0</v>
      </c>
      <c r="CN321" s="59">
        <v>11</v>
      </c>
      <c r="CO321" s="59">
        <v>6691</v>
      </c>
      <c r="CP321" s="58"/>
      <c r="CQ321" s="3">
        <v>6691</v>
      </c>
    </row>
    <row r="322" spans="1:95" customFormat="1" x14ac:dyDescent="0.2">
      <c r="A322" s="209">
        <v>43307</v>
      </c>
      <c r="B322" s="33" t="s">
        <v>55</v>
      </c>
      <c r="C322" s="33" t="s">
        <v>56</v>
      </c>
      <c r="D322" s="43">
        <v>0</v>
      </c>
      <c r="E322" s="43">
        <v>0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0</v>
      </c>
      <c r="L322" s="43">
        <v>0</v>
      </c>
      <c r="M322" s="43">
        <v>0</v>
      </c>
      <c r="N322" s="43">
        <v>0</v>
      </c>
      <c r="O322" s="43">
        <v>0</v>
      </c>
      <c r="P322" s="47">
        <v>0</v>
      </c>
      <c r="R322" s="37">
        <v>0</v>
      </c>
      <c r="S322" s="37">
        <v>0</v>
      </c>
      <c r="T322" s="37">
        <v>4000</v>
      </c>
      <c r="U322" s="37">
        <v>0</v>
      </c>
      <c r="V322" s="37">
        <v>2000</v>
      </c>
      <c r="W322" s="37">
        <v>0</v>
      </c>
      <c r="X322" s="37">
        <v>0</v>
      </c>
      <c r="Y322" s="37">
        <v>0</v>
      </c>
      <c r="Z322" s="37">
        <v>400</v>
      </c>
      <c r="AA322" s="37">
        <v>0</v>
      </c>
      <c r="AB322" s="37">
        <v>200</v>
      </c>
      <c r="AC322" s="37">
        <v>0</v>
      </c>
      <c r="AD322" s="37">
        <v>80</v>
      </c>
      <c r="AE322" s="37">
        <v>0</v>
      </c>
      <c r="AF322" s="37">
        <v>0</v>
      </c>
      <c r="AG322" s="59">
        <v>6680</v>
      </c>
      <c r="AH322" s="37">
        <v>0</v>
      </c>
      <c r="AI322" s="37">
        <v>0</v>
      </c>
      <c r="AJ322" s="37">
        <v>0</v>
      </c>
      <c r="AK322" s="37">
        <v>0</v>
      </c>
      <c r="AL322" s="37">
        <v>0</v>
      </c>
      <c r="AM322" s="37">
        <v>0</v>
      </c>
      <c r="AN322" s="37">
        <v>0</v>
      </c>
      <c r="AO322" s="37">
        <v>0</v>
      </c>
      <c r="AP322" s="37">
        <v>0</v>
      </c>
      <c r="AQ322" s="37">
        <v>0</v>
      </c>
      <c r="AR322" s="37">
        <v>0</v>
      </c>
      <c r="AS322" s="59">
        <v>0</v>
      </c>
      <c r="AT322" s="59">
        <v>6680</v>
      </c>
      <c r="AU322" s="45"/>
      <c r="AV322" s="37">
        <v>0</v>
      </c>
      <c r="AW322" s="37">
        <v>0</v>
      </c>
      <c r="AX322" s="37">
        <v>0</v>
      </c>
      <c r="AY322" s="37">
        <v>0</v>
      </c>
      <c r="AZ322" s="37">
        <v>0</v>
      </c>
      <c r="BA322" s="37">
        <v>0</v>
      </c>
      <c r="BB322" s="37">
        <v>0</v>
      </c>
      <c r="BC322" s="37">
        <v>0</v>
      </c>
      <c r="BD322" s="37">
        <v>0</v>
      </c>
      <c r="BE322" s="37">
        <v>0</v>
      </c>
      <c r="BF322" s="37">
        <v>0</v>
      </c>
      <c r="BG322" s="37">
        <v>0</v>
      </c>
      <c r="BH322" s="37">
        <v>0</v>
      </c>
      <c r="BI322" s="37">
        <v>0</v>
      </c>
      <c r="BJ322" s="37">
        <v>0</v>
      </c>
      <c r="BK322" s="59">
        <v>0</v>
      </c>
      <c r="BL322" s="37">
        <v>0</v>
      </c>
      <c r="BM322" s="37">
        <v>0</v>
      </c>
      <c r="BN322" s="37">
        <v>0</v>
      </c>
      <c r="BO322" s="37">
        <v>0</v>
      </c>
      <c r="BP322" s="37">
        <v>0</v>
      </c>
      <c r="BQ322" s="37">
        <v>0</v>
      </c>
      <c r="BR322" s="37">
        <v>0</v>
      </c>
      <c r="BS322" s="37">
        <v>0</v>
      </c>
      <c r="BT322" s="37">
        <v>0</v>
      </c>
      <c r="BU322" s="37">
        <v>0</v>
      </c>
      <c r="BV322" s="37">
        <v>0</v>
      </c>
      <c r="BW322" s="59">
        <v>0</v>
      </c>
      <c r="BX322" s="59">
        <v>0</v>
      </c>
      <c r="BZ322" s="37">
        <v>4000</v>
      </c>
      <c r="CA322" s="37">
        <v>2000</v>
      </c>
      <c r="CB322" s="37">
        <v>0</v>
      </c>
      <c r="CC322" s="37">
        <v>400</v>
      </c>
      <c r="CD322" s="37">
        <v>200</v>
      </c>
      <c r="CE322" s="37">
        <v>80</v>
      </c>
      <c r="CF322" s="37">
        <v>0</v>
      </c>
      <c r="CG322" s="59">
        <v>6680</v>
      </c>
      <c r="CH322" s="37">
        <v>0</v>
      </c>
      <c r="CI322" s="37">
        <v>0</v>
      </c>
      <c r="CJ322" s="37">
        <v>0</v>
      </c>
      <c r="CK322" s="37">
        <v>0</v>
      </c>
      <c r="CL322" s="37">
        <v>0</v>
      </c>
      <c r="CM322" s="37">
        <v>0</v>
      </c>
      <c r="CN322" s="59">
        <v>0</v>
      </c>
      <c r="CO322" s="59">
        <v>6680</v>
      </c>
      <c r="CP322" s="58"/>
      <c r="CQ322" s="3">
        <v>6680</v>
      </c>
    </row>
    <row r="323" spans="1:95" customFormat="1" x14ac:dyDescent="0.2">
      <c r="A323" s="209">
        <v>43307</v>
      </c>
      <c r="B323" s="33" t="s">
        <v>83</v>
      </c>
      <c r="C323" s="33" t="s">
        <v>76</v>
      </c>
      <c r="D323" s="43">
        <v>0</v>
      </c>
      <c r="E323" s="43">
        <v>1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  <c r="L323" s="43">
        <v>0</v>
      </c>
      <c r="M323" s="43">
        <v>0</v>
      </c>
      <c r="N323" s="43">
        <v>0</v>
      </c>
      <c r="O323" s="43">
        <v>0</v>
      </c>
      <c r="P323" s="47" t="s">
        <v>45</v>
      </c>
      <c r="R323" s="37">
        <v>0</v>
      </c>
      <c r="S323" s="37">
        <v>0</v>
      </c>
      <c r="T323" s="37">
        <v>400000</v>
      </c>
      <c r="U323" s="37">
        <v>0</v>
      </c>
      <c r="V323" s="37">
        <v>300000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  <c r="AE323" s="37">
        <v>0</v>
      </c>
      <c r="AF323" s="37">
        <v>0</v>
      </c>
      <c r="AG323" s="59">
        <v>700000</v>
      </c>
      <c r="AH323" s="37">
        <v>500</v>
      </c>
      <c r="AI323" s="37">
        <v>0</v>
      </c>
      <c r="AJ323" s="37">
        <v>0</v>
      </c>
      <c r="AK323" s="37">
        <v>0</v>
      </c>
      <c r="AL323" s="37">
        <v>0</v>
      </c>
      <c r="AM323" s="37">
        <v>0</v>
      </c>
      <c r="AN323" s="37">
        <v>400</v>
      </c>
      <c r="AO323" s="37">
        <v>0</v>
      </c>
      <c r="AP323" s="37">
        <v>0</v>
      </c>
      <c r="AQ323" s="37">
        <v>0</v>
      </c>
      <c r="AR323" s="37">
        <v>0</v>
      </c>
      <c r="AS323" s="59">
        <v>900</v>
      </c>
      <c r="AT323" s="59">
        <v>700900</v>
      </c>
      <c r="AU323" s="45"/>
      <c r="AV323" s="37">
        <v>0</v>
      </c>
      <c r="AW323" s="37">
        <v>0</v>
      </c>
      <c r="AX323" s="37">
        <v>0</v>
      </c>
      <c r="AY323" s="37">
        <v>0</v>
      </c>
      <c r="AZ323" s="37">
        <v>0</v>
      </c>
      <c r="BA323" s="37">
        <v>0</v>
      </c>
      <c r="BB323" s="37">
        <v>0</v>
      </c>
      <c r="BC323" s="37">
        <v>0</v>
      </c>
      <c r="BD323" s="37">
        <v>0</v>
      </c>
      <c r="BE323" s="37">
        <v>0</v>
      </c>
      <c r="BF323" s="37">
        <v>0</v>
      </c>
      <c r="BG323" s="37">
        <v>0</v>
      </c>
      <c r="BH323" s="37">
        <v>0</v>
      </c>
      <c r="BI323" s="37">
        <v>0</v>
      </c>
      <c r="BJ323" s="37">
        <v>0</v>
      </c>
      <c r="BK323" s="59">
        <v>0</v>
      </c>
      <c r="BL323" s="37">
        <v>0</v>
      </c>
      <c r="BM323" s="37">
        <v>0</v>
      </c>
      <c r="BN323" s="37">
        <v>0</v>
      </c>
      <c r="BO323" s="37">
        <v>0</v>
      </c>
      <c r="BP323" s="37">
        <v>0</v>
      </c>
      <c r="BQ323" s="37">
        <v>0</v>
      </c>
      <c r="BR323" s="37">
        <v>0</v>
      </c>
      <c r="BS323" s="37">
        <v>0</v>
      </c>
      <c r="BT323" s="37">
        <v>0</v>
      </c>
      <c r="BU323" s="37">
        <v>0</v>
      </c>
      <c r="BV323" s="37">
        <v>0</v>
      </c>
      <c r="BW323" s="59">
        <v>0</v>
      </c>
      <c r="BX323" s="59">
        <v>0</v>
      </c>
      <c r="BZ323" s="37">
        <v>400000</v>
      </c>
      <c r="CA323" s="37">
        <v>300000</v>
      </c>
      <c r="CB323" s="37">
        <v>0</v>
      </c>
      <c r="CC323" s="37">
        <v>0</v>
      </c>
      <c r="CD323" s="37">
        <v>0</v>
      </c>
      <c r="CE323" s="37">
        <v>0</v>
      </c>
      <c r="CF323" s="37">
        <v>0</v>
      </c>
      <c r="CG323" s="59">
        <v>700000</v>
      </c>
      <c r="CH323" s="37">
        <v>500</v>
      </c>
      <c r="CI323" s="37">
        <v>0</v>
      </c>
      <c r="CJ323" s="37">
        <v>400</v>
      </c>
      <c r="CK323" s="37">
        <v>0</v>
      </c>
      <c r="CL323" s="37">
        <v>0</v>
      </c>
      <c r="CM323" s="37">
        <v>0</v>
      </c>
      <c r="CN323" s="59">
        <v>900</v>
      </c>
      <c r="CO323" s="59">
        <v>700900</v>
      </c>
      <c r="CP323" s="58"/>
      <c r="CQ323" s="3">
        <v>700900</v>
      </c>
    </row>
    <row r="324" spans="1:95" customFormat="1" x14ac:dyDescent="0.2">
      <c r="A324" s="209">
        <v>43307</v>
      </c>
      <c r="B324" s="33" t="s">
        <v>139</v>
      </c>
      <c r="C324" s="33" t="s">
        <v>76</v>
      </c>
      <c r="D324" s="43">
        <v>0</v>
      </c>
      <c r="E324" s="43">
        <v>1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  <c r="P324" s="47" t="s">
        <v>45</v>
      </c>
      <c r="R324" s="37">
        <v>0</v>
      </c>
      <c r="S324" s="37">
        <v>0</v>
      </c>
      <c r="T324" s="37">
        <v>400000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  <c r="AE324" s="37">
        <v>0</v>
      </c>
      <c r="AF324" s="37">
        <v>0</v>
      </c>
      <c r="AG324" s="59">
        <v>400000</v>
      </c>
      <c r="AH324" s="37">
        <v>0</v>
      </c>
      <c r="AI324" s="37">
        <v>0</v>
      </c>
      <c r="AJ324" s="37">
        <v>0</v>
      </c>
      <c r="AK324" s="37">
        <v>0</v>
      </c>
      <c r="AL324" s="37">
        <v>0</v>
      </c>
      <c r="AM324" s="37">
        <v>0</v>
      </c>
      <c r="AN324" s="37">
        <v>0</v>
      </c>
      <c r="AO324" s="37">
        <v>0</v>
      </c>
      <c r="AP324" s="37">
        <v>0</v>
      </c>
      <c r="AQ324" s="37">
        <v>0</v>
      </c>
      <c r="AR324" s="37">
        <v>0</v>
      </c>
      <c r="AS324" s="59">
        <v>0</v>
      </c>
      <c r="AT324" s="59">
        <v>400000</v>
      </c>
      <c r="AU324" s="45"/>
      <c r="AV324" s="37">
        <v>0</v>
      </c>
      <c r="AW324" s="37">
        <v>0</v>
      </c>
      <c r="AX324" s="37">
        <v>0</v>
      </c>
      <c r="AY324" s="37">
        <v>0</v>
      </c>
      <c r="AZ324" s="37">
        <v>0</v>
      </c>
      <c r="BA324" s="37">
        <v>0</v>
      </c>
      <c r="BB324" s="37">
        <v>0</v>
      </c>
      <c r="BC324" s="37">
        <v>0</v>
      </c>
      <c r="BD324" s="37">
        <v>0</v>
      </c>
      <c r="BE324" s="37">
        <v>0</v>
      </c>
      <c r="BF324" s="37">
        <v>0</v>
      </c>
      <c r="BG324" s="37">
        <v>0</v>
      </c>
      <c r="BH324" s="37">
        <v>0</v>
      </c>
      <c r="BI324" s="37">
        <v>0</v>
      </c>
      <c r="BJ324" s="37">
        <v>0</v>
      </c>
      <c r="BK324" s="59">
        <v>0</v>
      </c>
      <c r="BL324" s="37">
        <v>0</v>
      </c>
      <c r="BM324" s="37">
        <v>0</v>
      </c>
      <c r="BN324" s="37">
        <v>0</v>
      </c>
      <c r="BO324" s="37">
        <v>0</v>
      </c>
      <c r="BP324" s="37">
        <v>0</v>
      </c>
      <c r="BQ324" s="37">
        <v>0</v>
      </c>
      <c r="BR324" s="37">
        <v>0</v>
      </c>
      <c r="BS324" s="37">
        <v>0</v>
      </c>
      <c r="BT324" s="37">
        <v>0</v>
      </c>
      <c r="BU324" s="37">
        <v>0</v>
      </c>
      <c r="BV324" s="37">
        <v>0</v>
      </c>
      <c r="BW324" s="59">
        <v>0</v>
      </c>
      <c r="BX324" s="59">
        <v>0</v>
      </c>
      <c r="BZ324" s="37">
        <v>400000</v>
      </c>
      <c r="CA324" s="37">
        <v>0</v>
      </c>
      <c r="CB324" s="37">
        <v>0</v>
      </c>
      <c r="CC324" s="37">
        <v>0</v>
      </c>
      <c r="CD324" s="37">
        <v>0</v>
      </c>
      <c r="CE324" s="37">
        <v>0</v>
      </c>
      <c r="CF324" s="37">
        <v>0</v>
      </c>
      <c r="CG324" s="59">
        <v>400000</v>
      </c>
      <c r="CH324" s="37">
        <v>0</v>
      </c>
      <c r="CI324" s="37">
        <v>0</v>
      </c>
      <c r="CJ324" s="37">
        <v>0</v>
      </c>
      <c r="CK324" s="37">
        <v>0</v>
      </c>
      <c r="CL324" s="37">
        <v>0</v>
      </c>
      <c r="CM324" s="37">
        <v>0</v>
      </c>
      <c r="CN324" s="59">
        <v>0</v>
      </c>
      <c r="CO324" s="59">
        <v>400000</v>
      </c>
      <c r="CP324" s="58"/>
      <c r="CQ324" s="3">
        <v>400000</v>
      </c>
    </row>
    <row r="325" spans="1:95" customFormat="1" x14ac:dyDescent="0.2">
      <c r="A325" s="209">
        <v>43308</v>
      </c>
      <c r="B325" s="33" t="s">
        <v>55</v>
      </c>
      <c r="C325" s="33" t="s">
        <v>56</v>
      </c>
      <c r="D325" s="43">
        <v>0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0</v>
      </c>
      <c r="M325" s="43">
        <v>0</v>
      </c>
      <c r="N325" s="43">
        <v>0</v>
      </c>
      <c r="O325" s="43">
        <v>0</v>
      </c>
      <c r="P325" s="47">
        <v>0</v>
      </c>
      <c r="R325" s="37">
        <v>0</v>
      </c>
      <c r="S325" s="37">
        <v>0</v>
      </c>
      <c r="T325" s="37">
        <v>4000</v>
      </c>
      <c r="U325" s="37">
        <v>0</v>
      </c>
      <c r="V325" s="37">
        <v>2000</v>
      </c>
      <c r="W325" s="37">
        <v>0</v>
      </c>
      <c r="X325" s="37">
        <v>0</v>
      </c>
      <c r="Y325" s="37">
        <v>0</v>
      </c>
      <c r="Z325" s="37">
        <v>400</v>
      </c>
      <c r="AA325" s="37">
        <v>0</v>
      </c>
      <c r="AB325" s="37">
        <v>200</v>
      </c>
      <c r="AC325" s="37">
        <v>0</v>
      </c>
      <c r="AD325" s="37">
        <v>80</v>
      </c>
      <c r="AE325" s="37">
        <v>0</v>
      </c>
      <c r="AF325" s="37">
        <v>0</v>
      </c>
      <c r="AG325" s="59">
        <v>6680</v>
      </c>
      <c r="AH325" s="37">
        <v>0</v>
      </c>
      <c r="AI325" s="37">
        <v>0</v>
      </c>
      <c r="AJ325" s="37">
        <v>0</v>
      </c>
      <c r="AK325" s="37">
        <v>0</v>
      </c>
      <c r="AL325" s="37">
        <v>5</v>
      </c>
      <c r="AM325" s="37">
        <v>0</v>
      </c>
      <c r="AN325" s="37">
        <v>4</v>
      </c>
      <c r="AO325" s="37">
        <v>0</v>
      </c>
      <c r="AP325" s="37">
        <v>2</v>
      </c>
      <c r="AQ325" s="37">
        <v>0</v>
      </c>
      <c r="AR325" s="37">
        <v>0</v>
      </c>
      <c r="AS325" s="59">
        <v>11</v>
      </c>
      <c r="AT325" s="59">
        <v>6691</v>
      </c>
      <c r="AU325" s="45"/>
      <c r="AV325" s="37">
        <v>0</v>
      </c>
      <c r="AW325" s="37">
        <v>0</v>
      </c>
      <c r="AX325" s="37">
        <v>0</v>
      </c>
      <c r="AY325" s="37">
        <v>0</v>
      </c>
      <c r="AZ325" s="37">
        <v>0</v>
      </c>
      <c r="BA325" s="37">
        <v>0</v>
      </c>
      <c r="BB325" s="37">
        <v>0</v>
      </c>
      <c r="BC325" s="37">
        <v>0</v>
      </c>
      <c r="BD325" s="37">
        <v>0</v>
      </c>
      <c r="BE325" s="37">
        <v>0</v>
      </c>
      <c r="BF325" s="37">
        <v>0</v>
      </c>
      <c r="BG325" s="37">
        <v>0</v>
      </c>
      <c r="BH325" s="37">
        <v>0</v>
      </c>
      <c r="BI325" s="37">
        <v>0</v>
      </c>
      <c r="BJ325" s="37">
        <v>0</v>
      </c>
      <c r="BK325" s="59">
        <v>0</v>
      </c>
      <c r="BL325" s="37">
        <v>0</v>
      </c>
      <c r="BM325" s="37">
        <v>0</v>
      </c>
      <c r="BN325" s="37">
        <v>0</v>
      </c>
      <c r="BO325" s="37">
        <v>0</v>
      </c>
      <c r="BP325" s="37">
        <v>0</v>
      </c>
      <c r="BQ325" s="37">
        <v>0</v>
      </c>
      <c r="BR325" s="37">
        <v>0</v>
      </c>
      <c r="BS325" s="37">
        <v>0</v>
      </c>
      <c r="BT325" s="37">
        <v>0</v>
      </c>
      <c r="BU325" s="37">
        <v>0</v>
      </c>
      <c r="BV325" s="37">
        <v>0</v>
      </c>
      <c r="BW325" s="59">
        <v>0</v>
      </c>
      <c r="BX325" s="59">
        <v>0</v>
      </c>
      <c r="BZ325" s="37">
        <v>4000</v>
      </c>
      <c r="CA325" s="37">
        <v>2000</v>
      </c>
      <c r="CB325" s="37">
        <v>0</v>
      </c>
      <c r="CC325" s="37">
        <v>400</v>
      </c>
      <c r="CD325" s="37">
        <v>200</v>
      </c>
      <c r="CE325" s="37">
        <v>80</v>
      </c>
      <c r="CF325" s="37">
        <v>0</v>
      </c>
      <c r="CG325" s="59">
        <v>6680</v>
      </c>
      <c r="CH325" s="37">
        <v>0</v>
      </c>
      <c r="CI325" s="37">
        <v>5</v>
      </c>
      <c r="CJ325" s="37">
        <v>4</v>
      </c>
      <c r="CK325" s="37">
        <v>2</v>
      </c>
      <c r="CL325" s="37">
        <v>0</v>
      </c>
      <c r="CM325" s="37">
        <v>0</v>
      </c>
      <c r="CN325" s="59">
        <v>11</v>
      </c>
      <c r="CO325" s="59">
        <v>6691</v>
      </c>
      <c r="CP325" s="58"/>
      <c r="CQ325" s="3">
        <v>6691</v>
      </c>
    </row>
    <row r="326" spans="1:95" customFormat="1" x14ac:dyDescent="0.2">
      <c r="A326" s="209">
        <v>43311</v>
      </c>
      <c r="B326" s="33" t="s">
        <v>55</v>
      </c>
      <c r="C326" s="33" t="s">
        <v>56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7">
        <v>0</v>
      </c>
      <c r="R326" s="37">
        <v>0</v>
      </c>
      <c r="S326" s="37">
        <v>0</v>
      </c>
      <c r="T326" s="37">
        <v>4000</v>
      </c>
      <c r="U326" s="37">
        <v>0</v>
      </c>
      <c r="V326" s="37">
        <v>2000</v>
      </c>
      <c r="W326" s="37">
        <v>0</v>
      </c>
      <c r="X326" s="37">
        <v>0</v>
      </c>
      <c r="Y326" s="37">
        <v>0</v>
      </c>
      <c r="Z326" s="37">
        <v>400</v>
      </c>
      <c r="AA326" s="37">
        <v>0</v>
      </c>
      <c r="AB326" s="37">
        <v>200</v>
      </c>
      <c r="AC326" s="37">
        <v>0</v>
      </c>
      <c r="AD326" s="37">
        <v>80</v>
      </c>
      <c r="AE326" s="37">
        <v>0</v>
      </c>
      <c r="AF326" s="37">
        <v>0</v>
      </c>
      <c r="AG326" s="59">
        <v>6680</v>
      </c>
      <c r="AH326" s="37">
        <v>0</v>
      </c>
      <c r="AI326" s="37">
        <v>0</v>
      </c>
      <c r="AJ326" s="37">
        <v>0</v>
      </c>
      <c r="AK326" s="37">
        <v>0</v>
      </c>
      <c r="AL326" s="37">
        <v>0</v>
      </c>
      <c r="AM326" s="37">
        <v>0</v>
      </c>
      <c r="AN326" s="37">
        <v>0</v>
      </c>
      <c r="AO326" s="37">
        <v>0</v>
      </c>
      <c r="AP326" s="37">
        <v>0</v>
      </c>
      <c r="AQ326" s="37">
        <v>0</v>
      </c>
      <c r="AR326" s="37">
        <v>0</v>
      </c>
      <c r="AS326" s="59">
        <v>0</v>
      </c>
      <c r="AT326" s="59">
        <v>6680</v>
      </c>
      <c r="AU326" s="45"/>
      <c r="AV326" s="37">
        <v>0</v>
      </c>
      <c r="AW326" s="37">
        <v>0</v>
      </c>
      <c r="AX326" s="37">
        <v>0</v>
      </c>
      <c r="AY326" s="37">
        <v>0</v>
      </c>
      <c r="AZ326" s="37">
        <v>0</v>
      </c>
      <c r="BA326" s="37">
        <v>0</v>
      </c>
      <c r="BB326" s="37">
        <v>0</v>
      </c>
      <c r="BC326" s="37">
        <v>0</v>
      </c>
      <c r="BD326" s="37">
        <v>0</v>
      </c>
      <c r="BE326" s="37">
        <v>0</v>
      </c>
      <c r="BF326" s="37">
        <v>0</v>
      </c>
      <c r="BG326" s="37">
        <v>0</v>
      </c>
      <c r="BH326" s="37">
        <v>0</v>
      </c>
      <c r="BI326" s="37">
        <v>0</v>
      </c>
      <c r="BJ326" s="37">
        <v>0</v>
      </c>
      <c r="BK326" s="59">
        <v>0</v>
      </c>
      <c r="BL326" s="37">
        <v>0</v>
      </c>
      <c r="BM326" s="37">
        <v>0</v>
      </c>
      <c r="BN326" s="37">
        <v>0</v>
      </c>
      <c r="BO326" s="37">
        <v>0</v>
      </c>
      <c r="BP326" s="37">
        <v>0</v>
      </c>
      <c r="BQ326" s="37">
        <v>0</v>
      </c>
      <c r="BR326" s="37">
        <v>0</v>
      </c>
      <c r="BS326" s="37">
        <v>0</v>
      </c>
      <c r="BT326" s="37">
        <v>0</v>
      </c>
      <c r="BU326" s="37">
        <v>0</v>
      </c>
      <c r="BV326" s="37">
        <v>0</v>
      </c>
      <c r="BW326" s="59">
        <v>0</v>
      </c>
      <c r="BX326" s="59">
        <v>0</v>
      </c>
      <c r="BZ326" s="37">
        <v>4000</v>
      </c>
      <c r="CA326" s="37">
        <v>2000</v>
      </c>
      <c r="CB326" s="37">
        <v>0</v>
      </c>
      <c r="CC326" s="37">
        <v>400</v>
      </c>
      <c r="CD326" s="37">
        <v>200</v>
      </c>
      <c r="CE326" s="37">
        <v>80</v>
      </c>
      <c r="CF326" s="37">
        <v>0</v>
      </c>
      <c r="CG326" s="59">
        <v>6680</v>
      </c>
      <c r="CH326" s="37">
        <v>0</v>
      </c>
      <c r="CI326" s="37">
        <v>0</v>
      </c>
      <c r="CJ326" s="37">
        <v>0</v>
      </c>
      <c r="CK326" s="37">
        <v>0</v>
      </c>
      <c r="CL326" s="37">
        <v>0</v>
      </c>
      <c r="CM326" s="37">
        <v>0</v>
      </c>
      <c r="CN326" s="59">
        <v>0</v>
      </c>
      <c r="CO326" s="59">
        <v>6680</v>
      </c>
      <c r="CP326" s="58"/>
      <c r="CQ326" s="3">
        <v>6680</v>
      </c>
    </row>
    <row r="327" spans="1:95" customFormat="1" x14ac:dyDescent="0.2">
      <c r="A327" s="209">
        <v>43312</v>
      </c>
      <c r="B327" s="33" t="s">
        <v>55</v>
      </c>
      <c r="C327" s="33" t="s">
        <v>56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0</v>
      </c>
      <c r="M327" s="43">
        <v>0</v>
      </c>
      <c r="N327" s="43">
        <v>0</v>
      </c>
      <c r="O327" s="43">
        <v>0</v>
      </c>
      <c r="P327" s="47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2000</v>
      </c>
      <c r="W327" s="37">
        <v>0</v>
      </c>
      <c r="X327" s="37">
        <v>0</v>
      </c>
      <c r="Y327" s="37">
        <v>0</v>
      </c>
      <c r="Z327" s="37">
        <v>400</v>
      </c>
      <c r="AA327" s="37">
        <v>0</v>
      </c>
      <c r="AB327" s="37">
        <v>200</v>
      </c>
      <c r="AC327" s="37">
        <v>0</v>
      </c>
      <c r="AD327" s="37">
        <v>80</v>
      </c>
      <c r="AE327" s="37">
        <v>0</v>
      </c>
      <c r="AF327" s="37">
        <v>0</v>
      </c>
      <c r="AG327" s="59">
        <v>2680</v>
      </c>
      <c r="AH327" s="37">
        <v>0</v>
      </c>
      <c r="AI327" s="37">
        <v>0</v>
      </c>
      <c r="AJ327" s="37">
        <v>0</v>
      </c>
      <c r="AK327" s="37">
        <v>0</v>
      </c>
      <c r="AL327" s="37">
        <v>5</v>
      </c>
      <c r="AM327" s="37">
        <v>0</v>
      </c>
      <c r="AN327" s="37">
        <v>4</v>
      </c>
      <c r="AO327" s="37">
        <v>0</v>
      </c>
      <c r="AP327" s="37">
        <v>2</v>
      </c>
      <c r="AQ327" s="37">
        <v>0</v>
      </c>
      <c r="AR327" s="37">
        <v>0</v>
      </c>
      <c r="AS327" s="59">
        <v>11</v>
      </c>
      <c r="AT327" s="59">
        <v>2691</v>
      </c>
      <c r="AU327" s="45"/>
      <c r="AV327" s="37">
        <v>0</v>
      </c>
      <c r="AW327" s="37">
        <v>0</v>
      </c>
      <c r="AX327" s="37">
        <v>0</v>
      </c>
      <c r="AY327" s="37">
        <v>0</v>
      </c>
      <c r="AZ327" s="37">
        <v>0</v>
      </c>
      <c r="BA327" s="37">
        <v>0</v>
      </c>
      <c r="BB327" s="37">
        <v>0</v>
      </c>
      <c r="BC327" s="37">
        <v>0</v>
      </c>
      <c r="BD327" s="37">
        <v>0</v>
      </c>
      <c r="BE327" s="37">
        <v>0</v>
      </c>
      <c r="BF327" s="37">
        <v>0</v>
      </c>
      <c r="BG327" s="37">
        <v>0</v>
      </c>
      <c r="BH327" s="37">
        <v>0</v>
      </c>
      <c r="BI327" s="37">
        <v>0</v>
      </c>
      <c r="BJ327" s="37">
        <v>0</v>
      </c>
      <c r="BK327" s="59">
        <v>0</v>
      </c>
      <c r="BL327" s="37">
        <v>0</v>
      </c>
      <c r="BM327" s="37">
        <v>0</v>
      </c>
      <c r="BN327" s="37">
        <v>0</v>
      </c>
      <c r="BO327" s="37">
        <v>0</v>
      </c>
      <c r="BP327" s="37">
        <v>0</v>
      </c>
      <c r="BQ327" s="37">
        <v>0</v>
      </c>
      <c r="BR327" s="37">
        <v>0</v>
      </c>
      <c r="BS327" s="37">
        <v>0</v>
      </c>
      <c r="BT327" s="37">
        <v>0</v>
      </c>
      <c r="BU327" s="37">
        <v>0</v>
      </c>
      <c r="BV327" s="37">
        <v>0</v>
      </c>
      <c r="BW327" s="59">
        <v>0</v>
      </c>
      <c r="BX327" s="59">
        <v>0</v>
      </c>
      <c r="BZ327" s="37">
        <v>0</v>
      </c>
      <c r="CA327" s="37">
        <v>2000</v>
      </c>
      <c r="CB327" s="37">
        <v>0</v>
      </c>
      <c r="CC327" s="37">
        <v>400</v>
      </c>
      <c r="CD327" s="37">
        <v>200</v>
      </c>
      <c r="CE327" s="37">
        <v>80</v>
      </c>
      <c r="CF327" s="37">
        <v>0</v>
      </c>
      <c r="CG327" s="59">
        <v>2680</v>
      </c>
      <c r="CH327" s="37">
        <v>0</v>
      </c>
      <c r="CI327" s="37">
        <v>5</v>
      </c>
      <c r="CJ327" s="37">
        <v>4</v>
      </c>
      <c r="CK327" s="37">
        <v>2</v>
      </c>
      <c r="CL327" s="37">
        <v>0</v>
      </c>
      <c r="CM327" s="37">
        <v>0</v>
      </c>
      <c r="CN327" s="59">
        <v>11</v>
      </c>
      <c r="CO327" s="59">
        <v>2691</v>
      </c>
      <c r="CP327" s="58"/>
      <c r="CQ327" s="3">
        <v>2691</v>
      </c>
    </row>
    <row r="328" spans="1:95" customFormat="1" x14ac:dyDescent="0.2">
      <c r="A328" s="209">
        <v>43312</v>
      </c>
      <c r="B328" s="33" t="s">
        <v>53</v>
      </c>
      <c r="C328" s="33" t="s">
        <v>84</v>
      </c>
      <c r="D328" s="43">
        <v>0</v>
      </c>
      <c r="E328" s="43">
        <v>1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0</v>
      </c>
      <c r="L328" s="43">
        <v>0</v>
      </c>
      <c r="M328" s="43">
        <v>0</v>
      </c>
      <c r="N328" s="43">
        <v>0</v>
      </c>
      <c r="O328" s="43">
        <v>0</v>
      </c>
      <c r="P328" s="47" t="s">
        <v>45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0</v>
      </c>
      <c r="AE328" s="37">
        <v>0</v>
      </c>
      <c r="AF328" s="37">
        <v>0</v>
      </c>
      <c r="AG328" s="59">
        <v>0</v>
      </c>
      <c r="AH328" s="37">
        <v>0</v>
      </c>
      <c r="AI328" s="37">
        <v>0</v>
      </c>
      <c r="AJ328" s="37">
        <v>0</v>
      </c>
      <c r="AK328" s="37">
        <v>0</v>
      </c>
      <c r="AL328" s="37">
        <v>3125</v>
      </c>
      <c r="AM328" s="37">
        <v>0</v>
      </c>
      <c r="AN328" s="37">
        <v>0</v>
      </c>
      <c r="AO328" s="37">
        <v>0</v>
      </c>
      <c r="AP328" s="37">
        <v>0</v>
      </c>
      <c r="AQ328" s="37">
        <v>0</v>
      </c>
      <c r="AR328" s="37">
        <v>0</v>
      </c>
      <c r="AS328" s="59">
        <v>3125</v>
      </c>
      <c r="AT328" s="59">
        <v>3125</v>
      </c>
      <c r="AU328" s="45"/>
      <c r="AV328" s="37">
        <v>0</v>
      </c>
      <c r="AW328" s="37">
        <v>0</v>
      </c>
      <c r="AX328" s="37">
        <v>0</v>
      </c>
      <c r="AY328" s="37">
        <v>0</v>
      </c>
      <c r="AZ328" s="37">
        <v>0</v>
      </c>
      <c r="BA328" s="37">
        <v>0</v>
      </c>
      <c r="BB328" s="37">
        <v>0</v>
      </c>
      <c r="BC328" s="37">
        <v>0</v>
      </c>
      <c r="BD328" s="37">
        <v>0</v>
      </c>
      <c r="BE328" s="37">
        <v>0</v>
      </c>
      <c r="BF328" s="37">
        <v>0</v>
      </c>
      <c r="BG328" s="37">
        <v>0</v>
      </c>
      <c r="BH328" s="37">
        <v>0</v>
      </c>
      <c r="BI328" s="37">
        <v>0</v>
      </c>
      <c r="BJ328" s="37">
        <v>0</v>
      </c>
      <c r="BK328" s="59">
        <v>0</v>
      </c>
      <c r="BL328" s="37">
        <v>0</v>
      </c>
      <c r="BM328" s="37">
        <v>0</v>
      </c>
      <c r="BN328" s="37">
        <v>0</v>
      </c>
      <c r="BO328" s="37">
        <v>0</v>
      </c>
      <c r="BP328" s="37">
        <v>0</v>
      </c>
      <c r="BQ328" s="37">
        <v>0</v>
      </c>
      <c r="BR328" s="37">
        <v>0</v>
      </c>
      <c r="BS328" s="37">
        <v>0</v>
      </c>
      <c r="BT328" s="37">
        <v>0</v>
      </c>
      <c r="BU328" s="37">
        <v>0</v>
      </c>
      <c r="BV328" s="37">
        <v>0</v>
      </c>
      <c r="BW328" s="59">
        <v>0</v>
      </c>
      <c r="BX328" s="59">
        <v>0</v>
      </c>
      <c r="BZ328" s="37">
        <v>0</v>
      </c>
      <c r="CA328" s="37">
        <v>0</v>
      </c>
      <c r="CB328" s="37">
        <v>0</v>
      </c>
      <c r="CC328" s="37">
        <v>0</v>
      </c>
      <c r="CD328" s="37">
        <v>0</v>
      </c>
      <c r="CE328" s="37">
        <v>0</v>
      </c>
      <c r="CF328" s="37">
        <v>0</v>
      </c>
      <c r="CG328" s="59">
        <v>0</v>
      </c>
      <c r="CH328" s="37">
        <v>0</v>
      </c>
      <c r="CI328" s="37">
        <v>3125</v>
      </c>
      <c r="CJ328" s="37">
        <v>0</v>
      </c>
      <c r="CK328" s="37">
        <v>0</v>
      </c>
      <c r="CL328" s="37">
        <v>0</v>
      </c>
      <c r="CM328" s="37">
        <v>0</v>
      </c>
      <c r="CN328" s="59">
        <v>3125</v>
      </c>
      <c r="CO328" s="59">
        <v>3125</v>
      </c>
      <c r="CP328" s="58"/>
      <c r="CQ328" s="3">
        <v>3125</v>
      </c>
    </row>
    <row r="329" spans="1:95" customFormat="1" x14ac:dyDescent="0.2">
      <c r="A329" s="209">
        <v>43313</v>
      </c>
      <c r="B329" s="33" t="s">
        <v>55</v>
      </c>
      <c r="C329" s="33" t="s">
        <v>140</v>
      </c>
      <c r="D329" s="43">
        <v>1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0</v>
      </c>
      <c r="O329" s="43">
        <v>0</v>
      </c>
      <c r="P329" s="47" t="s">
        <v>45</v>
      </c>
      <c r="R329" s="37">
        <v>0</v>
      </c>
      <c r="S329" s="37">
        <v>0</v>
      </c>
      <c r="T329" s="37">
        <v>0</v>
      </c>
      <c r="U329" s="37">
        <v>0</v>
      </c>
      <c r="V329" s="37">
        <v>2000</v>
      </c>
      <c r="W329" s="37">
        <v>0</v>
      </c>
      <c r="X329" s="37">
        <v>0</v>
      </c>
      <c r="Y329" s="37">
        <v>0</v>
      </c>
      <c r="Z329" s="37">
        <v>400</v>
      </c>
      <c r="AA329" s="37">
        <v>0</v>
      </c>
      <c r="AB329" s="37">
        <v>200</v>
      </c>
      <c r="AC329" s="37">
        <v>0</v>
      </c>
      <c r="AD329" s="37">
        <v>80</v>
      </c>
      <c r="AE329" s="37">
        <v>0</v>
      </c>
      <c r="AF329" s="37">
        <v>0</v>
      </c>
      <c r="AG329" s="59">
        <v>2680</v>
      </c>
      <c r="AH329" s="37">
        <v>0</v>
      </c>
      <c r="AI329" s="37">
        <v>0</v>
      </c>
      <c r="AJ329" s="37">
        <v>0</v>
      </c>
      <c r="AK329" s="37">
        <v>0</v>
      </c>
      <c r="AL329" s="37">
        <v>0</v>
      </c>
      <c r="AM329" s="37">
        <v>0</v>
      </c>
      <c r="AN329" s="37">
        <v>0</v>
      </c>
      <c r="AO329" s="37">
        <v>0</v>
      </c>
      <c r="AP329" s="37">
        <v>0</v>
      </c>
      <c r="AQ329" s="37">
        <v>0</v>
      </c>
      <c r="AR329" s="37">
        <v>0</v>
      </c>
      <c r="AS329" s="59">
        <v>0</v>
      </c>
      <c r="AT329" s="59">
        <v>2680</v>
      </c>
      <c r="AU329" s="45"/>
      <c r="AV329" s="37">
        <v>0</v>
      </c>
      <c r="AW329" s="37">
        <v>0</v>
      </c>
      <c r="AX329" s="37">
        <v>0</v>
      </c>
      <c r="AY329" s="37">
        <v>0</v>
      </c>
      <c r="AZ329" s="37">
        <v>0</v>
      </c>
      <c r="BA329" s="37">
        <v>0</v>
      </c>
      <c r="BB329" s="37">
        <v>0</v>
      </c>
      <c r="BC329" s="37">
        <v>0</v>
      </c>
      <c r="BD329" s="37">
        <v>0</v>
      </c>
      <c r="BE329" s="37">
        <v>0</v>
      </c>
      <c r="BF329" s="37">
        <v>0</v>
      </c>
      <c r="BG329" s="37">
        <v>0</v>
      </c>
      <c r="BH329" s="37">
        <v>0</v>
      </c>
      <c r="BI329" s="37">
        <v>0</v>
      </c>
      <c r="BJ329" s="37">
        <v>0</v>
      </c>
      <c r="BK329" s="59">
        <v>0</v>
      </c>
      <c r="BL329" s="37">
        <v>0</v>
      </c>
      <c r="BM329" s="37">
        <v>0</v>
      </c>
      <c r="BN329" s="37">
        <v>0</v>
      </c>
      <c r="BO329" s="37">
        <v>0</v>
      </c>
      <c r="BP329" s="37">
        <v>0</v>
      </c>
      <c r="BQ329" s="37">
        <v>0</v>
      </c>
      <c r="BR329" s="37">
        <v>0</v>
      </c>
      <c r="BS329" s="37">
        <v>0</v>
      </c>
      <c r="BT329" s="37">
        <v>0</v>
      </c>
      <c r="BU329" s="37">
        <v>0</v>
      </c>
      <c r="BV329" s="37">
        <v>0</v>
      </c>
      <c r="BW329" s="59">
        <v>0</v>
      </c>
      <c r="BX329" s="59">
        <v>0</v>
      </c>
      <c r="BZ329" s="37">
        <v>0</v>
      </c>
      <c r="CA329" s="37">
        <v>2000</v>
      </c>
      <c r="CB329" s="37">
        <v>0</v>
      </c>
      <c r="CC329" s="37">
        <v>400</v>
      </c>
      <c r="CD329" s="37">
        <v>200</v>
      </c>
      <c r="CE329" s="37">
        <v>80</v>
      </c>
      <c r="CF329" s="37">
        <v>0</v>
      </c>
      <c r="CG329" s="59">
        <v>2680</v>
      </c>
      <c r="CH329" s="37">
        <v>0</v>
      </c>
      <c r="CI329" s="37">
        <v>0</v>
      </c>
      <c r="CJ329" s="37">
        <v>0</v>
      </c>
      <c r="CK329" s="37">
        <v>0</v>
      </c>
      <c r="CL329" s="37">
        <v>0</v>
      </c>
      <c r="CM329" s="37">
        <v>0</v>
      </c>
      <c r="CN329" s="59">
        <v>0</v>
      </c>
      <c r="CO329" s="59">
        <v>2680</v>
      </c>
      <c r="CP329" s="58"/>
      <c r="CQ329" s="3">
        <v>2680</v>
      </c>
    </row>
    <row r="330" spans="1:95" customFormat="1" x14ac:dyDescent="0.2">
      <c r="A330" s="209">
        <v>43313</v>
      </c>
      <c r="B330" s="33" t="s">
        <v>85</v>
      </c>
      <c r="C330" s="33" t="s">
        <v>76</v>
      </c>
      <c r="D330" s="43">
        <v>0</v>
      </c>
      <c r="E330" s="43">
        <v>1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47" t="s">
        <v>45</v>
      </c>
      <c r="R330" s="37">
        <v>0</v>
      </c>
      <c r="S330" s="37">
        <v>0</v>
      </c>
      <c r="T330" s="37">
        <v>0</v>
      </c>
      <c r="U330" s="37">
        <v>0</v>
      </c>
      <c r="V330" s="37">
        <v>0</v>
      </c>
      <c r="W330" s="37">
        <v>0</v>
      </c>
      <c r="X330" s="37">
        <v>80000</v>
      </c>
      <c r="Y330" s="37">
        <v>0</v>
      </c>
      <c r="Z330" s="37">
        <v>20000</v>
      </c>
      <c r="AA330" s="37">
        <v>0</v>
      </c>
      <c r="AB330" s="37">
        <v>10000</v>
      </c>
      <c r="AC330" s="37">
        <v>0</v>
      </c>
      <c r="AD330" s="37">
        <v>4000</v>
      </c>
      <c r="AE330" s="37">
        <v>0</v>
      </c>
      <c r="AF330" s="37">
        <v>0</v>
      </c>
      <c r="AG330" s="59">
        <v>114000</v>
      </c>
      <c r="AH330" s="37">
        <v>0</v>
      </c>
      <c r="AI330" s="37">
        <v>0</v>
      </c>
      <c r="AJ330" s="37">
        <v>0</v>
      </c>
      <c r="AK330" s="37">
        <v>0</v>
      </c>
      <c r="AL330" s="37">
        <v>0</v>
      </c>
      <c r="AM330" s="37">
        <v>0</v>
      </c>
      <c r="AN330" s="37">
        <v>600</v>
      </c>
      <c r="AO330" s="37">
        <v>0</v>
      </c>
      <c r="AP330" s="37">
        <v>400</v>
      </c>
      <c r="AQ330" s="37">
        <v>50</v>
      </c>
      <c r="AR330" s="37">
        <v>0</v>
      </c>
      <c r="AS330" s="59">
        <v>1050</v>
      </c>
      <c r="AT330" s="59">
        <v>115050</v>
      </c>
      <c r="AU330" s="45"/>
      <c r="AV330" s="37">
        <v>0</v>
      </c>
      <c r="AW330" s="37">
        <v>0</v>
      </c>
      <c r="AX330" s="37">
        <v>0</v>
      </c>
      <c r="AY330" s="37">
        <v>0</v>
      </c>
      <c r="AZ330" s="37">
        <v>0</v>
      </c>
      <c r="BA330" s="37">
        <v>0</v>
      </c>
      <c r="BB330" s="37">
        <v>0</v>
      </c>
      <c r="BC330" s="37">
        <v>0</v>
      </c>
      <c r="BD330" s="37">
        <v>0</v>
      </c>
      <c r="BE330" s="37">
        <v>0</v>
      </c>
      <c r="BF330" s="37">
        <v>0</v>
      </c>
      <c r="BG330" s="37">
        <v>0</v>
      </c>
      <c r="BH330" s="37">
        <v>0</v>
      </c>
      <c r="BI330" s="37">
        <v>0</v>
      </c>
      <c r="BJ330" s="37">
        <v>0</v>
      </c>
      <c r="BK330" s="59">
        <v>0</v>
      </c>
      <c r="BL330" s="37">
        <v>0</v>
      </c>
      <c r="BM330" s="37">
        <v>0</v>
      </c>
      <c r="BN330" s="37">
        <v>0</v>
      </c>
      <c r="BO330" s="37">
        <v>0</v>
      </c>
      <c r="BP330" s="37">
        <v>0</v>
      </c>
      <c r="BQ330" s="37">
        <v>0</v>
      </c>
      <c r="BR330" s="37">
        <v>0</v>
      </c>
      <c r="BS330" s="37">
        <v>0</v>
      </c>
      <c r="BT330" s="37">
        <v>0</v>
      </c>
      <c r="BU330" s="37">
        <v>0</v>
      </c>
      <c r="BV330" s="37">
        <v>0</v>
      </c>
      <c r="BW330" s="59">
        <v>0</v>
      </c>
      <c r="BX330" s="59">
        <v>0</v>
      </c>
      <c r="BZ330" s="37">
        <v>0</v>
      </c>
      <c r="CA330" s="37">
        <v>0</v>
      </c>
      <c r="CB330" s="37">
        <v>80000</v>
      </c>
      <c r="CC330" s="37">
        <v>20000</v>
      </c>
      <c r="CD330" s="37">
        <v>10000</v>
      </c>
      <c r="CE330" s="37">
        <v>4000</v>
      </c>
      <c r="CF330" s="37">
        <v>0</v>
      </c>
      <c r="CG330" s="59">
        <v>114000</v>
      </c>
      <c r="CH330" s="37">
        <v>0</v>
      </c>
      <c r="CI330" s="37">
        <v>0</v>
      </c>
      <c r="CJ330" s="37">
        <v>600</v>
      </c>
      <c r="CK330" s="37">
        <v>400</v>
      </c>
      <c r="CL330" s="37">
        <v>50</v>
      </c>
      <c r="CM330" s="37">
        <v>0</v>
      </c>
      <c r="CN330" s="59">
        <v>1050</v>
      </c>
      <c r="CO330" s="59">
        <v>115050</v>
      </c>
      <c r="CP330" s="58"/>
      <c r="CQ330" s="3">
        <v>115050</v>
      </c>
    </row>
    <row r="331" spans="1:95" customFormat="1" x14ac:dyDescent="0.2">
      <c r="A331" s="209">
        <v>43314</v>
      </c>
      <c r="B331" s="33" t="s">
        <v>55</v>
      </c>
      <c r="C331" s="33" t="s">
        <v>56</v>
      </c>
      <c r="D331" s="43">
        <v>0</v>
      </c>
      <c r="E331" s="43">
        <v>0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7">
        <v>0</v>
      </c>
      <c r="R331" s="37">
        <v>0</v>
      </c>
      <c r="S331" s="37">
        <v>0</v>
      </c>
      <c r="T331" s="37">
        <v>4000</v>
      </c>
      <c r="U331" s="37">
        <v>0</v>
      </c>
      <c r="V331" s="37">
        <v>2000</v>
      </c>
      <c r="W331" s="37">
        <v>0</v>
      </c>
      <c r="X331" s="37">
        <v>0</v>
      </c>
      <c r="Y331" s="37">
        <v>0</v>
      </c>
      <c r="Z331" s="37">
        <v>400</v>
      </c>
      <c r="AA331" s="37">
        <v>0</v>
      </c>
      <c r="AB331" s="37">
        <v>200</v>
      </c>
      <c r="AC331" s="37">
        <v>0</v>
      </c>
      <c r="AD331" s="37">
        <v>80</v>
      </c>
      <c r="AE331" s="37">
        <v>0</v>
      </c>
      <c r="AF331" s="37">
        <v>0</v>
      </c>
      <c r="AG331" s="59">
        <v>6680</v>
      </c>
      <c r="AH331" s="37">
        <v>0</v>
      </c>
      <c r="AI331" s="37">
        <v>0</v>
      </c>
      <c r="AJ331" s="37">
        <v>0</v>
      </c>
      <c r="AK331" s="37">
        <v>0</v>
      </c>
      <c r="AL331" s="37">
        <v>0</v>
      </c>
      <c r="AM331" s="37">
        <v>0</v>
      </c>
      <c r="AN331" s="37">
        <v>0</v>
      </c>
      <c r="AO331" s="37">
        <v>0</v>
      </c>
      <c r="AP331" s="37">
        <v>0</v>
      </c>
      <c r="AQ331" s="37">
        <v>0</v>
      </c>
      <c r="AR331" s="37">
        <v>0</v>
      </c>
      <c r="AS331" s="59">
        <v>0</v>
      </c>
      <c r="AT331" s="59">
        <v>6680</v>
      </c>
      <c r="AU331" s="45"/>
      <c r="AV331" s="37">
        <v>0</v>
      </c>
      <c r="AW331" s="37">
        <v>0</v>
      </c>
      <c r="AX331" s="37">
        <v>0</v>
      </c>
      <c r="AY331" s="37">
        <v>0</v>
      </c>
      <c r="AZ331" s="37">
        <v>0</v>
      </c>
      <c r="BA331" s="37">
        <v>0</v>
      </c>
      <c r="BB331" s="37">
        <v>0</v>
      </c>
      <c r="BC331" s="37">
        <v>0</v>
      </c>
      <c r="BD331" s="37">
        <v>0</v>
      </c>
      <c r="BE331" s="37">
        <v>0</v>
      </c>
      <c r="BF331" s="37">
        <v>0</v>
      </c>
      <c r="BG331" s="37">
        <v>0</v>
      </c>
      <c r="BH331" s="37">
        <v>0</v>
      </c>
      <c r="BI331" s="37">
        <v>0</v>
      </c>
      <c r="BJ331" s="37">
        <v>0</v>
      </c>
      <c r="BK331" s="59">
        <v>0</v>
      </c>
      <c r="BL331" s="37">
        <v>0</v>
      </c>
      <c r="BM331" s="37">
        <v>0</v>
      </c>
      <c r="BN331" s="37">
        <v>0</v>
      </c>
      <c r="BO331" s="37">
        <v>0</v>
      </c>
      <c r="BP331" s="37">
        <v>0</v>
      </c>
      <c r="BQ331" s="37">
        <v>0</v>
      </c>
      <c r="BR331" s="37">
        <v>0</v>
      </c>
      <c r="BS331" s="37">
        <v>0</v>
      </c>
      <c r="BT331" s="37">
        <v>0</v>
      </c>
      <c r="BU331" s="37">
        <v>0</v>
      </c>
      <c r="BV331" s="37">
        <v>0</v>
      </c>
      <c r="BW331" s="59">
        <v>0</v>
      </c>
      <c r="BX331" s="59">
        <v>0</v>
      </c>
      <c r="BZ331" s="37">
        <v>4000</v>
      </c>
      <c r="CA331" s="37">
        <v>2000</v>
      </c>
      <c r="CB331" s="37">
        <v>0</v>
      </c>
      <c r="CC331" s="37">
        <v>400</v>
      </c>
      <c r="CD331" s="37">
        <v>200</v>
      </c>
      <c r="CE331" s="37">
        <v>80</v>
      </c>
      <c r="CF331" s="37">
        <v>0</v>
      </c>
      <c r="CG331" s="59">
        <v>6680</v>
      </c>
      <c r="CH331" s="37">
        <v>0</v>
      </c>
      <c r="CI331" s="37">
        <v>0</v>
      </c>
      <c r="CJ331" s="37">
        <v>0</v>
      </c>
      <c r="CK331" s="37">
        <v>0</v>
      </c>
      <c r="CL331" s="37">
        <v>0</v>
      </c>
      <c r="CM331" s="37">
        <v>0</v>
      </c>
      <c r="CN331" s="59">
        <v>0</v>
      </c>
      <c r="CO331" s="59">
        <v>6680</v>
      </c>
      <c r="CP331" s="58"/>
      <c r="CQ331" s="3">
        <v>6680</v>
      </c>
    </row>
    <row r="332" spans="1:95" customFormat="1" x14ac:dyDescent="0.2">
      <c r="A332" s="209">
        <v>43315</v>
      </c>
      <c r="B332" s="33" t="s">
        <v>55</v>
      </c>
      <c r="C332" s="33" t="s">
        <v>56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7">
        <v>0</v>
      </c>
      <c r="R332" s="37">
        <v>0</v>
      </c>
      <c r="S332" s="37">
        <v>0</v>
      </c>
      <c r="T332" s="37">
        <v>0</v>
      </c>
      <c r="U332" s="37">
        <v>0</v>
      </c>
      <c r="V332" s="37">
        <v>2000</v>
      </c>
      <c r="W332" s="37">
        <v>0</v>
      </c>
      <c r="X332" s="37">
        <v>0</v>
      </c>
      <c r="Y332" s="37">
        <v>0</v>
      </c>
      <c r="Z332" s="37">
        <v>400</v>
      </c>
      <c r="AA332" s="37">
        <v>0</v>
      </c>
      <c r="AB332" s="37">
        <v>200</v>
      </c>
      <c r="AC332" s="37">
        <v>0</v>
      </c>
      <c r="AD332" s="37">
        <v>0</v>
      </c>
      <c r="AE332" s="37">
        <v>0</v>
      </c>
      <c r="AF332" s="37">
        <v>0</v>
      </c>
      <c r="AG332" s="59">
        <v>2600</v>
      </c>
      <c r="AH332" s="37">
        <v>0</v>
      </c>
      <c r="AI332" s="37">
        <v>0</v>
      </c>
      <c r="AJ332" s="37">
        <v>0</v>
      </c>
      <c r="AK332" s="37">
        <v>0</v>
      </c>
      <c r="AL332" s="37">
        <v>5</v>
      </c>
      <c r="AM332" s="37">
        <v>0</v>
      </c>
      <c r="AN332" s="37">
        <v>4</v>
      </c>
      <c r="AO332" s="37">
        <v>0</v>
      </c>
      <c r="AP332" s="37">
        <v>2</v>
      </c>
      <c r="AQ332" s="37">
        <v>0</v>
      </c>
      <c r="AR332" s="37">
        <v>0</v>
      </c>
      <c r="AS332" s="59">
        <v>11</v>
      </c>
      <c r="AT332" s="59">
        <v>2611</v>
      </c>
      <c r="AU332" s="45"/>
      <c r="AV332" s="37">
        <v>0</v>
      </c>
      <c r="AW332" s="37">
        <v>0</v>
      </c>
      <c r="AX332" s="37">
        <v>0</v>
      </c>
      <c r="AY332" s="37">
        <v>0</v>
      </c>
      <c r="AZ332" s="37">
        <v>0</v>
      </c>
      <c r="BA332" s="37">
        <v>0</v>
      </c>
      <c r="BB332" s="37">
        <v>0</v>
      </c>
      <c r="BC332" s="37">
        <v>0</v>
      </c>
      <c r="BD332" s="37">
        <v>0</v>
      </c>
      <c r="BE332" s="37">
        <v>0</v>
      </c>
      <c r="BF332" s="37">
        <v>0</v>
      </c>
      <c r="BG332" s="37">
        <v>0</v>
      </c>
      <c r="BH332" s="37">
        <v>0</v>
      </c>
      <c r="BI332" s="37">
        <v>0</v>
      </c>
      <c r="BJ332" s="37">
        <v>0</v>
      </c>
      <c r="BK332" s="59">
        <v>0</v>
      </c>
      <c r="BL332" s="37">
        <v>0</v>
      </c>
      <c r="BM332" s="37">
        <v>0</v>
      </c>
      <c r="BN332" s="37">
        <v>0</v>
      </c>
      <c r="BO332" s="37">
        <v>0</v>
      </c>
      <c r="BP332" s="37">
        <v>0</v>
      </c>
      <c r="BQ332" s="37">
        <v>0</v>
      </c>
      <c r="BR332" s="37">
        <v>0</v>
      </c>
      <c r="BS332" s="37">
        <v>0</v>
      </c>
      <c r="BT332" s="37">
        <v>0</v>
      </c>
      <c r="BU332" s="37">
        <v>0</v>
      </c>
      <c r="BV332" s="37">
        <v>0</v>
      </c>
      <c r="BW332" s="59">
        <v>0</v>
      </c>
      <c r="BX332" s="59">
        <v>0</v>
      </c>
      <c r="BZ332" s="37">
        <v>0</v>
      </c>
      <c r="CA332" s="37">
        <v>2000</v>
      </c>
      <c r="CB332" s="37">
        <v>0</v>
      </c>
      <c r="CC332" s="37">
        <v>400</v>
      </c>
      <c r="CD332" s="37">
        <v>200</v>
      </c>
      <c r="CE332" s="37">
        <v>0</v>
      </c>
      <c r="CF332" s="37">
        <v>0</v>
      </c>
      <c r="CG332" s="59">
        <v>2600</v>
      </c>
      <c r="CH332" s="37">
        <v>0</v>
      </c>
      <c r="CI332" s="37">
        <v>5</v>
      </c>
      <c r="CJ332" s="37">
        <v>4</v>
      </c>
      <c r="CK332" s="37">
        <v>2</v>
      </c>
      <c r="CL332" s="37">
        <v>0</v>
      </c>
      <c r="CM332" s="37">
        <v>0</v>
      </c>
      <c r="CN332" s="59">
        <v>11</v>
      </c>
      <c r="CO332" s="59">
        <v>2611</v>
      </c>
      <c r="CP332" s="58"/>
      <c r="CQ332" s="3">
        <v>2611</v>
      </c>
    </row>
    <row r="333" spans="1:95" customFormat="1" x14ac:dyDescent="0.2">
      <c r="A333" s="209">
        <v>43315</v>
      </c>
      <c r="B333" s="33" t="s">
        <v>74</v>
      </c>
      <c r="C333" s="33" t="s">
        <v>71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1</v>
      </c>
      <c r="J333" s="43">
        <v>0</v>
      </c>
      <c r="K333" s="43">
        <v>0</v>
      </c>
      <c r="L333" s="43">
        <v>0</v>
      </c>
      <c r="M333" s="43">
        <v>0</v>
      </c>
      <c r="N333" s="43">
        <v>0</v>
      </c>
      <c r="O333" s="43">
        <v>0</v>
      </c>
      <c r="P333" s="47" t="s">
        <v>45</v>
      </c>
      <c r="R333" s="37">
        <v>0</v>
      </c>
      <c r="S333" s="37">
        <v>0</v>
      </c>
      <c r="T333" s="37">
        <v>600000</v>
      </c>
      <c r="U333" s="37">
        <v>0</v>
      </c>
      <c r="V333" s="37">
        <v>1200000</v>
      </c>
      <c r="W333" s="37">
        <v>0</v>
      </c>
      <c r="X333" s="37">
        <v>40000</v>
      </c>
      <c r="Y333" s="37">
        <v>0</v>
      </c>
      <c r="Z333" s="37">
        <v>40000</v>
      </c>
      <c r="AA333" s="37">
        <v>0</v>
      </c>
      <c r="AB333" s="37">
        <v>30000</v>
      </c>
      <c r="AC333" s="37">
        <v>0</v>
      </c>
      <c r="AD333" s="37">
        <v>16000</v>
      </c>
      <c r="AE333" s="37">
        <v>0</v>
      </c>
      <c r="AF333" s="37">
        <v>0</v>
      </c>
      <c r="AG333" s="59">
        <v>1926000</v>
      </c>
      <c r="AH333" s="37">
        <v>1000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400</v>
      </c>
      <c r="AO333" s="37">
        <v>0</v>
      </c>
      <c r="AP333" s="37">
        <v>300</v>
      </c>
      <c r="AQ333" s="37">
        <v>0</v>
      </c>
      <c r="AR333" s="37">
        <v>0</v>
      </c>
      <c r="AS333" s="59">
        <v>1700</v>
      </c>
      <c r="AT333" s="59">
        <v>1927700</v>
      </c>
      <c r="AU333" s="45"/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>
        <v>0</v>
      </c>
      <c r="BB333" s="37">
        <v>0</v>
      </c>
      <c r="BC333" s="37">
        <v>0</v>
      </c>
      <c r="BD333" s="37">
        <v>0</v>
      </c>
      <c r="BE333" s="37">
        <v>0</v>
      </c>
      <c r="BF333" s="37">
        <v>0</v>
      </c>
      <c r="BG333" s="37">
        <v>0</v>
      </c>
      <c r="BH333" s="37">
        <v>0</v>
      </c>
      <c r="BI333" s="37">
        <v>0</v>
      </c>
      <c r="BJ333" s="37">
        <v>0</v>
      </c>
      <c r="BK333" s="59">
        <v>0</v>
      </c>
      <c r="BL333" s="37">
        <v>0</v>
      </c>
      <c r="BM333" s="37">
        <v>0</v>
      </c>
      <c r="BN333" s="37">
        <v>0</v>
      </c>
      <c r="BO333" s="37">
        <v>0</v>
      </c>
      <c r="BP333" s="37">
        <v>0</v>
      </c>
      <c r="BQ333" s="37">
        <v>0</v>
      </c>
      <c r="BR333" s="37">
        <v>0</v>
      </c>
      <c r="BS333" s="37">
        <v>0</v>
      </c>
      <c r="BT333" s="37">
        <v>0</v>
      </c>
      <c r="BU333" s="37">
        <v>0</v>
      </c>
      <c r="BV333" s="37">
        <v>0</v>
      </c>
      <c r="BW333" s="59">
        <v>0</v>
      </c>
      <c r="BX333" s="59">
        <v>0</v>
      </c>
      <c r="BZ333" s="37">
        <v>600000</v>
      </c>
      <c r="CA333" s="37">
        <v>1200000</v>
      </c>
      <c r="CB333" s="37">
        <v>40000</v>
      </c>
      <c r="CC333" s="37">
        <v>40000</v>
      </c>
      <c r="CD333" s="37">
        <v>30000</v>
      </c>
      <c r="CE333" s="37">
        <v>16000</v>
      </c>
      <c r="CF333" s="37">
        <v>0</v>
      </c>
      <c r="CG333" s="59">
        <v>1926000</v>
      </c>
      <c r="CH333" s="37">
        <v>1000</v>
      </c>
      <c r="CI333" s="37">
        <v>0</v>
      </c>
      <c r="CJ333" s="37">
        <v>400</v>
      </c>
      <c r="CK333" s="37">
        <v>300</v>
      </c>
      <c r="CL333" s="37">
        <v>0</v>
      </c>
      <c r="CM333" s="37">
        <v>0</v>
      </c>
      <c r="CN333" s="59">
        <v>1700</v>
      </c>
      <c r="CO333" s="59">
        <v>1927700</v>
      </c>
      <c r="CP333" s="58"/>
      <c r="CQ333" s="3">
        <v>1927700</v>
      </c>
    </row>
    <row r="334" spans="1:95" customFormat="1" x14ac:dyDescent="0.2">
      <c r="A334" s="209">
        <v>43315</v>
      </c>
      <c r="B334" s="33" t="s">
        <v>74</v>
      </c>
      <c r="C334" s="33" t="s">
        <v>141</v>
      </c>
      <c r="D334" s="43">
        <v>0</v>
      </c>
      <c r="E334" s="43">
        <v>0</v>
      </c>
      <c r="F334" s="43">
        <v>0</v>
      </c>
      <c r="G334" s="43">
        <v>0</v>
      </c>
      <c r="H334" s="43">
        <v>0</v>
      </c>
      <c r="I334" s="43">
        <v>1</v>
      </c>
      <c r="J334" s="43">
        <v>0</v>
      </c>
      <c r="K334" s="43">
        <v>0</v>
      </c>
      <c r="L334" s="43">
        <v>0</v>
      </c>
      <c r="M334" s="43">
        <v>0</v>
      </c>
      <c r="N334" s="43">
        <v>0</v>
      </c>
      <c r="O334" s="43">
        <v>0</v>
      </c>
      <c r="P334" s="47" t="s">
        <v>45</v>
      </c>
      <c r="R334" s="37">
        <v>0</v>
      </c>
      <c r="S334" s="37">
        <v>0</v>
      </c>
      <c r="T334" s="37">
        <v>0</v>
      </c>
      <c r="U334" s="37">
        <v>0</v>
      </c>
      <c r="V334" s="37">
        <v>100000</v>
      </c>
      <c r="W334" s="37">
        <v>0</v>
      </c>
      <c r="X334" s="37">
        <v>0</v>
      </c>
      <c r="Y334" s="37">
        <v>0</v>
      </c>
      <c r="Z334" s="37">
        <v>0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0</v>
      </c>
      <c r="AG334" s="59">
        <v>100000</v>
      </c>
      <c r="AH334" s="37">
        <v>0</v>
      </c>
      <c r="AI334" s="37">
        <v>0</v>
      </c>
      <c r="AJ334" s="37">
        <v>0</v>
      </c>
      <c r="AK334" s="37">
        <v>0</v>
      </c>
      <c r="AL334" s="37">
        <v>0</v>
      </c>
      <c r="AM334" s="37">
        <v>0</v>
      </c>
      <c r="AN334" s="37">
        <v>0</v>
      </c>
      <c r="AO334" s="37">
        <v>0</v>
      </c>
      <c r="AP334" s="37">
        <v>0</v>
      </c>
      <c r="AQ334" s="37">
        <v>0</v>
      </c>
      <c r="AR334" s="37">
        <v>0</v>
      </c>
      <c r="AS334" s="59">
        <v>0</v>
      </c>
      <c r="AT334" s="59">
        <v>100000</v>
      </c>
      <c r="AU334" s="45"/>
      <c r="AV334" s="37">
        <v>0</v>
      </c>
      <c r="AW334" s="37">
        <v>0</v>
      </c>
      <c r="AX334" s="37">
        <v>0</v>
      </c>
      <c r="AY334" s="37">
        <v>0</v>
      </c>
      <c r="AZ334" s="37">
        <v>0</v>
      </c>
      <c r="BA334" s="37">
        <v>0</v>
      </c>
      <c r="BB334" s="37">
        <v>0</v>
      </c>
      <c r="BC334" s="37">
        <v>0</v>
      </c>
      <c r="BD334" s="37">
        <v>0</v>
      </c>
      <c r="BE334" s="37">
        <v>0</v>
      </c>
      <c r="BF334" s="37">
        <v>0</v>
      </c>
      <c r="BG334" s="37">
        <v>0</v>
      </c>
      <c r="BH334" s="37">
        <v>0</v>
      </c>
      <c r="BI334" s="37">
        <v>0</v>
      </c>
      <c r="BJ334" s="37">
        <v>0</v>
      </c>
      <c r="BK334" s="59">
        <v>0</v>
      </c>
      <c r="BL334" s="37">
        <v>0</v>
      </c>
      <c r="BM334" s="37">
        <v>0</v>
      </c>
      <c r="BN334" s="37">
        <v>0</v>
      </c>
      <c r="BO334" s="37">
        <v>0</v>
      </c>
      <c r="BP334" s="37">
        <v>0</v>
      </c>
      <c r="BQ334" s="37">
        <v>0</v>
      </c>
      <c r="BR334" s="37">
        <v>0</v>
      </c>
      <c r="BS334" s="37">
        <v>0</v>
      </c>
      <c r="BT334" s="37">
        <v>0</v>
      </c>
      <c r="BU334" s="37">
        <v>0</v>
      </c>
      <c r="BV334" s="37">
        <v>0</v>
      </c>
      <c r="BW334" s="59">
        <v>0</v>
      </c>
      <c r="BX334" s="59">
        <v>0</v>
      </c>
      <c r="BZ334" s="37">
        <v>0</v>
      </c>
      <c r="CA334" s="37">
        <v>100000</v>
      </c>
      <c r="CB334" s="37">
        <v>0</v>
      </c>
      <c r="CC334" s="37">
        <v>0</v>
      </c>
      <c r="CD334" s="37">
        <v>0</v>
      </c>
      <c r="CE334" s="37">
        <v>0</v>
      </c>
      <c r="CF334" s="37">
        <v>0</v>
      </c>
      <c r="CG334" s="59">
        <v>100000</v>
      </c>
      <c r="CH334" s="37">
        <v>0</v>
      </c>
      <c r="CI334" s="37">
        <v>0</v>
      </c>
      <c r="CJ334" s="37">
        <v>0</v>
      </c>
      <c r="CK334" s="37">
        <v>0</v>
      </c>
      <c r="CL334" s="37">
        <v>0</v>
      </c>
      <c r="CM334" s="37">
        <v>0</v>
      </c>
      <c r="CN334" s="59">
        <v>0</v>
      </c>
      <c r="CO334" s="59">
        <v>100000</v>
      </c>
      <c r="CP334" s="58"/>
      <c r="CQ334" s="3">
        <v>100000</v>
      </c>
    </row>
    <row r="335" spans="1:95" customFormat="1" x14ac:dyDescent="0.2">
      <c r="A335" s="209">
        <v>43315</v>
      </c>
      <c r="B335" s="33" t="s">
        <v>58</v>
      </c>
      <c r="C335" s="33" t="s">
        <v>126</v>
      </c>
      <c r="D335" s="43">
        <v>0</v>
      </c>
      <c r="E335" s="43">
        <v>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1</v>
      </c>
      <c r="L335" s="43">
        <v>0</v>
      </c>
      <c r="M335" s="43">
        <v>0</v>
      </c>
      <c r="N335" s="43">
        <v>0</v>
      </c>
      <c r="O335" s="43">
        <v>0</v>
      </c>
      <c r="P335" s="47" t="s">
        <v>45</v>
      </c>
      <c r="R335" s="37">
        <v>0</v>
      </c>
      <c r="S335" s="37">
        <v>0</v>
      </c>
      <c r="T335" s="37">
        <v>800000</v>
      </c>
      <c r="U335" s="37">
        <v>0</v>
      </c>
      <c r="V335" s="37">
        <v>400000</v>
      </c>
      <c r="W335" s="37">
        <v>0</v>
      </c>
      <c r="X335" s="37">
        <v>0</v>
      </c>
      <c r="Y335" s="37">
        <v>0</v>
      </c>
      <c r="Z335" s="37">
        <v>80000</v>
      </c>
      <c r="AA335" s="37">
        <v>0</v>
      </c>
      <c r="AB335" s="37">
        <v>30000</v>
      </c>
      <c r="AC335" s="37">
        <v>0</v>
      </c>
      <c r="AD335" s="37">
        <v>8000</v>
      </c>
      <c r="AE335" s="37">
        <v>0</v>
      </c>
      <c r="AF335" s="37">
        <v>0</v>
      </c>
      <c r="AG335" s="59">
        <v>1318000</v>
      </c>
      <c r="AH335" s="37">
        <v>750</v>
      </c>
      <c r="AI335" s="37">
        <v>0</v>
      </c>
      <c r="AJ335" s="37">
        <v>0</v>
      </c>
      <c r="AK335" s="37">
        <v>0</v>
      </c>
      <c r="AL335" s="37">
        <v>0</v>
      </c>
      <c r="AM335" s="37">
        <v>0</v>
      </c>
      <c r="AN335" s="37">
        <v>300</v>
      </c>
      <c r="AO335" s="37">
        <v>0</v>
      </c>
      <c r="AP335" s="37">
        <v>200</v>
      </c>
      <c r="AQ335" s="37">
        <v>0</v>
      </c>
      <c r="AR335" s="37">
        <v>0</v>
      </c>
      <c r="AS335" s="59">
        <v>1250</v>
      </c>
      <c r="AT335" s="59">
        <v>1319250</v>
      </c>
      <c r="AU335" s="45"/>
      <c r="AV335" s="37">
        <v>0</v>
      </c>
      <c r="AW335" s="37">
        <v>0</v>
      </c>
      <c r="AX335" s="37">
        <v>0</v>
      </c>
      <c r="AY335" s="37">
        <v>0</v>
      </c>
      <c r="AZ335" s="37">
        <v>0</v>
      </c>
      <c r="BA335" s="37">
        <v>0</v>
      </c>
      <c r="BB335" s="37">
        <v>0</v>
      </c>
      <c r="BC335" s="37">
        <v>0</v>
      </c>
      <c r="BD335" s="37">
        <v>0</v>
      </c>
      <c r="BE335" s="37">
        <v>0</v>
      </c>
      <c r="BF335" s="37">
        <v>0</v>
      </c>
      <c r="BG335" s="37">
        <v>0</v>
      </c>
      <c r="BH335" s="37">
        <v>0</v>
      </c>
      <c r="BI335" s="37">
        <v>0</v>
      </c>
      <c r="BJ335" s="37">
        <v>0</v>
      </c>
      <c r="BK335" s="59">
        <v>0</v>
      </c>
      <c r="BL335" s="37">
        <v>0</v>
      </c>
      <c r="BM335" s="37">
        <v>0</v>
      </c>
      <c r="BN335" s="37">
        <v>0</v>
      </c>
      <c r="BO335" s="37">
        <v>0</v>
      </c>
      <c r="BP335" s="37">
        <v>0</v>
      </c>
      <c r="BQ335" s="37">
        <v>0</v>
      </c>
      <c r="BR335" s="37">
        <v>0</v>
      </c>
      <c r="BS335" s="37">
        <v>0</v>
      </c>
      <c r="BT335" s="37">
        <v>0</v>
      </c>
      <c r="BU335" s="37">
        <v>0</v>
      </c>
      <c r="BV335" s="37">
        <v>0</v>
      </c>
      <c r="BW335" s="59">
        <v>0</v>
      </c>
      <c r="BX335" s="59">
        <v>0</v>
      </c>
      <c r="BZ335" s="37">
        <v>800000</v>
      </c>
      <c r="CA335" s="37">
        <v>400000</v>
      </c>
      <c r="CB335" s="37">
        <v>0</v>
      </c>
      <c r="CC335" s="37">
        <v>80000</v>
      </c>
      <c r="CD335" s="37">
        <v>30000</v>
      </c>
      <c r="CE335" s="37">
        <v>8000</v>
      </c>
      <c r="CF335" s="37">
        <v>0</v>
      </c>
      <c r="CG335" s="59">
        <v>1318000</v>
      </c>
      <c r="CH335" s="37">
        <v>750</v>
      </c>
      <c r="CI335" s="37">
        <v>0</v>
      </c>
      <c r="CJ335" s="37">
        <v>300</v>
      </c>
      <c r="CK335" s="37">
        <v>200</v>
      </c>
      <c r="CL335" s="37">
        <v>0</v>
      </c>
      <c r="CM335" s="37">
        <v>0</v>
      </c>
      <c r="CN335" s="59">
        <v>1250</v>
      </c>
      <c r="CO335" s="59">
        <v>1319250</v>
      </c>
      <c r="CP335" s="58"/>
      <c r="CQ335" s="3">
        <v>1319250</v>
      </c>
    </row>
    <row r="336" spans="1:95" customFormat="1" x14ac:dyDescent="0.2">
      <c r="A336" s="209">
        <v>43318</v>
      </c>
      <c r="B336" s="33" t="s">
        <v>55</v>
      </c>
      <c r="C336" s="33" t="s">
        <v>56</v>
      </c>
      <c r="D336" s="43">
        <v>0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0</v>
      </c>
      <c r="L336" s="43">
        <v>0</v>
      </c>
      <c r="M336" s="43">
        <v>0</v>
      </c>
      <c r="N336" s="43">
        <v>0</v>
      </c>
      <c r="O336" s="43">
        <v>0</v>
      </c>
      <c r="P336" s="47">
        <v>0</v>
      </c>
      <c r="R336" s="37">
        <v>0</v>
      </c>
      <c r="S336" s="37">
        <v>0</v>
      </c>
      <c r="T336" s="37">
        <v>0</v>
      </c>
      <c r="U336" s="37">
        <v>0</v>
      </c>
      <c r="V336" s="37">
        <v>2000</v>
      </c>
      <c r="W336" s="37">
        <v>0</v>
      </c>
      <c r="X336" s="37">
        <v>0</v>
      </c>
      <c r="Y336" s="37">
        <v>0</v>
      </c>
      <c r="Z336" s="37">
        <v>400</v>
      </c>
      <c r="AA336" s="37">
        <v>0</v>
      </c>
      <c r="AB336" s="37">
        <v>200</v>
      </c>
      <c r="AC336" s="37">
        <v>0</v>
      </c>
      <c r="AD336" s="37">
        <v>80</v>
      </c>
      <c r="AE336" s="37">
        <v>0</v>
      </c>
      <c r="AF336" s="37">
        <v>0</v>
      </c>
      <c r="AG336" s="59">
        <v>2680</v>
      </c>
      <c r="AH336" s="37">
        <v>0</v>
      </c>
      <c r="AI336" s="37">
        <v>0</v>
      </c>
      <c r="AJ336" s="37">
        <v>0</v>
      </c>
      <c r="AK336" s="37">
        <v>0</v>
      </c>
      <c r="AL336" s="37">
        <v>0</v>
      </c>
      <c r="AM336" s="37">
        <v>0</v>
      </c>
      <c r="AN336" s="37">
        <v>0</v>
      </c>
      <c r="AO336" s="37">
        <v>0</v>
      </c>
      <c r="AP336" s="37">
        <v>0</v>
      </c>
      <c r="AQ336" s="37">
        <v>0</v>
      </c>
      <c r="AR336" s="37">
        <v>0</v>
      </c>
      <c r="AS336" s="59">
        <v>0</v>
      </c>
      <c r="AT336" s="59">
        <v>2680</v>
      </c>
      <c r="AU336" s="45"/>
      <c r="AV336" s="37">
        <v>0</v>
      </c>
      <c r="AW336" s="37">
        <v>0</v>
      </c>
      <c r="AX336" s="37">
        <v>0</v>
      </c>
      <c r="AY336" s="37">
        <v>0</v>
      </c>
      <c r="AZ336" s="37">
        <v>0</v>
      </c>
      <c r="BA336" s="37">
        <v>0</v>
      </c>
      <c r="BB336" s="37">
        <v>0</v>
      </c>
      <c r="BC336" s="37">
        <v>0</v>
      </c>
      <c r="BD336" s="37">
        <v>0</v>
      </c>
      <c r="BE336" s="37">
        <v>0</v>
      </c>
      <c r="BF336" s="37">
        <v>0</v>
      </c>
      <c r="BG336" s="37">
        <v>0</v>
      </c>
      <c r="BH336" s="37">
        <v>0</v>
      </c>
      <c r="BI336" s="37">
        <v>0</v>
      </c>
      <c r="BJ336" s="37">
        <v>0</v>
      </c>
      <c r="BK336" s="59">
        <v>0</v>
      </c>
      <c r="BL336" s="37">
        <v>0</v>
      </c>
      <c r="BM336" s="37">
        <v>0</v>
      </c>
      <c r="BN336" s="37">
        <v>0</v>
      </c>
      <c r="BO336" s="37">
        <v>0</v>
      </c>
      <c r="BP336" s="37">
        <v>0</v>
      </c>
      <c r="BQ336" s="37">
        <v>0</v>
      </c>
      <c r="BR336" s="37">
        <v>0</v>
      </c>
      <c r="BS336" s="37">
        <v>0</v>
      </c>
      <c r="BT336" s="37">
        <v>0</v>
      </c>
      <c r="BU336" s="37">
        <v>0</v>
      </c>
      <c r="BV336" s="37">
        <v>0</v>
      </c>
      <c r="BW336" s="59">
        <v>0</v>
      </c>
      <c r="BX336" s="59">
        <v>0</v>
      </c>
      <c r="BZ336" s="37">
        <v>0</v>
      </c>
      <c r="CA336" s="37">
        <v>2000</v>
      </c>
      <c r="CB336" s="37">
        <v>0</v>
      </c>
      <c r="CC336" s="37">
        <v>400</v>
      </c>
      <c r="CD336" s="37">
        <v>200</v>
      </c>
      <c r="CE336" s="37">
        <v>80</v>
      </c>
      <c r="CF336" s="37">
        <v>0</v>
      </c>
      <c r="CG336" s="59">
        <v>2680</v>
      </c>
      <c r="CH336" s="37">
        <v>0</v>
      </c>
      <c r="CI336" s="37">
        <v>0</v>
      </c>
      <c r="CJ336" s="37">
        <v>0</v>
      </c>
      <c r="CK336" s="37">
        <v>0</v>
      </c>
      <c r="CL336" s="37">
        <v>0</v>
      </c>
      <c r="CM336" s="37">
        <v>0</v>
      </c>
      <c r="CN336" s="59">
        <v>0</v>
      </c>
      <c r="CO336" s="59">
        <v>2680</v>
      </c>
      <c r="CP336" s="58"/>
      <c r="CQ336" s="3">
        <v>2680</v>
      </c>
    </row>
    <row r="337" spans="1:95" customFormat="1" x14ac:dyDescent="0.2">
      <c r="A337" s="209">
        <v>43318</v>
      </c>
      <c r="B337" s="33" t="s">
        <v>53</v>
      </c>
      <c r="C337" s="33" t="s">
        <v>57</v>
      </c>
      <c r="D337" s="43">
        <v>0</v>
      </c>
      <c r="E337" s="43">
        <v>0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0</v>
      </c>
      <c r="L337" s="43">
        <v>0</v>
      </c>
      <c r="M337" s="43">
        <v>0</v>
      </c>
      <c r="N337" s="43">
        <v>0</v>
      </c>
      <c r="O337" s="43">
        <v>0</v>
      </c>
      <c r="P337" s="47">
        <v>0</v>
      </c>
      <c r="R337" s="37">
        <v>0</v>
      </c>
      <c r="S337" s="37">
        <v>0</v>
      </c>
      <c r="T337" s="37">
        <v>36000</v>
      </c>
      <c r="U337" s="37">
        <v>0</v>
      </c>
      <c r="V337" s="37">
        <v>20000</v>
      </c>
      <c r="W337" s="37">
        <v>0</v>
      </c>
      <c r="X337" s="37">
        <v>0</v>
      </c>
      <c r="Y337" s="37">
        <v>0</v>
      </c>
      <c r="Z337" s="37">
        <v>4000</v>
      </c>
      <c r="AA337" s="37">
        <v>0</v>
      </c>
      <c r="AB337" s="37">
        <v>2000</v>
      </c>
      <c r="AC337" s="37">
        <v>0</v>
      </c>
      <c r="AD337" s="37">
        <v>720</v>
      </c>
      <c r="AE337" s="37">
        <v>0</v>
      </c>
      <c r="AF337" s="37">
        <v>0</v>
      </c>
      <c r="AG337" s="59">
        <v>62720</v>
      </c>
      <c r="AH337" s="37">
        <v>0</v>
      </c>
      <c r="AI337" s="37">
        <v>0</v>
      </c>
      <c r="AJ337" s="37">
        <v>0</v>
      </c>
      <c r="AK337" s="37">
        <v>0</v>
      </c>
      <c r="AL337" s="37">
        <v>25</v>
      </c>
      <c r="AM337" s="37">
        <v>0</v>
      </c>
      <c r="AN337" s="37">
        <v>28</v>
      </c>
      <c r="AO337" s="37">
        <v>0</v>
      </c>
      <c r="AP337" s="37">
        <v>14</v>
      </c>
      <c r="AQ337" s="37">
        <v>0</v>
      </c>
      <c r="AR337" s="37">
        <v>0</v>
      </c>
      <c r="AS337" s="59">
        <v>67</v>
      </c>
      <c r="AT337" s="59">
        <v>62787</v>
      </c>
      <c r="AU337" s="45"/>
      <c r="AV337" s="37">
        <v>0</v>
      </c>
      <c r="AW337" s="37">
        <v>0</v>
      </c>
      <c r="AX337" s="37">
        <v>0</v>
      </c>
      <c r="AY337" s="37">
        <v>0</v>
      </c>
      <c r="AZ337" s="37">
        <v>0</v>
      </c>
      <c r="BA337" s="37">
        <v>0</v>
      </c>
      <c r="BB337" s="37">
        <v>0</v>
      </c>
      <c r="BC337" s="37">
        <v>0</v>
      </c>
      <c r="BD337" s="37">
        <v>0</v>
      </c>
      <c r="BE337" s="37">
        <v>0</v>
      </c>
      <c r="BF337" s="37">
        <v>0</v>
      </c>
      <c r="BG337" s="37">
        <v>0</v>
      </c>
      <c r="BH337" s="37">
        <v>0</v>
      </c>
      <c r="BI337" s="37">
        <v>0</v>
      </c>
      <c r="BJ337" s="37">
        <v>0</v>
      </c>
      <c r="BK337" s="59">
        <v>0</v>
      </c>
      <c r="BL337" s="37">
        <v>0</v>
      </c>
      <c r="BM337" s="37">
        <v>0</v>
      </c>
      <c r="BN337" s="37">
        <v>0</v>
      </c>
      <c r="BO337" s="37">
        <v>0</v>
      </c>
      <c r="BP337" s="37">
        <v>0</v>
      </c>
      <c r="BQ337" s="37">
        <v>0</v>
      </c>
      <c r="BR337" s="37">
        <v>0</v>
      </c>
      <c r="BS337" s="37">
        <v>0</v>
      </c>
      <c r="BT337" s="37">
        <v>0</v>
      </c>
      <c r="BU337" s="37">
        <v>0</v>
      </c>
      <c r="BV337" s="37">
        <v>0</v>
      </c>
      <c r="BW337" s="59">
        <v>0</v>
      </c>
      <c r="BX337" s="59">
        <v>0</v>
      </c>
      <c r="BZ337" s="37">
        <v>36000</v>
      </c>
      <c r="CA337" s="37">
        <v>20000</v>
      </c>
      <c r="CB337" s="37">
        <v>0</v>
      </c>
      <c r="CC337" s="37">
        <v>4000</v>
      </c>
      <c r="CD337" s="37">
        <v>2000</v>
      </c>
      <c r="CE337" s="37">
        <v>720</v>
      </c>
      <c r="CF337" s="37">
        <v>0</v>
      </c>
      <c r="CG337" s="59">
        <v>62720</v>
      </c>
      <c r="CH337" s="37">
        <v>0</v>
      </c>
      <c r="CI337" s="37">
        <v>25</v>
      </c>
      <c r="CJ337" s="37">
        <v>28</v>
      </c>
      <c r="CK337" s="37">
        <v>14</v>
      </c>
      <c r="CL337" s="37">
        <v>0</v>
      </c>
      <c r="CM337" s="37">
        <v>0</v>
      </c>
      <c r="CN337" s="59">
        <v>67</v>
      </c>
      <c r="CO337" s="59">
        <v>62787</v>
      </c>
      <c r="CP337" s="58"/>
      <c r="CQ337" s="3">
        <v>62787</v>
      </c>
    </row>
    <row r="338" spans="1:95" customFormat="1" x14ac:dyDescent="0.2">
      <c r="A338" s="209">
        <v>43319</v>
      </c>
      <c r="B338" s="33" t="s">
        <v>55</v>
      </c>
      <c r="C338" s="33" t="s">
        <v>56</v>
      </c>
      <c r="D338" s="43">
        <v>0</v>
      </c>
      <c r="E338" s="43">
        <v>0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0</v>
      </c>
      <c r="L338" s="43">
        <v>0</v>
      </c>
      <c r="M338" s="43">
        <v>0</v>
      </c>
      <c r="N338" s="43">
        <v>0</v>
      </c>
      <c r="O338" s="43">
        <v>0</v>
      </c>
      <c r="P338" s="47">
        <v>0</v>
      </c>
      <c r="R338" s="37">
        <v>0</v>
      </c>
      <c r="S338" s="37">
        <v>0</v>
      </c>
      <c r="T338" s="37">
        <v>4000</v>
      </c>
      <c r="U338" s="37">
        <v>0</v>
      </c>
      <c r="V338" s="37">
        <v>2000</v>
      </c>
      <c r="W338" s="37">
        <v>0</v>
      </c>
      <c r="X338" s="37">
        <v>0</v>
      </c>
      <c r="Y338" s="37">
        <v>0</v>
      </c>
      <c r="Z338" s="37">
        <v>400</v>
      </c>
      <c r="AA338" s="37">
        <v>0</v>
      </c>
      <c r="AB338" s="37">
        <v>200</v>
      </c>
      <c r="AC338" s="37">
        <v>0</v>
      </c>
      <c r="AD338" s="37">
        <v>80</v>
      </c>
      <c r="AE338" s="37">
        <v>0</v>
      </c>
      <c r="AF338" s="37">
        <v>0</v>
      </c>
      <c r="AG338" s="59">
        <v>6680</v>
      </c>
      <c r="AH338" s="37">
        <v>0</v>
      </c>
      <c r="AI338" s="37">
        <v>0</v>
      </c>
      <c r="AJ338" s="37">
        <v>0</v>
      </c>
      <c r="AK338" s="37">
        <v>0</v>
      </c>
      <c r="AL338" s="37">
        <v>5</v>
      </c>
      <c r="AM338" s="37">
        <v>0</v>
      </c>
      <c r="AN338" s="37">
        <v>4</v>
      </c>
      <c r="AO338" s="37">
        <v>0</v>
      </c>
      <c r="AP338" s="37">
        <v>2</v>
      </c>
      <c r="AQ338" s="37">
        <v>0</v>
      </c>
      <c r="AR338" s="37">
        <v>0</v>
      </c>
      <c r="AS338" s="59">
        <v>11</v>
      </c>
      <c r="AT338" s="59">
        <v>6691</v>
      </c>
      <c r="AU338" s="45"/>
      <c r="AV338" s="37">
        <v>0</v>
      </c>
      <c r="AW338" s="37">
        <v>0</v>
      </c>
      <c r="AX338" s="37">
        <v>0</v>
      </c>
      <c r="AY338" s="37">
        <v>0</v>
      </c>
      <c r="AZ338" s="37">
        <v>0</v>
      </c>
      <c r="BA338" s="37">
        <v>0</v>
      </c>
      <c r="BB338" s="37">
        <v>0</v>
      </c>
      <c r="BC338" s="37">
        <v>0</v>
      </c>
      <c r="BD338" s="37">
        <v>0</v>
      </c>
      <c r="BE338" s="37">
        <v>0</v>
      </c>
      <c r="BF338" s="37">
        <v>0</v>
      </c>
      <c r="BG338" s="37">
        <v>0</v>
      </c>
      <c r="BH338" s="37">
        <v>0</v>
      </c>
      <c r="BI338" s="37">
        <v>0</v>
      </c>
      <c r="BJ338" s="37">
        <v>0</v>
      </c>
      <c r="BK338" s="59">
        <v>0</v>
      </c>
      <c r="BL338" s="37">
        <v>0</v>
      </c>
      <c r="BM338" s="37">
        <v>0</v>
      </c>
      <c r="BN338" s="37">
        <v>0</v>
      </c>
      <c r="BO338" s="37">
        <v>0</v>
      </c>
      <c r="BP338" s="37">
        <v>0</v>
      </c>
      <c r="BQ338" s="37">
        <v>0</v>
      </c>
      <c r="BR338" s="37">
        <v>0</v>
      </c>
      <c r="BS338" s="37">
        <v>0</v>
      </c>
      <c r="BT338" s="37">
        <v>0</v>
      </c>
      <c r="BU338" s="37">
        <v>0</v>
      </c>
      <c r="BV338" s="37">
        <v>0</v>
      </c>
      <c r="BW338" s="59">
        <v>0</v>
      </c>
      <c r="BX338" s="59">
        <v>0</v>
      </c>
      <c r="BZ338" s="37">
        <v>4000</v>
      </c>
      <c r="CA338" s="37">
        <v>2000</v>
      </c>
      <c r="CB338" s="37">
        <v>0</v>
      </c>
      <c r="CC338" s="37">
        <v>400</v>
      </c>
      <c r="CD338" s="37">
        <v>200</v>
      </c>
      <c r="CE338" s="37">
        <v>80</v>
      </c>
      <c r="CF338" s="37">
        <v>0</v>
      </c>
      <c r="CG338" s="59">
        <v>6680</v>
      </c>
      <c r="CH338" s="37">
        <v>0</v>
      </c>
      <c r="CI338" s="37">
        <v>5</v>
      </c>
      <c r="CJ338" s="37">
        <v>4</v>
      </c>
      <c r="CK338" s="37">
        <v>2</v>
      </c>
      <c r="CL338" s="37">
        <v>0</v>
      </c>
      <c r="CM338" s="37">
        <v>0</v>
      </c>
      <c r="CN338" s="59">
        <v>11</v>
      </c>
      <c r="CO338" s="59">
        <v>6691</v>
      </c>
      <c r="CP338" s="58"/>
      <c r="CQ338" s="3">
        <v>6691</v>
      </c>
    </row>
    <row r="339" spans="1:95" customFormat="1" x14ac:dyDescent="0.2">
      <c r="A339" s="209">
        <v>43319</v>
      </c>
      <c r="B339" s="33" t="s">
        <v>72</v>
      </c>
      <c r="C339" s="33" t="s">
        <v>142</v>
      </c>
      <c r="D339" s="43">
        <v>0</v>
      </c>
      <c r="E339" s="43">
        <v>0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1</v>
      </c>
      <c r="L339" s="43">
        <v>0</v>
      </c>
      <c r="M339" s="43">
        <v>0</v>
      </c>
      <c r="N339" s="43">
        <v>0</v>
      </c>
      <c r="O339" s="43">
        <v>0</v>
      </c>
      <c r="P339" s="47" t="s">
        <v>45</v>
      </c>
      <c r="R339" s="37">
        <v>0</v>
      </c>
      <c r="S339" s="37">
        <v>0</v>
      </c>
      <c r="T339" s="37">
        <v>200000</v>
      </c>
      <c r="U339" s="37">
        <v>0</v>
      </c>
      <c r="V339" s="37">
        <v>200000</v>
      </c>
      <c r="W339" s="37">
        <v>0</v>
      </c>
      <c r="X339" s="37">
        <v>0</v>
      </c>
      <c r="Y339" s="37">
        <v>0</v>
      </c>
      <c r="Z339" s="37">
        <v>40000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</v>
      </c>
      <c r="AG339" s="59">
        <v>440000</v>
      </c>
      <c r="AH339" s="37">
        <v>5000</v>
      </c>
      <c r="AI339" s="37">
        <v>0</v>
      </c>
      <c r="AJ339" s="37">
        <v>1250</v>
      </c>
      <c r="AK339" s="37">
        <v>0</v>
      </c>
      <c r="AL339" s="37">
        <v>0</v>
      </c>
      <c r="AM339" s="37">
        <v>0</v>
      </c>
      <c r="AN339" s="37">
        <v>200</v>
      </c>
      <c r="AO339" s="37">
        <v>0</v>
      </c>
      <c r="AP339" s="37">
        <v>100</v>
      </c>
      <c r="AQ339" s="37">
        <v>0</v>
      </c>
      <c r="AR339" s="37">
        <v>0</v>
      </c>
      <c r="AS339" s="59">
        <v>6550</v>
      </c>
      <c r="AT339" s="59">
        <v>446550</v>
      </c>
      <c r="AU339" s="45"/>
      <c r="AV339" s="37">
        <v>0</v>
      </c>
      <c r="AW339" s="37">
        <v>0</v>
      </c>
      <c r="AX339" s="37">
        <v>0</v>
      </c>
      <c r="AY339" s="37">
        <v>0</v>
      </c>
      <c r="AZ339" s="37">
        <v>0</v>
      </c>
      <c r="BA339" s="37">
        <v>0</v>
      </c>
      <c r="BB339" s="37">
        <v>0</v>
      </c>
      <c r="BC339" s="37">
        <v>0</v>
      </c>
      <c r="BD339" s="37">
        <v>0</v>
      </c>
      <c r="BE339" s="37">
        <v>0</v>
      </c>
      <c r="BF339" s="37">
        <v>0</v>
      </c>
      <c r="BG339" s="37">
        <v>0</v>
      </c>
      <c r="BH339" s="37">
        <v>0</v>
      </c>
      <c r="BI339" s="37">
        <v>0</v>
      </c>
      <c r="BJ339" s="37">
        <v>0</v>
      </c>
      <c r="BK339" s="59">
        <v>0</v>
      </c>
      <c r="BL339" s="37">
        <v>0</v>
      </c>
      <c r="BM339" s="37">
        <v>0</v>
      </c>
      <c r="BN339" s="37">
        <v>0</v>
      </c>
      <c r="BO339" s="37">
        <v>0</v>
      </c>
      <c r="BP339" s="37">
        <v>0</v>
      </c>
      <c r="BQ339" s="37">
        <v>0</v>
      </c>
      <c r="BR339" s="37">
        <v>0</v>
      </c>
      <c r="BS339" s="37">
        <v>0</v>
      </c>
      <c r="BT339" s="37">
        <v>0</v>
      </c>
      <c r="BU339" s="37">
        <v>0</v>
      </c>
      <c r="BV339" s="37">
        <v>0</v>
      </c>
      <c r="BW339" s="59">
        <v>0</v>
      </c>
      <c r="BX339" s="59">
        <v>0</v>
      </c>
      <c r="BZ339" s="37">
        <v>200000</v>
      </c>
      <c r="CA339" s="37">
        <v>200000</v>
      </c>
      <c r="CB339" s="37">
        <v>0</v>
      </c>
      <c r="CC339" s="37">
        <v>40000</v>
      </c>
      <c r="CD339" s="37">
        <v>0</v>
      </c>
      <c r="CE339" s="37">
        <v>0</v>
      </c>
      <c r="CF339" s="37">
        <v>0</v>
      </c>
      <c r="CG339" s="59">
        <v>440000</v>
      </c>
      <c r="CH339" s="37">
        <v>5000</v>
      </c>
      <c r="CI339" s="37">
        <v>1250</v>
      </c>
      <c r="CJ339" s="37">
        <v>200</v>
      </c>
      <c r="CK339" s="37">
        <v>100</v>
      </c>
      <c r="CL339" s="37">
        <v>0</v>
      </c>
      <c r="CM339" s="37">
        <v>0</v>
      </c>
      <c r="CN339" s="59">
        <v>6550</v>
      </c>
      <c r="CO339" s="59">
        <v>446550</v>
      </c>
      <c r="CP339" s="58"/>
      <c r="CQ339" s="3">
        <v>446550</v>
      </c>
    </row>
    <row r="340" spans="1:95" customFormat="1" x14ac:dyDescent="0.2">
      <c r="A340" s="209">
        <v>43320</v>
      </c>
      <c r="B340" s="33" t="s">
        <v>55</v>
      </c>
      <c r="C340" s="33" t="s">
        <v>56</v>
      </c>
      <c r="D340" s="43">
        <v>0</v>
      </c>
      <c r="E340" s="43">
        <v>0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0</v>
      </c>
      <c r="L340" s="43">
        <v>0</v>
      </c>
      <c r="M340" s="43">
        <v>0</v>
      </c>
      <c r="N340" s="43">
        <v>0</v>
      </c>
      <c r="O340" s="43">
        <v>0</v>
      </c>
      <c r="P340" s="47">
        <v>0</v>
      </c>
      <c r="R340" s="37">
        <v>0</v>
      </c>
      <c r="S340" s="37">
        <v>0</v>
      </c>
      <c r="T340" s="37">
        <v>0</v>
      </c>
      <c r="U340" s="37">
        <v>0</v>
      </c>
      <c r="V340" s="37">
        <v>2000</v>
      </c>
      <c r="W340" s="37">
        <v>0</v>
      </c>
      <c r="X340" s="37">
        <v>0</v>
      </c>
      <c r="Y340" s="37">
        <v>0</v>
      </c>
      <c r="Z340" s="37">
        <v>400</v>
      </c>
      <c r="AA340" s="37">
        <v>0</v>
      </c>
      <c r="AB340" s="37">
        <v>200</v>
      </c>
      <c r="AC340" s="37">
        <v>0</v>
      </c>
      <c r="AD340" s="37">
        <v>80</v>
      </c>
      <c r="AE340" s="37">
        <v>0</v>
      </c>
      <c r="AF340" s="37">
        <v>0</v>
      </c>
      <c r="AG340" s="59">
        <v>2680</v>
      </c>
      <c r="AH340" s="37">
        <v>0</v>
      </c>
      <c r="AI340" s="37">
        <v>0</v>
      </c>
      <c r="AJ340" s="37">
        <v>0</v>
      </c>
      <c r="AK340" s="37">
        <v>0</v>
      </c>
      <c r="AL340" s="37">
        <v>0</v>
      </c>
      <c r="AM340" s="37">
        <v>0</v>
      </c>
      <c r="AN340" s="37">
        <v>0</v>
      </c>
      <c r="AO340" s="37">
        <v>0</v>
      </c>
      <c r="AP340" s="37">
        <v>0</v>
      </c>
      <c r="AQ340" s="37">
        <v>0</v>
      </c>
      <c r="AR340" s="37">
        <v>0</v>
      </c>
      <c r="AS340" s="59">
        <v>0</v>
      </c>
      <c r="AT340" s="59">
        <v>2680</v>
      </c>
      <c r="AU340" s="45"/>
      <c r="AV340" s="37">
        <v>0</v>
      </c>
      <c r="AW340" s="37">
        <v>0</v>
      </c>
      <c r="AX340" s="37">
        <v>0</v>
      </c>
      <c r="AY340" s="37">
        <v>0</v>
      </c>
      <c r="AZ340" s="37">
        <v>0</v>
      </c>
      <c r="BA340" s="37">
        <v>0</v>
      </c>
      <c r="BB340" s="37">
        <v>0</v>
      </c>
      <c r="BC340" s="37">
        <v>0</v>
      </c>
      <c r="BD340" s="37">
        <v>0</v>
      </c>
      <c r="BE340" s="37">
        <v>0</v>
      </c>
      <c r="BF340" s="37">
        <v>0</v>
      </c>
      <c r="BG340" s="37">
        <v>0</v>
      </c>
      <c r="BH340" s="37">
        <v>0</v>
      </c>
      <c r="BI340" s="37">
        <v>0</v>
      </c>
      <c r="BJ340" s="37">
        <v>0</v>
      </c>
      <c r="BK340" s="59">
        <v>0</v>
      </c>
      <c r="BL340" s="37">
        <v>0</v>
      </c>
      <c r="BM340" s="37">
        <v>0</v>
      </c>
      <c r="BN340" s="37">
        <v>0</v>
      </c>
      <c r="BO340" s="37">
        <v>0</v>
      </c>
      <c r="BP340" s="37">
        <v>0</v>
      </c>
      <c r="BQ340" s="37">
        <v>0</v>
      </c>
      <c r="BR340" s="37">
        <v>0</v>
      </c>
      <c r="BS340" s="37">
        <v>0</v>
      </c>
      <c r="BT340" s="37">
        <v>0</v>
      </c>
      <c r="BU340" s="37">
        <v>0</v>
      </c>
      <c r="BV340" s="37">
        <v>0</v>
      </c>
      <c r="BW340" s="59">
        <v>0</v>
      </c>
      <c r="BX340" s="59">
        <v>0</v>
      </c>
      <c r="BZ340" s="37">
        <v>0</v>
      </c>
      <c r="CA340" s="37">
        <v>2000</v>
      </c>
      <c r="CB340" s="37">
        <v>0</v>
      </c>
      <c r="CC340" s="37">
        <v>400</v>
      </c>
      <c r="CD340" s="37">
        <v>200</v>
      </c>
      <c r="CE340" s="37">
        <v>80</v>
      </c>
      <c r="CF340" s="37">
        <v>0</v>
      </c>
      <c r="CG340" s="59">
        <v>2680</v>
      </c>
      <c r="CH340" s="37">
        <v>0</v>
      </c>
      <c r="CI340" s="37">
        <v>0</v>
      </c>
      <c r="CJ340" s="37">
        <v>0</v>
      </c>
      <c r="CK340" s="37">
        <v>0</v>
      </c>
      <c r="CL340" s="37">
        <v>0</v>
      </c>
      <c r="CM340" s="37">
        <v>0</v>
      </c>
      <c r="CN340" s="59">
        <v>0</v>
      </c>
      <c r="CO340" s="59">
        <v>2680</v>
      </c>
      <c r="CP340" s="58"/>
      <c r="CQ340" s="3">
        <v>2680</v>
      </c>
    </row>
    <row r="341" spans="1:95" customFormat="1" x14ac:dyDescent="0.2">
      <c r="A341" s="209">
        <v>43320</v>
      </c>
      <c r="B341" s="33" t="s">
        <v>116</v>
      </c>
      <c r="C341" s="33" t="s">
        <v>98</v>
      </c>
      <c r="D341" s="43">
        <v>0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1</v>
      </c>
      <c r="L341" s="43">
        <v>0</v>
      </c>
      <c r="M341" s="43">
        <v>0</v>
      </c>
      <c r="N341" s="43">
        <v>0</v>
      </c>
      <c r="O341" s="43">
        <v>0</v>
      </c>
      <c r="P341" s="47" t="s">
        <v>45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37">
        <v>0</v>
      </c>
      <c r="AF341" s="37">
        <v>0</v>
      </c>
      <c r="AG341" s="59">
        <v>0</v>
      </c>
      <c r="AH341" s="37">
        <v>2000</v>
      </c>
      <c r="AI341" s="37">
        <v>0</v>
      </c>
      <c r="AJ341" s="37">
        <v>875</v>
      </c>
      <c r="AK341" s="37">
        <v>0</v>
      </c>
      <c r="AL341" s="37">
        <v>0</v>
      </c>
      <c r="AM341" s="37">
        <v>0</v>
      </c>
      <c r="AN341" s="37">
        <v>300</v>
      </c>
      <c r="AO341" s="37">
        <v>0</v>
      </c>
      <c r="AP341" s="37">
        <v>150</v>
      </c>
      <c r="AQ341" s="37">
        <v>0</v>
      </c>
      <c r="AR341" s="37">
        <v>0</v>
      </c>
      <c r="AS341" s="59">
        <v>3325</v>
      </c>
      <c r="AT341" s="59">
        <v>3325</v>
      </c>
      <c r="AU341" s="45"/>
      <c r="AV341" s="37">
        <v>0</v>
      </c>
      <c r="AW341" s="37">
        <v>0</v>
      </c>
      <c r="AX341" s="37">
        <v>0</v>
      </c>
      <c r="AY341" s="37">
        <v>0</v>
      </c>
      <c r="AZ341" s="37">
        <v>0</v>
      </c>
      <c r="BA341" s="37">
        <v>0</v>
      </c>
      <c r="BB341" s="37">
        <v>0</v>
      </c>
      <c r="BC341" s="37">
        <v>0</v>
      </c>
      <c r="BD341" s="37">
        <v>0</v>
      </c>
      <c r="BE341" s="37">
        <v>0</v>
      </c>
      <c r="BF341" s="37">
        <v>0</v>
      </c>
      <c r="BG341" s="37">
        <v>0</v>
      </c>
      <c r="BH341" s="37">
        <v>0</v>
      </c>
      <c r="BI341" s="37">
        <v>0</v>
      </c>
      <c r="BJ341" s="37">
        <v>0</v>
      </c>
      <c r="BK341" s="59">
        <v>0</v>
      </c>
      <c r="BL341" s="37">
        <v>0</v>
      </c>
      <c r="BM341" s="37">
        <v>0</v>
      </c>
      <c r="BN341" s="37">
        <v>0</v>
      </c>
      <c r="BO341" s="37">
        <v>0</v>
      </c>
      <c r="BP341" s="37">
        <v>0</v>
      </c>
      <c r="BQ341" s="37">
        <v>0</v>
      </c>
      <c r="BR341" s="37">
        <v>0</v>
      </c>
      <c r="BS341" s="37">
        <v>0</v>
      </c>
      <c r="BT341" s="37">
        <v>0</v>
      </c>
      <c r="BU341" s="37">
        <v>0</v>
      </c>
      <c r="BV341" s="37">
        <v>0</v>
      </c>
      <c r="BW341" s="59">
        <v>0</v>
      </c>
      <c r="BX341" s="59">
        <v>0</v>
      </c>
      <c r="BZ341" s="37">
        <v>0</v>
      </c>
      <c r="CA341" s="37">
        <v>0</v>
      </c>
      <c r="CB341" s="37">
        <v>0</v>
      </c>
      <c r="CC341" s="37">
        <v>0</v>
      </c>
      <c r="CD341" s="37">
        <v>0</v>
      </c>
      <c r="CE341" s="37">
        <v>0</v>
      </c>
      <c r="CF341" s="37">
        <v>0</v>
      </c>
      <c r="CG341" s="59">
        <v>0</v>
      </c>
      <c r="CH341" s="37">
        <v>2000</v>
      </c>
      <c r="CI341" s="37">
        <v>875</v>
      </c>
      <c r="CJ341" s="37">
        <v>300</v>
      </c>
      <c r="CK341" s="37">
        <v>150</v>
      </c>
      <c r="CL341" s="37">
        <v>0</v>
      </c>
      <c r="CM341" s="37">
        <v>0</v>
      </c>
      <c r="CN341" s="59">
        <v>3325</v>
      </c>
      <c r="CO341" s="59">
        <v>3325</v>
      </c>
      <c r="CP341" s="58"/>
      <c r="CQ341" s="3">
        <v>3325</v>
      </c>
    </row>
    <row r="342" spans="1:95" customFormat="1" x14ac:dyDescent="0.2">
      <c r="A342" s="209">
        <v>43320</v>
      </c>
      <c r="B342" s="33" t="s">
        <v>53</v>
      </c>
      <c r="C342" s="33" t="s">
        <v>84</v>
      </c>
      <c r="D342" s="43">
        <v>0</v>
      </c>
      <c r="E342" s="43">
        <v>1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0</v>
      </c>
      <c r="M342" s="43">
        <v>0</v>
      </c>
      <c r="N342" s="43">
        <v>0</v>
      </c>
      <c r="O342" s="43">
        <v>0</v>
      </c>
      <c r="P342" s="47" t="s">
        <v>45</v>
      </c>
      <c r="R342" s="37">
        <v>0</v>
      </c>
      <c r="S342" s="37">
        <v>0</v>
      </c>
      <c r="T342" s="37">
        <v>0</v>
      </c>
      <c r="U342" s="37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37">
        <v>0</v>
      </c>
      <c r="AF342" s="37">
        <v>0</v>
      </c>
      <c r="AG342" s="59">
        <v>0</v>
      </c>
      <c r="AH342" s="37">
        <v>0</v>
      </c>
      <c r="AI342" s="37">
        <v>0</v>
      </c>
      <c r="AJ342" s="37">
        <v>3125</v>
      </c>
      <c r="AK342" s="37">
        <v>0</v>
      </c>
      <c r="AL342" s="37">
        <v>0</v>
      </c>
      <c r="AM342" s="37">
        <v>0</v>
      </c>
      <c r="AN342" s="37">
        <v>0</v>
      </c>
      <c r="AO342" s="37">
        <v>0</v>
      </c>
      <c r="AP342" s="37">
        <v>0</v>
      </c>
      <c r="AQ342" s="37">
        <v>0</v>
      </c>
      <c r="AR342" s="37">
        <v>0</v>
      </c>
      <c r="AS342" s="59">
        <v>3125</v>
      </c>
      <c r="AT342" s="59">
        <v>3125</v>
      </c>
      <c r="AU342" s="45"/>
      <c r="AV342" s="37">
        <v>0</v>
      </c>
      <c r="AW342" s="37">
        <v>0</v>
      </c>
      <c r="AX342" s="37">
        <v>0</v>
      </c>
      <c r="AY342" s="37">
        <v>0</v>
      </c>
      <c r="AZ342" s="37">
        <v>0</v>
      </c>
      <c r="BA342" s="37">
        <v>0</v>
      </c>
      <c r="BB342" s="37">
        <v>0</v>
      </c>
      <c r="BC342" s="37">
        <v>0</v>
      </c>
      <c r="BD342" s="37">
        <v>0</v>
      </c>
      <c r="BE342" s="37">
        <v>0</v>
      </c>
      <c r="BF342" s="37">
        <v>0</v>
      </c>
      <c r="BG342" s="37">
        <v>0</v>
      </c>
      <c r="BH342" s="37">
        <v>0</v>
      </c>
      <c r="BI342" s="37">
        <v>0</v>
      </c>
      <c r="BJ342" s="37">
        <v>0</v>
      </c>
      <c r="BK342" s="59">
        <v>0</v>
      </c>
      <c r="BL342" s="37">
        <v>0</v>
      </c>
      <c r="BM342" s="37">
        <v>0</v>
      </c>
      <c r="BN342" s="37">
        <v>0</v>
      </c>
      <c r="BO342" s="37">
        <v>0</v>
      </c>
      <c r="BP342" s="37">
        <v>0</v>
      </c>
      <c r="BQ342" s="37">
        <v>0</v>
      </c>
      <c r="BR342" s="37">
        <v>0</v>
      </c>
      <c r="BS342" s="37">
        <v>0</v>
      </c>
      <c r="BT342" s="37">
        <v>0</v>
      </c>
      <c r="BU342" s="37">
        <v>0</v>
      </c>
      <c r="BV342" s="37">
        <v>0</v>
      </c>
      <c r="BW342" s="59">
        <v>0</v>
      </c>
      <c r="BX342" s="59">
        <v>0</v>
      </c>
      <c r="BZ342" s="37">
        <v>0</v>
      </c>
      <c r="CA342" s="37">
        <v>0</v>
      </c>
      <c r="CB342" s="37">
        <v>0</v>
      </c>
      <c r="CC342" s="37">
        <v>0</v>
      </c>
      <c r="CD342" s="37">
        <v>0</v>
      </c>
      <c r="CE342" s="37">
        <v>0</v>
      </c>
      <c r="CF342" s="37">
        <v>0</v>
      </c>
      <c r="CG342" s="59">
        <v>0</v>
      </c>
      <c r="CH342" s="37">
        <v>0</v>
      </c>
      <c r="CI342" s="37">
        <v>3125</v>
      </c>
      <c r="CJ342" s="37">
        <v>0</v>
      </c>
      <c r="CK342" s="37">
        <v>0</v>
      </c>
      <c r="CL342" s="37">
        <v>0</v>
      </c>
      <c r="CM342" s="37">
        <v>0</v>
      </c>
      <c r="CN342" s="59">
        <v>3125</v>
      </c>
      <c r="CO342" s="59">
        <v>3125</v>
      </c>
      <c r="CP342" s="58"/>
      <c r="CQ342" s="3">
        <v>3125</v>
      </c>
    </row>
    <row r="343" spans="1:95" customFormat="1" x14ac:dyDescent="0.2">
      <c r="A343" s="209">
        <v>43320</v>
      </c>
      <c r="B343" s="33" t="s">
        <v>53</v>
      </c>
      <c r="C343" s="33" t="s">
        <v>140</v>
      </c>
      <c r="D343" s="43">
        <v>1</v>
      </c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0</v>
      </c>
      <c r="L343" s="43">
        <v>0</v>
      </c>
      <c r="M343" s="43">
        <v>0</v>
      </c>
      <c r="N343" s="43">
        <v>0</v>
      </c>
      <c r="O343" s="43">
        <v>0</v>
      </c>
      <c r="P343" s="47" t="s">
        <v>45</v>
      </c>
      <c r="R343" s="37">
        <v>0</v>
      </c>
      <c r="S343" s="37">
        <v>0</v>
      </c>
      <c r="T343" s="37">
        <v>400000</v>
      </c>
      <c r="U343" s="37">
        <v>0</v>
      </c>
      <c r="V343" s="37">
        <v>200000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7">
        <v>0</v>
      </c>
      <c r="AG343" s="59">
        <v>600000</v>
      </c>
      <c r="AH343" s="37">
        <v>0</v>
      </c>
      <c r="AI343" s="37">
        <v>720</v>
      </c>
      <c r="AJ343" s="37">
        <v>0</v>
      </c>
      <c r="AK343" s="37">
        <v>0</v>
      </c>
      <c r="AL343" s="37">
        <v>0</v>
      </c>
      <c r="AM343" s="37">
        <v>0</v>
      </c>
      <c r="AN343" s="37">
        <v>400</v>
      </c>
      <c r="AO343" s="37">
        <v>0</v>
      </c>
      <c r="AP343" s="37">
        <v>200</v>
      </c>
      <c r="AQ343" s="37">
        <v>0</v>
      </c>
      <c r="AR343" s="37">
        <v>0</v>
      </c>
      <c r="AS343" s="59">
        <v>1320</v>
      </c>
      <c r="AT343" s="59">
        <v>601320</v>
      </c>
      <c r="AU343" s="45"/>
      <c r="AV343" s="37">
        <v>0</v>
      </c>
      <c r="AW343" s="37">
        <v>0</v>
      </c>
      <c r="AX343" s="37">
        <v>0</v>
      </c>
      <c r="AY343" s="37">
        <v>0</v>
      </c>
      <c r="AZ343" s="37">
        <v>0</v>
      </c>
      <c r="BA343" s="37">
        <v>0</v>
      </c>
      <c r="BB343" s="37">
        <v>0</v>
      </c>
      <c r="BC343" s="37">
        <v>0</v>
      </c>
      <c r="BD343" s="37">
        <v>0</v>
      </c>
      <c r="BE343" s="37">
        <v>0</v>
      </c>
      <c r="BF343" s="37">
        <v>0</v>
      </c>
      <c r="BG343" s="37">
        <v>0</v>
      </c>
      <c r="BH343" s="37">
        <v>0</v>
      </c>
      <c r="BI343" s="37">
        <v>0</v>
      </c>
      <c r="BJ343" s="37">
        <v>0</v>
      </c>
      <c r="BK343" s="59">
        <v>0</v>
      </c>
      <c r="BL343" s="37">
        <v>0</v>
      </c>
      <c r="BM343" s="37">
        <v>0</v>
      </c>
      <c r="BN343" s="37">
        <v>0</v>
      </c>
      <c r="BO343" s="37">
        <v>0</v>
      </c>
      <c r="BP343" s="37">
        <v>0</v>
      </c>
      <c r="BQ343" s="37">
        <v>0</v>
      </c>
      <c r="BR343" s="37">
        <v>0</v>
      </c>
      <c r="BS343" s="37">
        <v>0</v>
      </c>
      <c r="BT343" s="37">
        <v>0</v>
      </c>
      <c r="BU343" s="37">
        <v>0</v>
      </c>
      <c r="BV343" s="37">
        <v>0</v>
      </c>
      <c r="BW343" s="59">
        <v>0</v>
      </c>
      <c r="BX343" s="59">
        <v>0</v>
      </c>
      <c r="BZ343" s="37">
        <v>400000</v>
      </c>
      <c r="CA343" s="37">
        <v>200000</v>
      </c>
      <c r="CB343" s="37">
        <v>0</v>
      </c>
      <c r="CC343" s="37">
        <v>0</v>
      </c>
      <c r="CD343" s="37">
        <v>0</v>
      </c>
      <c r="CE343" s="37">
        <v>0</v>
      </c>
      <c r="CF343" s="37">
        <v>0</v>
      </c>
      <c r="CG343" s="59">
        <v>600000</v>
      </c>
      <c r="CH343" s="37">
        <v>720</v>
      </c>
      <c r="CI343" s="37">
        <v>0</v>
      </c>
      <c r="CJ343" s="37">
        <v>400</v>
      </c>
      <c r="CK343" s="37">
        <v>200</v>
      </c>
      <c r="CL343" s="37">
        <v>0</v>
      </c>
      <c r="CM343" s="37">
        <v>0</v>
      </c>
      <c r="CN343" s="59">
        <v>1320</v>
      </c>
      <c r="CO343" s="59">
        <v>601320</v>
      </c>
      <c r="CP343" s="58"/>
      <c r="CQ343" s="3">
        <v>601320</v>
      </c>
    </row>
    <row r="344" spans="1:95" customFormat="1" x14ac:dyDescent="0.2">
      <c r="A344" s="209">
        <v>43321</v>
      </c>
      <c r="B344" s="33" t="s">
        <v>55</v>
      </c>
      <c r="C344" s="33" t="s">
        <v>56</v>
      </c>
      <c r="D344" s="43">
        <v>0</v>
      </c>
      <c r="E344" s="43">
        <v>0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0</v>
      </c>
      <c r="M344" s="43">
        <v>0</v>
      </c>
      <c r="N344" s="43">
        <v>0</v>
      </c>
      <c r="O344" s="43">
        <v>0</v>
      </c>
      <c r="P344" s="47">
        <v>0</v>
      </c>
      <c r="R344" s="37">
        <v>0</v>
      </c>
      <c r="S344" s="37">
        <v>0</v>
      </c>
      <c r="T344" s="37">
        <v>0</v>
      </c>
      <c r="U344" s="37">
        <v>0</v>
      </c>
      <c r="V344" s="37">
        <v>2000</v>
      </c>
      <c r="W344" s="37">
        <v>0</v>
      </c>
      <c r="X344" s="37">
        <v>0</v>
      </c>
      <c r="Y344" s="37">
        <v>0</v>
      </c>
      <c r="Z344" s="37">
        <v>400</v>
      </c>
      <c r="AA344" s="37">
        <v>0</v>
      </c>
      <c r="AB344" s="37">
        <v>200</v>
      </c>
      <c r="AC344" s="37">
        <v>0</v>
      </c>
      <c r="AD344" s="37">
        <v>80</v>
      </c>
      <c r="AE344" s="37">
        <v>0</v>
      </c>
      <c r="AF344" s="37">
        <v>0</v>
      </c>
      <c r="AG344" s="59">
        <v>2680</v>
      </c>
      <c r="AH344" s="37">
        <v>0</v>
      </c>
      <c r="AI344" s="37">
        <v>0</v>
      </c>
      <c r="AJ344" s="37">
        <v>0</v>
      </c>
      <c r="AK344" s="37">
        <v>0</v>
      </c>
      <c r="AL344" s="37">
        <v>0</v>
      </c>
      <c r="AM344" s="37">
        <v>0</v>
      </c>
      <c r="AN344" s="37">
        <v>0</v>
      </c>
      <c r="AO344" s="37">
        <v>0</v>
      </c>
      <c r="AP344" s="37">
        <v>0</v>
      </c>
      <c r="AQ344" s="37">
        <v>0</v>
      </c>
      <c r="AR344" s="37">
        <v>0</v>
      </c>
      <c r="AS344" s="59">
        <v>0</v>
      </c>
      <c r="AT344" s="59">
        <v>2680</v>
      </c>
      <c r="AU344" s="45"/>
      <c r="AV344" s="37">
        <v>0</v>
      </c>
      <c r="AW344" s="37">
        <v>0</v>
      </c>
      <c r="AX344" s="37">
        <v>0</v>
      </c>
      <c r="AY344" s="37">
        <v>0</v>
      </c>
      <c r="AZ344" s="37">
        <v>0</v>
      </c>
      <c r="BA344" s="37">
        <v>0</v>
      </c>
      <c r="BB344" s="37">
        <v>0</v>
      </c>
      <c r="BC344" s="37">
        <v>0</v>
      </c>
      <c r="BD344" s="37">
        <v>0</v>
      </c>
      <c r="BE344" s="37">
        <v>0</v>
      </c>
      <c r="BF344" s="37">
        <v>0</v>
      </c>
      <c r="BG344" s="37">
        <v>0</v>
      </c>
      <c r="BH344" s="37">
        <v>0</v>
      </c>
      <c r="BI344" s="37">
        <v>0</v>
      </c>
      <c r="BJ344" s="37">
        <v>0</v>
      </c>
      <c r="BK344" s="59">
        <v>0</v>
      </c>
      <c r="BL344" s="37">
        <v>0</v>
      </c>
      <c r="BM344" s="37">
        <v>0</v>
      </c>
      <c r="BN344" s="37">
        <v>0</v>
      </c>
      <c r="BO344" s="37">
        <v>0</v>
      </c>
      <c r="BP344" s="37">
        <v>0</v>
      </c>
      <c r="BQ344" s="37">
        <v>0</v>
      </c>
      <c r="BR344" s="37">
        <v>0</v>
      </c>
      <c r="BS344" s="37">
        <v>0</v>
      </c>
      <c r="BT344" s="37">
        <v>0</v>
      </c>
      <c r="BU344" s="37">
        <v>0</v>
      </c>
      <c r="BV344" s="37">
        <v>0</v>
      </c>
      <c r="BW344" s="59">
        <v>0</v>
      </c>
      <c r="BX344" s="59">
        <v>0</v>
      </c>
      <c r="BZ344" s="37">
        <v>0</v>
      </c>
      <c r="CA344" s="37">
        <v>2000</v>
      </c>
      <c r="CB344" s="37">
        <v>0</v>
      </c>
      <c r="CC344" s="37">
        <v>400</v>
      </c>
      <c r="CD344" s="37">
        <v>200</v>
      </c>
      <c r="CE344" s="37">
        <v>80</v>
      </c>
      <c r="CF344" s="37">
        <v>0</v>
      </c>
      <c r="CG344" s="59">
        <v>2680</v>
      </c>
      <c r="CH344" s="37">
        <v>0</v>
      </c>
      <c r="CI344" s="37">
        <v>0</v>
      </c>
      <c r="CJ344" s="37">
        <v>0</v>
      </c>
      <c r="CK344" s="37">
        <v>0</v>
      </c>
      <c r="CL344" s="37">
        <v>0</v>
      </c>
      <c r="CM344" s="37">
        <v>0</v>
      </c>
      <c r="CN344" s="59">
        <v>0</v>
      </c>
      <c r="CO344" s="59">
        <v>2680</v>
      </c>
      <c r="CP344" s="58"/>
      <c r="CQ344" s="3">
        <v>2680</v>
      </c>
    </row>
    <row r="345" spans="1:95" customFormat="1" x14ac:dyDescent="0.2">
      <c r="A345" s="209">
        <v>43321</v>
      </c>
      <c r="B345" s="33" t="s">
        <v>70</v>
      </c>
      <c r="C345" s="33" t="s">
        <v>118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1</v>
      </c>
      <c r="J345" s="43">
        <v>0</v>
      </c>
      <c r="K345" s="43">
        <v>0</v>
      </c>
      <c r="L345" s="43">
        <v>0</v>
      </c>
      <c r="M345" s="43">
        <v>0</v>
      </c>
      <c r="N345" s="43">
        <v>0</v>
      </c>
      <c r="O345" s="43">
        <v>0</v>
      </c>
      <c r="P345" s="47" t="s">
        <v>45</v>
      </c>
      <c r="R345" s="37">
        <v>0</v>
      </c>
      <c r="S345" s="37">
        <v>0</v>
      </c>
      <c r="T345" s="37">
        <v>600000</v>
      </c>
      <c r="U345" s="37">
        <v>0</v>
      </c>
      <c r="V345" s="37">
        <v>800000</v>
      </c>
      <c r="W345" s="37">
        <v>0</v>
      </c>
      <c r="X345" s="37">
        <v>0</v>
      </c>
      <c r="Y345" s="37">
        <v>0</v>
      </c>
      <c r="Z345" s="37">
        <v>60000</v>
      </c>
      <c r="AA345" s="37">
        <v>0</v>
      </c>
      <c r="AB345" s="37">
        <v>25000</v>
      </c>
      <c r="AC345" s="37">
        <v>0</v>
      </c>
      <c r="AD345" s="37">
        <v>0</v>
      </c>
      <c r="AE345" s="37">
        <v>0</v>
      </c>
      <c r="AF345" s="37">
        <v>0</v>
      </c>
      <c r="AG345" s="59">
        <v>1485000</v>
      </c>
      <c r="AH345" s="37">
        <v>1500</v>
      </c>
      <c r="AI345" s="37">
        <v>0</v>
      </c>
      <c r="AJ345" s="37">
        <v>875</v>
      </c>
      <c r="AK345" s="37">
        <v>0</v>
      </c>
      <c r="AL345" s="37">
        <v>0</v>
      </c>
      <c r="AM345" s="37">
        <v>0</v>
      </c>
      <c r="AN345" s="37">
        <v>400</v>
      </c>
      <c r="AO345" s="37">
        <v>0</v>
      </c>
      <c r="AP345" s="37">
        <v>200</v>
      </c>
      <c r="AQ345" s="37">
        <v>0</v>
      </c>
      <c r="AR345" s="37">
        <v>0</v>
      </c>
      <c r="AS345" s="59">
        <v>2975</v>
      </c>
      <c r="AT345" s="59">
        <v>1487975</v>
      </c>
      <c r="AU345" s="45"/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>
        <v>0</v>
      </c>
      <c r="BB345" s="37">
        <v>0</v>
      </c>
      <c r="BC345" s="37">
        <v>0</v>
      </c>
      <c r="BD345" s="37">
        <v>0</v>
      </c>
      <c r="BE345" s="37">
        <v>0</v>
      </c>
      <c r="BF345" s="37">
        <v>0</v>
      </c>
      <c r="BG345" s="37">
        <v>0</v>
      </c>
      <c r="BH345" s="37">
        <v>0</v>
      </c>
      <c r="BI345" s="37">
        <v>0</v>
      </c>
      <c r="BJ345" s="37">
        <v>0</v>
      </c>
      <c r="BK345" s="59">
        <v>0</v>
      </c>
      <c r="BL345" s="37">
        <v>0</v>
      </c>
      <c r="BM345" s="37">
        <v>0</v>
      </c>
      <c r="BN345" s="37">
        <v>0</v>
      </c>
      <c r="BO345" s="37">
        <v>0</v>
      </c>
      <c r="BP345" s="37">
        <v>0</v>
      </c>
      <c r="BQ345" s="37">
        <v>0</v>
      </c>
      <c r="BR345" s="37">
        <v>0</v>
      </c>
      <c r="BS345" s="37">
        <v>0</v>
      </c>
      <c r="BT345" s="37">
        <v>0</v>
      </c>
      <c r="BU345" s="37">
        <v>0</v>
      </c>
      <c r="BV345" s="37">
        <v>0</v>
      </c>
      <c r="BW345" s="59">
        <v>0</v>
      </c>
      <c r="BX345" s="59">
        <v>0</v>
      </c>
      <c r="BZ345" s="37">
        <v>600000</v>
      </c>
      <c r="CA345" s="37">
        <v>800000</v>
      </c>
      <c r="CB345" s="37">
        <v>0</v>
      </c>
      <c r="CC345" s="37">
        <v>60000</v>
      </c>
      <c r="CD345" s="37">
        <v>25000</v>
      </c>
      <c r="CE345" s="37">
        <v>0</v>
      </c>
      <c r="CF345" s="37">
        <v>0</v>
      </c>
      <c r="CG345" s="59">
        <v>1485000</v>
      </c>
      <c r="CH345" s="37">
        <v>1500</v>
      </c>
      <c r="CI345" s="37">
        <v>875</v>
      </c>
      <c r="CJ345" s="37">
        <v>400</v>
      </c>
      <c r="CK345" s="37">
        <v>200</v>
      </c>
      <c r="CL345" s="37">
        <v>0</v>
      </c>
      <c r="CM345" s="37">
        <v>0</v>
      </c>
      <c r="CN345" s="59">
        <v>2975</v>
      </c>
      <c r="CO345" s="59">
        <v>1487975</v>
      </c>
      <c r="CP345" s="58"/>
      <c r="CQ345" s="3">
        <v>1487975</v>
      </c>
    </row>
    <row r="346" spans="1:95" customFormat="1" x14ac:dyDescent="0.2">
      <c r="A346" s="209">
        <v>43321</v>
      </c>
      <c r="B346" s="33" t="s">
        <v>62</v>
      </c>
      <c r="C346" s="33" t="s">
        <v>118</v>
      </c>
      <c r="D346" s="43">
        <v>0</v>
      </c>
      <c r="E346" s="43">
        <v>0</v>
      </c>
      <c r="F346" s="43">
        <v>0</v>
      </c>
      <c r="G346" s="43">
        <v>0</v>
      </c>
      <c r="H346" s="43">
        <v>0</v>
      </c>
      <c r="I346" s="43">
        <v>1</v>
      </c>
      <c r="J346" s="43">
        <v>0</v>
      </c>
      <c r="K346" s="43">
        <v>0</v>
      </c>
      <c r="L346" s="43"/>
      <c r="M346" s="43"/>
      <c r="N346" s="43">
        <v>0</v>
      </c>
      <c r="O346" s="43">
        <v>0</v>
      </c>
      <c r="P346" s="47" t="s">
        <v>45</v>
      </c>
      <c r="R346" s="37">
        <v>0</v>
      </c>
      <c r="S346" s="37">
        <v>0</v>
      </c>
      <c r="T346" s="37">
        <v>0</v>
      </c>
      <c r="U346" s="37">
        <v>0</v>
      </c>
      <c r="V346" s="37">
        <v>1000000</v>
      </c>
      <c r="W346" s="37">
        <v>0</v>
      </c>
      <c r="X346" s="37">
        <v>0</v>
      </c>
      <c r="Y346" s="37">
        <v>0</v>
      </c>
      <c r="Z346" s="37">
        <v>80000</v>
      </c>
      <c r="AA346" s="37">
        <v>0</v>
      </c>
      <c r="AB346" s="37">
        <v>50000</v>
      </c>
      <c r="AC346" s="37">
        <v>0</v>
      </c>
      <c r="AD346" s="37">
        <v>8000</v>
      </c>
      <c r="AE346" s="37">
        <v>0</v>
      </c>
      <c r="AF346" s="37">
        <v>0</v>
      </c>
      <c r="AG346" s="59">
        <v>1138000</v>
      </c>
      <c r="AH346" s="37">
        <v>2000</v>
      </c>
      <c r="AI346" s="37">
        <v>0</v>
      </c>
      <c r="AJ346" s="37">
        <v>875</v>
      </c>
      <c r="AK346" s="37">
        <v>0</v>
      </c>
      <c r="AL346" s="37">
        <v>0</v>
      </c>
      <c r="AM346" s="37">
        <v>0</v>
      </c>
      <c r="AN346" s="37">
        <v>400</v>
      </c>
      <c r="AO346" s="37">
        <v>0</v>
      </c>
      <c r="AP346" s="37">
        <v>200</v>
      </c>
      <c r="AQ346" s="37">
        <v>0</v>
      </c>
      <c r="AR346" s="37">
        <v>0</v>
      </c>
      <c r="AS346" s="59">
        <v>3475</v>
      </c>
      <c r="AT346" s="59">
        <v>1141475</v>
      </c>
      <c r="AU346" s="45"/>
      <c r="AV346" s="37">
        <v>0</v>
      </c>
      <c r="AW346" s="37">
        <v>0</v>
      </c>
      <c r="AX346" s="37">
        <v>0</v>
      </c>
      <c r="AY346" s="37">
        <v>0</v>
      </c>
      <c r="AZ346" s="37">
        <v>0</v>
      </c>
      <c r="BA346" s="37">
        <v>0</v>
      </c>
      <c r="BB346" s="37">
        <v>0</v>
      </c>
      <c r="BC346" s="37">
        <v>0</v>
      </c>
      <c r="BD346" s="37">
        <v>0</v>
      </c>
      <c r="BE346" s="37">
        <v>0</v>
      </c>
      <c r="BF346" s="37">
        <v>0</v>
      </c>
      <c r="BG346" s="37">
        <v>0</v>
      </c>
      <c r="BH346" s="37">
        <v>0</v>
      </c>
      <c r="BI346" s="37">
        <v>0</v>
      </c>
      <c r="BJ346" s="37">
        <v>0</v>
      </c>
      <c r="BK346" s="59">
        <v>0</v>
      </c>
      <c r="BL346" s="37">
        <v>0</v>
      </c>
      <c r="BM346" s="37">
        <v>0</v>
      </c>
      <c r="BN346" s="37">
        <v>0</v>
      </c>
      <c r="BO346" s="37">
        <v>0</v>
      </c>
      <c r="BP346" s="37">
        <v>0</v>
      </c>
      <c r="BQ346" s="37">
        <v>0</v>
      </c>
      <c r="BR346" s="37">
        <v>0</v>
      </c>
      <c r="BS346" s="37">
        <v>0</v>
      </c>
      <c r="BT346" s="37">
        <v>0</v>
      </c>
      <c r="BU346" s="37">
        <v>0</v>
      </c>
      <c r="BV346" s="37">
        <v>0</v>
      </c>
      <c r="BW346" s="59">
        <v>0</v>
      </c>
      <c r="BX346" s="59">
        <v>0</v>
      </c>
      <c r="BZ346" s="37">
        <v>0</v>
      </c>
      <c r="CA346" s="37">
        <v>1000000</v>
      </c>
      <c r="CB346" s="37">
        <v>0</v>
      </c>
      <c r="CC346" s="37">
        <v>80000</v>
      </c>
      <c r="CD346" s="37">
        <v>50000</v>
      </c>
      <c r="CE346" s="37">
        <v>8000</v>
      </c>
      <c r="CF346" s="37">
        <v>0</v>
      </c>
      <c r="CG346" s="59">
        <v>1138000</v>
      </c>
      <c r="CH346" s="37">
        <v>2000</v>
      </c>
      <c r="CI346" s="37">
        <v>875</v>
      </c>
      <c r="CJ346" s="37">
        <v>400</v>
      </c>
      <c r="CK346" s="37">
        <v>200</v>
      </c>
      <c r="CL346" s="37">
        <v>0</v>
      </c>
      <c r="CM346" s="37">
        <v>0</v>
      </c>
      <c r="CN346" s="59">
        <v>3475</v>
      </c>
      <c r="CO346" s="59">
        <v>1141475</v>
      </c>
      <c r="CP346" s="58"/>
      <c r="CQ346" s="3">
        <v>1141475</v>
      </c>
    </row>
    <row r="347" spans="1:95" customFormat="1" x14ac:dyDescent="0.2">
      <c r="A347" s="209">
        <v>43321</v>
      </c>
      <c r="B347" s="33" t="s">
        <v>62</v>
      </c>
      <c r="C347" s="33" t="s">
        <v>143</v>
      </c>
      <c r="D347" s="43">
        <v>0</v>
      </c>
      <c r="E347" s="43">
        <v>0</v>
      </c>
      <c r="F347" s="43">
        <v>0</v>
      </c>
      <c r="G347" s="43">
        <v>0</v>
      </c>
      <c r="H347" s="43">
        <v>0</v>
      </c>
      <c r="I347" s="43">
        <v>1</v>
      </c>
      <c r="J347" s="43">
        <v>0</v>
      </c>
      <c r="K347" s="43">
        <v>0</v>
      </c>
      <c r="L347" s="43">
        <v>0</v>
      </c>
      <c r="M347" s="43">
        <v>0</v>
      </c>
      <c r="N347" s="43">
        <v>0</v>
      </c>
      <c r="O347" s="43">
        <v>0</v>
      </c>
      <c r="P347" s="47" t="s">
        <v>45</v>
      </c>
      <c r="R347" s="37">
        <v>0</v>
      </c>
      <c r="S347" s="37">
        <v>0</v>
      </c>
      <c r="T347" s="37">
        <v>0</v>
      </c>
      <c r="U347" s="37">
        <v>50000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v>0</v>
      </c>
      <c r="AD347" s="37">
        <v>0</v>
      </c>
      <c r="AE347" s="37">
        <v>0</v>
      </c>
      <c r="AF347" s="37">
        <v>0</v>
      </c>
      <c r="AG347" s="59">
        <v>50000</v>
      </c>
      <c r="AH347" s="37">
        <v>0</v>
      </c>
      <c r="AI347" s="37">
        <v>0</v>
      </c>
      <c r="AJ347" s="37">
        <v>0</v>
      </c>
      <c r="AK347" s="37">
        <v>0</v>
      </c>
      <c r="AL347" s="37">
        <v>0</v>
      </c>
      <c r="AM347" s="37">
        <v>0</v>
      </c>
      <c r="AN347" s="37">
        <v>0</v>
      </c>
      <c r="AO347" s="37">
        <v>0</v>
      </c>
      <c r="AP347" s="37">
        <v>0</v>
      </c>
      <c r="AQ347" s="37">
        <v>0</v>
      </c>
      <c r="AR347" s="37">
        <v>0</v>
      </c>
      <c r="AS347" s="59">
        <v>0</v>
      </c>
      <c r="AT347" s="59">
        <v>50000</v>
      </c>
      <c r="AU347" s="45"/>
      <c r="AV347" s="37">
        <v>0</v>
      </c>
      <c r="AW347" s="37">
        <v>0</v>
      </c>
      <c r="AX347" s="37">
        <v>0</v>
      </c>
      <c r="AY347" s="37">
        <v>0</v>
      </c>
      <c r="AZ347" s="37">
        <v>0</v>
      </c>
      <c r="BA347" s="37">
        <v>0</v>
      </c>
      <c r="BB347" s="37">
        <v>0</v>
      </c>
      <c r="BC347" s="37">
        <v>0</v>
      </c>
      <c r="BD347" s="37">
        <v>0</v>
      </c>
      <c r="BE347" s="37">
        <v>0</v>
      </c>
      <c r="BF347" s="37">
        <v>0</v>
      </c>
      <c r="BG347" s="37">
        <v>0</v>
      </c>
      <c r="BH347" s="37">
        <v>0</v>
      </c>
      <c r="BI347" s="37">
        <v>0</v>
      </c>
      <c r="BJ347" s="37">
        <v>0</v>
      </c>
      <c r="BK347" s="59">
        <v>0</v>
      </c>
      <c r="BL347" s="37">
        <v>0</v>
      </c>
      <c r="BM347" s="37">
        <v>0</v>
      </c>
      <c r="BN347" s="37">
        <v>0</v>
      </c>
      <c r="BO347" s="37">
        <v>0</v>
      </c>
      <c r="BP347" s="37">
        <v>0</v>
      </c>
      <c r="BQ347" s="37">
        <v>0</v>
      </c>
      <c r="BR347" s="37">
        <v>0</v>
      </c>
      <c r="BS347" s="37">
        <v>0</v>
      </c>
      <c r="BT347" s="37">
        <v>0</v>
      </c>
      <c r="BU347" s="37">
        <v>0</v>
      </c>
      <c r="BV347" s="37">
        <v>0</v>
      </c>
      <c r="BW347" s="59">
        <v>0</v>
      </c>
      <c r="BX347" s="59">
        <v>0</v>
      </c>
      <c r="BZ347" s="37">
        <v>0</v>
      </c>
      <c r="CA347" s="37">
        <v>50000</v>
      </c>
      <c r="CB347" s="37">
        <v>0</v>
      </c>
      <c r="CC347" s="37">
        <v>0</v>
      </c>
      <c r="CD347" s="37">
        <v>0</v>
      </c>
      <c r="CE347" s="37">
        <v>0</v>
      </c>
      <c r="CF347" s="37">
        <v>0</v>
      </c>
      <c r="CG347" s="59">
        <v>50000</v>
      </c>
      <c r="CH347" s="37">
        <v>0</v>
      </c>
      <c r="CI347" s="37">
        <v>0</v>
      </c>
      <c r="CJ347" s="37">
        <v>0</v>
      </c>
      <c r="CK347" s="37">
        <v>0</v>
      </c>
      <c r="CL347" s="37">
        <v>0</v>
      </c>
      <c r="CM347" s="37">
        <v>0</v>
      </c>
      <c r="CN347" s="59">
        <v>0</v>
      </c>
      <c r="CO347" s="59">
        <v>50000</v>
      </c>
      <c r="CP347" s="58"/>
      <c r="CQ347" s="3">
        <v>50000</v>
      </c>
    </row>
    <row r="348" spans="1:95" customFormat="1" x14ac:dyDescent="0.2">
      <c r="A348" s="209">
        <v>43322</v>
      </c>
      <c r="B348" s="33" t="s">
        <v>55</v>
      </c>
      <c r="C348" s="33" t="s">
        <v>56</v>
      </c>
      <c r="D348" s="43">
        <v>0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0</v>
      </c>
      <c r="M348" s="43">
        <v>0</v>
      </c>
      <c r="N348" s="43">
        <v>0</v>
      </c>
      <c r="O348" s="43">
        <v>0</v>
      </c>
      <c r="P348" s="47">
        <v>0</v>
      </c>
      <c r="R348" s="37">
        <v>0</v>
      </c>
      <c r="S348" s="37">
        <v>0</v>
      </c>
      <c r="T348" s="37">
        <v>4000</v>
      </c>
      <c r="U348" s="37">
        <v>0</v>
      </c>
      <c r="V348" s="37">
        <v>2000</v>
      </c>
      <c r="W348" s="37">
        <v>0</v>
      </c>
      <c r="X348" s="37">
        <v>0</v>
      </c>
      <c r="Y348" s="37">
        <v>0</v>
      </c>
      <c r="Z348" s="37">
        <v>400</v>
      </c>
      <c r="AA348" s="37">
        <v>0</v>
      </c>
      <c r="AB348" s="37">
        <v>200</v>
      </c>
      <c r="AC348" s="37">
        <v>0</v>
      </c>
      <c r="AD348" s="37">
        <v>80</v>
      </c>
      <c r="AE348" s="37">
        <v>0</v>
      </c>
      <c r="AF348" s="37">
        <v>0</v>
      </c>
      <c r="AG348" s="59">
        <v>6680</v>
      </c>
      <c r="AH348" s="37">
        <v>0</v>
      </c>
      <c r="AI348" s="37">
        <v>0</v>
      </c>
      <c r="AJ348" s="37">
        <v>0</v>
      </c>
      <c r="AK348" s="37">
        <v>0</v>
      </c>
      <c r="AL348" s="37">
        <v>5</v>
      </c>
      <c r="AM348" s="37">
        <v>0</v>
      </c>
      <c r="AN348" s="37">
        <v>4</v>
      </c>
      <c r="AO348" s="37">
        <v>0</v>
      </c>
      <c r="AP348" s="37">
        <v>2</v>
      </c>
      <c r="AQ348" s="37">
        <v>0</v>
      </c>
      <c r="AR348" s="37">
        <v>0</v>
      </c>
      <c r="AS348" s="59">
        <v>11</v>
      </c>
      <c r="AT348" s="59">
        <v>6691</v>
      </c>
      <c r="AU348" s="45"/>
      <c r="AV348" s="37">
        <v>0</v>
      </c>
      <c r="AW348" s="37">
        <v>0</v>
      </c>
      <c r="AX348" s="37">
        <v>0</v>
      </c>
      <c r="AY348" s="37">
        <v>0</v>
      </c>
      <c r="AZ348" s="37">
        <v>0</v>
      </c>
      <c r="BA348" s="37">
        <v>0</v>
      </c>
      <c r="BB348" s="37">
        <v>0</v>
      </c>
      <c r="BC348" s="37">
        <v>0</v>
      </c>
      <c r="BD348" s="37">
        <v>0</v>
      </c>
      <c r="BE348" s="37">
        <v>0</v>
      </c>
      <c r="BF348" s="37">
        <v>0</v>
      </c>
      <c r="BG348" s="37">
        <v>0</v>
      </c>
      <c r="BH348" s="37">
        <v>0</v>
      </c>
      <c r="BI348" s="37">
        <v>0</v>
      </c>
      <c r="BJ348" s="37">
        <v>0</v>
      </c>
      <c r="BK348" s="59">
        <v>0</v>
      </c>
      <c r="BL348" s="37">
        <v>0</v>
      </c>
      <c r="BM348" s="37">
        <v>0</v>
      </c>
      <c r="BN348" s="37">
        <v>0</v>
      </c>
      <c r="BO348" s="37">
        <v>0</v>
      </c>
      <c r="BP348" s="37">
        <v>0</v>
      </c>
      <c r="BQ348" s="37">
        <v>0</v>
      </c>
      <c r="BR348" s="37">
        <v>0</v>
      </c>
      <c r="BS348" s="37">
        <v>0</v>
      </c>
      <c r="BT348" s="37">
        <v>0</v>
      </c>
      <c r="BU348" s="37">
        <v>0</v>
      </c>
      <c r="BV348" s="37">
        <v>0</v>
      </c>
      <c r="BW348" s="59">
        <v>0</v>
      </c>
      <c r="BX348" s="59">
        <v>0</v>
      </c>
      <c r="BZ348" s="37">
        <v>4000</v>
      </c>
      <c r="CA348" s="37">
        <v>2000</v>
      </c>
      <c r="CB348" s="37">
        <v>0</v>
      </c>
      <c r="CC348" s="37">
        <v>400</v>
      </c>
      <c r="CD348" s="37">
        <v>200</v>
      </c>
      <c r="CE348" s="37">
        <v>80</v>
      </c>
      <c r="CF348" s="37">
        <v>0</v>
      </c>
      <c r="CG348" s="59">
        <v>6680</v>
      </c>
      <c r="CH348" s="37">
        <v>0</v>
      </c>
      <c r="CI348" s="37">
        <v>5</v>
      </c>
      <c r="CJ348" s="37">
        <v>4</v>
      </c>
      <c r="CK348" s="37">
        <v>2</v>
      </c>
      <c r="CL348" s="37">
        <v>0</v>
      </c>
      <c r="CM348" s="37">
        <v>0</v>
      </c>
      <c r="CN348" s="59">
        <v>11</v>
      </c>
      <c r="CO348" s="59">
        <v>6691</v>
      </c>
      <c r="CP348" s="58"/>
      <c r="CQ348" s="3">
        <v>6691</v>
      </c>
    </row>
    <row r="349" spans="1:95" customFormat="1" x14ac:dyDescent="0.2">
      <c r="A349" s="209">
        <v>43322</v>
      </c>
      <c r="B349" s="33" t="s">
        <v>53</v>
      </c>
      <c r="C349" s="33" t="s">
        <v>84</v>
      </c>
      <c r="D349" s="43">
        <v>0</v>
      </c>
      <c r="E349" s="43">
        <v>1</v>
      </c>
      <c r="F349" s="43">
        <v>0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3">
        <v>0</v>
      </c>
      <c r="M349" s="43">
        <v>0</v>
      </c>
      <c r="N349" s="43">
        <v>0</v>
      </c>
      <c r="O349" s="43">
        <v>0</v>
      </c>
      <c r="P349" s="47" t="s">
        <v>45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</v>
      </c>
      <c r="AG349" s="59">
        <v>0</v>
      </c>
      <c r="AH349" s="37">
        <v>6250</v>
      </c>
      <c r="AI349" s="37">
        <v>0</v>
      </c>
      <c r="AJ349" s="37">
        <v>0</v>
      </c>
      <c r="AK349" s="37">
        <v>0</v>
      </c>
      <c r="AL349" s="37">
        <v>0</v>
      </c>
      <c r="AM349" s="37">
        <v>0</v>
      </c>
      <c r="AN349" s="37">
        <v>0</v>
      </c>
      <c r="AO349" s="37">
        <v>0</v>
      </c>
      <c r="AP349" s="37">
        <v>0</v>
      </c>
      <c r="AQ349" s="37">
        <v>0</v>
      </c>
      <c r="AR349" s="37">
        <v>0</v>
      </c>
      <c r="AS349" s="59">
        <v>6250</v>
      </c>
      <c r="AT349" s="59">
        <v>6250</v>
      </c>
      <c r="AU349" s="45"/>
      <c r="AV349" s="37">
        <v>0</v>
      </c>
      <c r="AW349" s="37">
        <v>0</v>
      </c>
      <c r="AX349" s="37">
        <v>0</v>
      </c>
      <c r="AY349" s="37">
        <v>0</v>
      </c>
      <c r="AZ349" s="37">
        <v>0</v>
      </c>
      <c r="BA349" s="37">
        <v>0</v>
      </c>
      <c r="BB349" s="37">
        <v>0</v>
      </c>
      <c r="BC349" s="37">
        <v>0</v>
      </c>
      <c r="BD349" s="37">
        <v>0</v>
      </c>
      <c r="BE349" s="37">
        <v>0</v>
      </c>
      <c r="BF349" s="37">
        <v>0</v>
      </c>
      <c r="BG349" s="37">
        <v>0</v>
      </c>
      <c r="BH349" s="37">
        <v>0</v>
      </c>
      <c r="BI349" s="37">
        <v>0</v>
      </c>
      <c r="BJ349" s="37">
        <v>0</v>
      </c>
      <c r="BK349" s="59">
        <v>0</v>
      </c>
      <c r="BL349" s="37">
        <v>0</v>
      </c>
      <c r="BM349" s="37">
        <v>0</v>
      </c>
      <c r="BN349" s="37">
        <v>0</v>
      </c>
      <c r="BO349" s="37">
        <v>0</v>
      </c>
      <c r="BP349" s="37">
        <v>0</v>
      </c>
      <c r="BQ349" s="37">
        <v>0</v>
      </c>
      <c r="BR349" s="37">
        <v>0</v>
      </c>
      <c r="BS349" s="37">
        <v>0</v>
      </c>
      <c r="BT349" s="37">
        <v>0</v>
      </c>
      <c r="BU349" s="37">
        <v>0</v>
      </c>
      <c r="BV349" s="37">
        <v>0</v>
      </c>
      <c r="BW349" s="59">
        <v>0</v>
      </c>
      <c r="BX349" s="59">
        <v>0</v>
      </c>
      <c r="BZ349" s="37">
        <v>0</v>
      </c>
      <c r="CA349" s="37">
        <v>0</v>
      </c>
      <c r="CB349" s="37">
        <v>0</v>
      </c>
      <c r="CC349" s="37">
        <v>0</v>
      </c>
      <c r="CD349" s="37">
        <v>0</v>
      </c>
      <c r="CE349" s="37">
        <v>0</v>
      </c>
      <c r="CF349" s="37">
        <v>0</v>
      </c>
      <c r="CG349" s="59">
        <v>0</v>
      </c>
      <c r="CH349" s="37">
        <v>6250</v>
      </c>
      <c r="CI349" s="37">
        <v>0</v>
      </c>
      <c r="CJ349" s="37">
        <v>0</v>
      </c>
      <c r="CK349" s="37">
        <v>0</v>
      </c>
      <c r="CL349" s="37">
        <v>0</v>
      </c>
      <c r="CM349" s="37">
        <v>0</v>
      </c>
      <c r="CN349" s="59">
        <v>6250</v>
      </c>
      <c r="CO349" s="59">
        <v>6250</v>
      </c>
      <c r="CP349" s="58"/>
      <c r="CQ349" s="3">
        <v>6250</v>
      </c>
    </row>
    <row r="350" spans="1:95" customFormat="1" x14ac:dyDescent="0.2">
      <c r="A350" s="209">
        <v>43322</v>
      </c>
      <c r="B350" s="33" t="s">
        <v>77</v>
      </c>
      <c r="C350" s="33" t="s">
        <v>109</v>
      </c>
      <c r="D350" s="43">
        <v>0</v>
      </c>
      <c r="E350" s="43">
        <v>0</v>
      </c>
      <c r="F350" s="43">
        <v>0</v>
      </c>
      <c r="G350" s="43">
        <v>0</v>
      </c>
      <c r="H350" s="43">
        <v>0</v>
      </c>
      <c r="I350" s="43">
        <v>0</v>
      </c>
      <c r="J350" s="43">
        <v>0</v>
      </c>
      <c r="K350" s="43">
        <v>1</v>
      </c>
      <c r="L350" s="43">
        <v>0</v>
      </c>
      <c r="M350" s="43">
        <v>0</v>
      </c>
      <c r="N350" s="43">
        <v>0</v>
      </c>
      <c r="O350" s="43">
        <v>0</v>
      </c>
      <c r="P350" s="47" t="s">
        <v>45</v>
      </c>
      <c r="R350" s="37">
        <v>0</v>
      </c>
      <c r="S350" s="37">
        <v>0</v>
      </c>
      <c r="T350" s="37">
        <v>400000</v>
      </c>
      <c r="U350" s="37">
        <v>0</v>
      </c>
      <c r="V350" s="37">
        <v>1100000</v>
      </c>
      <c r="W350" s="37">
        <v>0</v>
      </c>
      <c r="X350" s="37">
        <v>0</v>
      </c>
      <c r="Y350" s="37">
        <v>0</v>
      </c>
      <c r="Z350" s="37">
        <v>80000</v>
      </c>
      <c r="AA350" s="37">
        <v>0</v>
      </c>
      <c r="AB350" s="37">
        <v>20000</v>
      </c>
      <c r="AC350" s="37">
        <v>0</v>
      </c>
      <c r="AD350" s="37">
        <v>0</v>
      </c>
      <c r="AE350" s="37">
        <v>0</v>
      </c>
      <c r="AF350" s="37">
        <v>0</v>
      </c>
      <c r="AG350" s="59">
        <v>1600000</v>
      </c>
      <c r="AH350" s="37">
        <v>0</v>
      </c>
      <c r="AI350" s="37">
        <v>0</v>
      </c>
      <c r="AJ350" s="37">
        <v>0</v>
      </c>
      <c r="AK350" s="37">
        <v>0</v>
      </c>
      <c r="AL350" s="37">
        <v>1000</v>
      </c>
      <c r="AM350" s="37">
        <v>0</v>
      </c>
      <c r="AN350" s="37">
        <v>400</v>
      </c>
      <c r="AO350" s="37">
        <v>0</v>
      </c>
      <c r="AP350" s="37">
        <v>100</v>
      </c>
      <c r="AQ350" s="37">
        <v>0</v>
      </c>
      <c r="AR350" s="37">
        <v>0</v>
      </c>
      <c r="AS350" s="59">
        <v>1500</v>
      </c>
      <c r="AT350" s="59">
        <v>1601500</v>
      </c>
      <c r="AU350" s="45"/>
      <c r="AV350" s="37">
        <v>0</v>
      </c>
      <c r="AW350" s="37">
        <v>0</v>
      </c>
      <c r="AX350" s="37">
        <v>0</v>
      </c>
      <c r="AY350" s="37">
        <v>0</v>
      </c>
      <c r="AZ350" s="37">
        <v>0</v>
      </c>
      <c r="BA350" s="37">
        <v>0</v>
      </c>
      <c r="BB350" s="37">
        <v>0</v>
      </c>
      <c r="BC350" s="37">
        <v>0</v>
      </c>
      <c r="BD350" s="37">
        <v>0</v>
      </c>
      <c r="BE350" s="37">
        <v>0</v>
      </c>
      <c r="BF350" s="37">
        <v>0</v>
      </c>
      <c r="BG350" s="37">
        <v>0</v>
      </c>
      <c r="BH350" s="37">
        <v>0</v>
      </c>
      <c r="BI350" s="37">
        <v>0</v>
      </c>
      <c r="BJ350" s="37">
        <v>0</v>
      </c>
      <c r="BK350" s="59">
        <v>0</v>
      </c>
      <c r="BL350" s="37">
        <v>0</v>
      </c>
      <c r="BM350" s="37">
        <v>0</v>
      </c>
      <c r="BN350" s="37">
        <v>0</v>
      </c>
      <c r="BO350" s="37">
        <v>0</v>
      </c>
      <c r="BP350" s="37">
        <v>0</v>
      </c>
      <c r="BQ350" s="37">
        <v>0</v>
      </c>
      <c r="BR350" s="37">
        <v>0</v>
      </c>
      <c r="BS350" s="37">
        <v>0</v>
      </c>
      <c r="BT350" s="37">
        <v>0</v>
      </c>
      <c r="BU350" s="37">
        <v>0</v>
      </c>
      <c r="BV350" s="37">
        <v>0</v>
      </c>
      <c r="BW350" s="59">
        <v>0</v>
      </c>
      <c r="BX350" s="59">
        <v>0</v>
      </c>
      <c r="BZ350" s="37">
        <v>400000</v>
      </c>
      <c r="CA350" s="37">
        <v>1100000</v>
      </c>
      <c r="CB350" s="37">
        <v>0</v>
      </c>
      <c r="CC350" s="37">
        <v>80000</v>
      </c>
      <c r="CD350" s="37">
        <v>20000</v>
      </c>
      <c r="CE350" s="37">
        <v>0</v>
      </c>
      <c r="CF350" s="37">
        <v>0</v>
      </c>
      <c r="CG350" s="59">
        <v>1600000</v>
      </c>
      <c r="CH350" s="37">
        <v>0</v>
      </c>
      <c r="CI350" s="37">
        <v>1000</v>
      </c>
      <c r="CJ350" s="37">
        <v>400</v>
      </c>
      <c r="CK350" s="37">
        <v>100</v>
      </c>
      <c r="CL350" s="37">
        <v>0</v>
      </c>
      <c r="CM350" s="37">
        <v>0</v>
      </c>
      <c r="CN350" s="59">
        <v>1500</v>
      </c>
      <c r="CO350" s="59">
        <v>1601500</v>
      </c>
      <c r="CP350" s="58"/>
      <c r="CQ350" s="3">
        <v>1601500</v>
      </c>
    </row>
    <row r="351" spans="1:95" customFormat="1" x14ac:dyDescent="0.2">
      <c r="A351" s="209">
        <v>43322</v>
      </c>
      <c r="B351" s="33" t="s">
        <v>77</v>
      </c>
      <c r="C351" s="33" t="s">
        <v>141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1</v>
      </c>
      <c r="L351" s="43">
        <v>0</v>
      </c>
      <c r="M351" s="43">
        <v>0</v>
      </c>
      <c r="N351" s="43">
        <v>0</v>
      </c>
      <c r="O351" s="43">
        <v>0</v>
      </c>
      <c r="P351" s="47" t="s">
        <v>45</v>
      </c>
      <c r="R351" s="37">
        <v>0</v>
      </c>
      <c r="S351" s="37">
        <v>0</v>
      </c>
      <c r="T351" s="37">
        <v>0</v>
      </c>
      <c r="U351" s="37">
        <v>0</v>
      </c>
      <c r="V351" s="37">
        <v>150000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v>0</v>
      </c>
      <c r="AD351" s="37">
        <v>0</v>
      </c>
      <c r="AE351" s="37">
        <v>0</v>
      </c>
      <c r="AF351" s="37">
        <v>0</v>
      </c>
      <c r="AG351" s="59">
        <v>150000</v>
      </c>
      <c r="AH351" s="37">
        <v>0</v>
      </c>
      <c r="AI351" s="37">
        <v>0</v>
      </c>
      <c r="AJ351" s="37">
        <v>0</v>
      </c>
      <c r="AK351" s="37">
        <v>0</v>
      </c>
      <c r="AL351" s="37">
        <v>0</v>
      </c>
      <c r="AM351" s="37">
        <v>0</v>
      </c>
      <c r="AN351" s="37">
        <v>0</v>
      </c>
      <c r="AO351" s="37">
        <v>0</v>
      </c>
      <c r="AP351" s="37">
        <v>0</v>
      </c>
      <c r="AQ351" s="37">
        <v>0</v>
      </c>
      <c r="AR351" s="37">
        <v>0</v>
      </c>
      <c r="AS351" s="59">
        <v>0</v>
      </c>
      <c r="AT351" s="59">
        <v>150000</v>
      </c>
      <c r="AU351" s="45"/>
      <c r="AV351" s="37">
        <v>0</v>
      </c>
      <c r="AW351" s="37">
        <v>0</v>
      </c>
      <c r="AX351" s="37">
        <v>0</v>
      </c>
      <c r="AY351" s="37">
        <v>0</v>
      </c>
      <c r="AZ351" s="37">
        <v>0</v>
      </c>
      <c r="BA351" s="37">
        <v>0</v>
      </c>
      <c r="BB351" s="37">
        <v>0</v>
      </c>
      <c r="BC351" s="37">
        <v>0</v>
      </c>
      <c r="BD351" s="37">
        <v>0</v>
      </c>
      <c r="BE351" s="37">
        <v>0</v>
      </c>
      <c r="BF351" s="37">
        <v>0</v>
      </c>
      <c r="BG351" s="37">
        <v>0</v>
      </c>
      <c r="BH351" s="37">
        <v>0</v>
      </c>
      <c r="BI351" s="37">
        <v>0</v>
      </c>
      <c r="BJ351" s="37">
        <v>0</v>
      </c>
      <c r="BK351" s="59">
        <v>0</v>
      </c>
      <c r="BL351" s="37">
        <v>0</v>
      </c>
      <c r="BM351" s="37">
        <v>0</v>
      </c>
      <c r="BN351" s="37">
        <v>0</v>
      </c>
      <c r="BO351" s="37">
        <v>0</v>
      </c>
      <c r="BP351" s="37">
        <v>0</v>
      </c>
      <c r="BQ351" s="37">
        <v>0</v>
      </c>
      <c r="BR351" s="37">
        <v>0</v>
      </c>
      <c r="BS351" s="37">
        <v>0</v>
      </c>
      <c r="BT351" s="37">
        <v>0</v>
      </c>
      <c r="BU351" s="37">
        <v>0</v>
      </c>
      <c r="BV351" s="37">
        <v>0</v>
      </c>
      <c r="BW351" s="59">
        <v>0</v>
      </c>
      <c r="BX351" s="59">
        <v>0</v>
      </c>
      <c r="BZ351" s="37">
        <v>0</v>
      </c>
      <c r="CA351" s="37">
        <v>150000</v>
      </c>
      <c r="CB351" s="37">
        <v>0</v>
      </c>
      <c r="CC351" s="37">
        <v>0</v>
      </c>
      <c r="CD351" s="37">
        <v>0</v>
      </c>
      <c r="CE351" s="37">
        <v>0</v>
      </c>
      <c r="CF351" s="37">
        <v>0</v>
      </c>
      <c r="CG351" s="59">
        <v>150000</v>
      </c>
      <c r="CH351" s="37">
        <v>0</v>
      </c>
      <c r="CI351" s="37">
        <v>0</v>
      </c>
      <c r="CJ351" s="37">
        <v>0</v>
      </c>
      <c r="CK351" s="37">
        <v>0</v>
      </c>
      <c r="CL351" s="37">
        <v>0</v>
      </c>
      <c r="CM351" s="37">
        <v>0</v>
      </c>
      <c r="CN351" s="59">
        <v>0</v>
      </c>
      <c r="CO351" s="59">
        <v>150000</v>
      </c>
      <c r="CP351" s="58"/>
      <c r="CQ351" s="3">
        <v>150000</v>
      </c>
    </row>
    <row r="352" spans="1:95" customFormat="1" x14ac:dyDescent="0.2">
      <c r="A352" s="209">
        <v>43325</v>
      </c>
      <c r="B352" s="33" t="s">
        <v>55</v>
      </c>
      <c r="C352" s="33" t="s">
        <v>56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4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2000</v>
      </c>
      <c r="W352" s="37">
        <v>0</v>
      </c>
      <c r="X352" s="37">
        <v>800</v>
      </c>
      <c r="Y352" s="37">
        <v>0</v>
      </c>
      <c r="Z352" s="37">
        <v>400</v>
      </c>
      <c r="AA352" s="37">
        <v>0</v>
      </c>
      <c r="AB352" s="37">
        <v>200</v>
      </c>
      <c r="AC352" s="37">
        <v>0</v>
      </c>
      <c r="AD352" s="37">
        <v>80</v>
      </c>
      <c r="AE352" s="37">
        <v>0</v>
      </c>
      <c r="AF352" s="37">
        <v>0</v>
      </c>
      <c r="AG352" s="59">
        <v>3480</v>
      </c>
      <c r="AH352" s="37">
        <v>0</v>
      </c>
      <c r="AI352" s="37">
        <v>0</v>
      </c>
      <c r="AJ352" s="37">
        <v>0</v>
      </c>
      <c r="AK352" s="37">
        <v>0</v>
      </c>
      <c r="AL352" s="37">
        <v>0</v>
      </c>
      <c r="AM352" s="37">
        <v>0</v>
      </c>
      <c r="AN352" s="37">
        <v>0</v>
      </c>
      <c r="AO352" s="37">
        <v>0</v>
      </c>
      <c r="AP352" s="37">
        <v>0</v>
      </c>
      <c r="AQ352" s="37">
        <v>0</v>
      </c>
      <c r="AR352" s="37">
        <v>0</v>
      </c>
      <c r="AS352" s="59">
        <v>0</v>
      </c>
      <c r="AT352" s="59">
        <v>3480</v>
      </c>
      <c r="AU352" s="45"/>
      <c r="AV352" s="37">
        <v>0</v>
      </c>
      <c r="AW352" s="37">
        <v>0</v>
      </c>
      <c r="AX352" s="37">
        <v>0</v>
      </c>
      <c r="AY352" s="37">
        <v>0</v>
      </c>
      <c r="AZ352" s="37">
        <v>0</v>
      </c>
      <c r="BA352" s="37">
        <v>0</v>
      </c>
      <c r="BB352" s="37">
        <v>0</v>
      </c>
      <c r="BC352" s="37">
        <v>0</v>
      </c>
      <c r="BD352" s="37">
        <v>0</v>
      </c>
      <c r="BE352" s="37">
        <v>0</v>
      </c>
      <c r="BF352" s="37">
        <v>0</v>
      </c>
      <c r="BG352" s="37">
        <v>0</v>
      </c>
      <c r="BH352" s="37">
        <v>0</v>
      </c>
      <c r="BI352" s="37">
        <v>0</v>
      </c>
      <c r="BJ352" s="37">
        <v>0</v>
      </c>
      <c r="BK352" s="59">
        <v>0</v>
      </c>
      <c r="BL352" s="37">
        <v>0</v>
      </c>
      <c r="BM352" s="37">
        <v>0</v>
      </c>
      <c r="BN352" s="37">
        <v>0</v>
      </c>
      <c r="BO352" s="37">
        <v>0</v>
      </c>
      <c r="BP352" s="37">
        <v>0</v>
      </c>
      <c r="BQ352" s="37">
        <v>0</v>
      </c>
      <c r="BR352" s="37">
        <v>0</v>
      </c>
      <c r="BS352" s="37">
        <v>0</v>
      </c>
      <c r="BT352" s="37">
        <v>0</v>
      </c>
      <c r="BU352" s="37">
        <v>0</v>
      </c>
      <c r="BV352" s="37">
        <v>0</v>
      </c>
      <c r="BW352" s="59">
        <v>0</v>
      </c>
      <c r="BX352" s="59">
        <v>0</v>
      </c>
      <c r="BZ352" s="37">
        <v>0</v>
      </c>
      <c r="CA352" s="37">
        <v>2000</v>
      </c>
      <c r="CB352" s="37">
        <v>800</v>
      </c>
      <c r="CC352" s="37">
        <v>400</v>
      </c>
      <c r="CD352" s="37">
        <v>200</v>
      </c>
      <c r="CE352" s="37">
        <v>80</v>
      </c>
      <c r="CF352" s="37">
        <v>0</v>
      </c>
      <c r="CG352" s="59">
        <v>3480</v>
      </c>
      <c r="CH352" s="37">
        <v>0</v>
      </c>
      <c r="CI352" s="37">
        <v>0</v>
      </c>
      <c r="CJ352" s="37">
        <v>0</v>
      </c>
      <c r="CK352" s="37">
        <v>0</v>
      </c>
      <c r="CL352" s="37">
        <v>0</v>
      </c>
      <c r="CM352" s="37">
        <v>0</v>
      </c>
      <c r="CN352" s="59">
        <v>0</v>
      </c>
      <c r="CO352" s="59">
        <v>3480</v>
      </c>
      <c r="CP352" s="58"/>
      <c r="CQ352" s="3">
        <v>3480</v>
      </c>
    </row>
    <row r="353" spans="1:95" customFormat="1" x14ac:dyDescent="0.2">
      <c r="A353" s="209">
        <v>43325</v>
      </c>
      <c r="B353" s="33" t="s">
        <v>53</v>
      </c>
      <c r="C353" s="33" t="s">
        <v>57</v>
      </c>
      <c r="D353" s="43">
        <v>0</v>
      </c>
      <c r="E353" s="43">
        <v>0</v>
      </c>
      <c r="F353" s="43">
        <v>0</v>
      </c>
      <c r="G353" s="43">
        <v>0</v>
      </c>
      <c r="H353" s="43">
        <v>0</v>
      </c>
      <c r="I353" s="43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0</v>
      </c>
      <c r="O353" s="43">
        <v>0</v>
      </c>
      <c r="P353" s="47">
        <v>0</v>
      </c>
      <c r="R353" s="37">
        <v>0</v>
      </c>
      <c r="S353" s="37">
        <v>0</v>
      </c>
      <c r="T353" s="37">
        <v>24000</v>
      </c>
      <c r="U353" s="37">
        <v>0</v>
      </c>
      <c r="V353" s="37">
        <v>18000</v>
      </c>
      <c r="W353" s="37">
        <v>0</v>
      </c>
      <c r="X353" s="37">
        <v>0</v>
      </c>
      <c r="Y353" s="37">
        <v>0</v>
      </c>
      <c r="Z353" s="37">
        <v>3600</v>
      </c>
      <c r="AA353" s="37">
        <v>0</v>
      </c>
      <c r="AB353" s="37">
        <v>1800</v>
      </c>
      <c r="AC353" s="37">
        <v>0</v>
      </c>
      <c r="AD353" s="37">
        <v>640</v>
      </c>
      <c r="AE353" s="37">
        <v>0</v>
      </c>
      <c r="AF353" s="37">
        <v>0</v>
      </c>
      <c r="AG353" s="59">
        <v>48040</v>
      </c>
      <c r="AH353" s="37">
        <v>0</v>
      </c>
      <c r="AI353" s="37">
        <v>0</v>
      </c>
      <c r="AJ353" s="37">
        <v>0</v>
      </c>
      <c r="AK353" s="37">
        <v>0</v>
      </c>
      <c r="AL353" s="37">
        <v>20</v>
      </c>
      <c r="AM353" s="37">
        <v>0</v>
      </c>
      <c r="AN353" s="37">
        <v>16</v>
      </c>
      <c r="AO353" s="37">
        <v>0</v>
      </c>
      <c r="AP353" s="37">
        <v>8</v>
      </c>
      <c r="AQ353" s="37">
        <v>0</v>
      </c>
      <c r="AR353" s="37">
        <v>0</v>
      </c>
      <c r="AS353" s="59">
        <v>44</v>
      </c>
      <c r="AT353" s="59">
        <v>48084</v>
      </c>
      <c r="AU353" s="45"/>
      <c r="AV353" s="37">
        <v>0</v>
      </c>
      <c r="AW353" s="37">
        <v>0</v>
      </c>
      <c r="AX353" s="37">
        <v>0</v>
      </c>
      <c r="AY353" s="37">
        <v>0</v>
      </c>
      <c r="AZ353" s="37">
        <v>0</v>
      </c>
      <c r="BA353" s="37">
        <v>0</v>
      </c>
      <c r="BB353" s="37">
        <v>0</v>
      </c>
      <c r="BC353" s="37">
        <v>0</v>
      </c>
      <c r="BD353" s="37">
        <v>0</v>
      </c>
      <c r="BE353" s="37">
        <v>0</v>
      </c>
      <c r="BF353" s="37">
        <v>0</v>
      </c>
      <c r="BG353" s="37">
        <v>0</v>
      </c>
      <c r="BH353" s="37">
        <v>0</v>
      </c>
      <c r="BI353" s="37">
        <v>0</v>
      </c>
      <c r="BJ353" s="37">
        <v>0</v>
      </c>
      <c r="BK353" s="59">
        <v>0</v>
      </c>
      <c r="BL353" s="37">
        <v>0</v>
      </c>
      <c r="BM353" s="37">
        <v>0</v>
      </c>
      <c r="BN353" s="37">
        <v>0</v>
      </c>
      <c r="BO353" s="37">
        <v>0</v>
      </c>
      <c r="BP353" s="37">
        <v>0</v>
      </c>
      <c r="BQ353" s="37">
        <v>0</v>
      </c>
      <c r="BR353" s="37">
        <v>0</v>
      </c>
      <c r="BS353" s="37">
        <v>0</v>
      </c>
      <c r="BT353" s="37">
        <v>0</v>
      </c>
      <c r="BU353" s="37">
        <v>0</v>
      </c>
      <c r="BV353" s="37">
        <v>0</v>
      </c>
      <c r="BW353" s="59">
        <v>0</v>
      </c>
      <c r="BX353" s="59">
        <v>0</v>
      </c>
      <c r="BZ353" s="37">
        <v>24000</v>
      </c>
      <c r="CA353" s="37">
        <v>18000</v>
      </c>
      <c r="CB353" s="37">
        <v>0</v>
      </c>
      <c r="CC353" s="37">
        <v>3600</v>
      </c>
      <c r="CD353" s="37">
        <v>1800</v>
      </c>
      <c r="CE353" s="37">
        <v>640</v>
      </c>
      <c r="CF353" s="37">
        <v>0</v>
      </c>
      <c r="CG353" s="59">
        <v>48040</v>
      </c>
      <c r="CH353" s="37">
        <v>0</v>
      </c>
      <c r="CI353" s="37">
        <v>20</v>
      </c>
      <c r="CJ353" s="37">
        <v>16</v>
      </c>
      <c r="CK353" s="37">
        <v>8</v>
      </c>
      <c r="CL353" s="37">
        <v>0</v>
      </c>
      <c r="CM353" s="37">
        <v>0</v>
      </c>
      <c r="CN353" s="59">
        <v>44</v>
      </c>
      <c r="CO353" s="59">
        <v>48084</v>
      </c>
      <c r="CP353" s="58"/>
      <c r="CQ353" s="3">
        <v>48084</v>
      </c>
    </row>
    <row r="354" spans="1:95" customFormat="1" x14ac:dyDescent="0.2">
      <c r="A354" s="209">
        <v>43325</v>
      </c>
      <c r="B354" s="33" t="s">
        <v>53</v>
      </c>
      <c r="C354" s="33" t="s">
        <v>140</v>
      </c>
      <c r="D354" s="43">
        <v>1</v>
      </c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0</v>
      </c>
      <c r="O354" s="43">
        <v>0</v>
      </c>
      <c r="P354" s="47" t="s">
        <v>45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37">
        <v>0</v>
      </c>
      <c r="AF354" s="37">
        <v>0</v>
      </c>
      <c r="AG354" s="59">
        <v>0</v>
      </c>
      <c r="AH354" s="37">
        <v>0</v>
      </c>
      <c r="AI354" s="37">
        <v>0</v>
      </c>
      <c r="AJ354" s="37">
        <v>0</v>
      </c>
      <c r="AK354" s="37">
        <v>0</v>
      </c>
      <c r="AL354" s="37">
        <v>0</v>
      </c>
      <c r="AM354" s="37">
        <v>0</v>
      </c>
      <c r="AN354" s="37">
        <v>600</v>
      </c>
      <c r="AO354" s="37">
        <v>0</v>
      </c>
      <c r="AP354" s="37">
        <v>300</v>
      </c>
      <c r="AQ354" s="37">
        <v>0</v>
      </c>
      <c r="AR354" s="37">
        <v>0</v>
      </c>
      <c r="AS354" s="59">
        <v>900</v>
      </c>
      <c r="AT354" s="59">
        <v>900</v>
      </c>
      <c r="AU354" s="45"/>
      <c r="AV354" s="37">
        <v>0</v>
      </c>
      <c r="AW354" s="37">
        <v>0</v>
      </c>
      <c r="AX354" s="37">
        <v>0</v>
      </c>
      <c r="AY354" s="37">
        <v>0</v>
      </c>
      <c r="AZ354" s="37">
        <v>0</v>
      </c>
      <c r="BA354" s="37">
        <v>0</v>
      </c>
      <c r="BB354" s="37">
        <v>0</v>
      </c>
      <c r="BC354" s="37">
        <v>0</v>
      </c>
      <c r="BD354" s="37">
        <v>0</v>
      </c>
      <c r="BE354" s="37">
        <v>0</v>
      </c>
      <c r="BF354" s="37">
        <v>0</v>
      </c>
      <c r="BG354" s="37">
        <v>0</v>
      </c>
      <c r="BH354" s="37">
        <v>0</v>
      </c>
      <c r="BI354" s="37">
        <v>0</v>
      </c>
      <c r="BJ354" s="37">
        <v>0</v>
      </c>
      <c r="BK354" s="59">
        <v>0</v>
      </c>
      <c r="BL354" s="37">
        <v>0</v>
      </c>
      <c r="BM354" s="37">
        <v>0</v>
      </c>
      <c r="BN354" s="37">
        <v>0</v>
      </c>
      <c r="BO354" s="37">
        <v>0</v>
      </c>
      <c r="BP354" s="37">
        <v>0</v>
      </c>
      <c r="BQ354" s="37">
        <v>0</v>
      </c>
      <c r="BR354" s="37">
        <v>0</v>
      </c>
      <c r="BS354" s="37">
        <v>0</v>
      </c>
      <c r="BT354" s="37">
        <v>0</v>
      </c>
      <c r="BU354" s="37">
        <v>0</v>
      </c>
      <c r="BV354" s="37">
        <v>0</v>
      </c>
      <c r="BW354" s="59">
        <v>0</v>
      </c>
      <c r="BX354" s="59">
        <v>0</v>
      </c>
      <c r="BZ354" s="37">
        <v>0</v>
      </c>
      <c r="CA354" s="37">
        <v>0</v>
      </c>
      <c r="CB354" s="37">
        <v>0</v>
      </c>
      <c r="CC354" s="37">
        <v>0</v>
      </c>
      <c r="CD354" s="37">
        <v>0</v>
      </c>
      <c r="CE354" s="37">
        <v>0</v>
      </c>
      <c r="CF354" s="37">
        <v>0</v>
      </c>
      <c r="CG354" s="59">
        <v>0</v>
      </c>
      <c r="CH354" s="37">
        <v>0</v>
      </c>
      <c r="CI354" s="37">
        <v>0</v>
      </c>
      <c r="CJ354" s="37">
        <v>600</v>
      </c>
      <c r="CK354" s="37">
        <v>300</v>
      </c>
      <c r="CL354" s="37">
        <v>0</v>
      </c>
      <c r="CM354" s="37">
        <v>0</v>
      </c>
      <c r="CN354" s="59">
        <v>900</v>
      </c>
      <c r="CO354" s="59">
        <v>900</v>
      </c>
      <c r="CP354" s="58"/>
      <c r="CQ354" s="3">
        <v>900</v>
      </c>
    </row>
    <row r="355" spans="1:95" customFormat="1" x14ac:dyDescent="0.2">
      <c r="A355" s="209">
        <v>43326</v>
      </c>
      <c r="B355" s="33" t="s">
        <v>55</v>
      </c>
      <c r="C355" s="33" t="s">
        <v>56</v>
      </c>
      <c r="D355" s="43">
        <v>0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7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2000</v>
      </c>
      <c r="W355" s="37">
        <v>0</v>
      </c>
      <c r="X355" s="37">
        <v>800</v>
      </c>
      <c r="Y355" s="37">
        <v>0</v>
      </c>
      <c r="Z355" s="37">
        <v>400</v>
      </c>
      <c r="AA355" s="37">
        <v>0</v>
      </c>
      <c r="AB355" s="37">
        <v>200</v>
      </c>
      <c r="AC355" s="37">
        <v>0</v>
      </c>
      <c r="AD355" s="37">
        <v>80</v>
      </c>
      <c r="AE355" s="37">
        <v>0</v>
      </c>
      <c r="AF355" s="37">
        <v>0</v>
      </c>
      <c r="AG355" s="59">
        <v>3480</v>
      </c>
      <c r="AH355" s="37">
        <v>0</v>
      </c>
      <c r="AI355" s="37">
        <v>0</v>
      </c>
      <c r="AJ355" s="37">
        <v>0</v>
      </c>
      <c r="AK355" s="37">
        <v>0</v>
      </c>
      <c r="AL355" s="37">
        <v>5</v>
      </c>
      <c r="AM355" s="37">
        <v>0</v>
      </c>
      <c r="AN355" s="37">
        <v>4</v>
      </c>
      <c r="AO355" s="37">
        <v>0</v>
      </c>
      <c r="AP355" s="37">
        <v>2</v>
      </c>
      <c r="AQ355" s="37">
        <v>0</v>
      </c>
      <c r="AR355" s="37">
        <v>0</v>
      </c>
      <c r="AS355" s="59">
        <v>11</v>
      </c>
      <c r="AT355" s="59">
        <v>3491</v>
      </c>
      <c r="AU355" s="45"/>
      <c r="AV355" s="37">
        <v>0</v>
      </c>
      <c r="AW355" s="37">
        <v>0</v>
      </c>
      <c r="AX355" s="37">
        <v>0</v>
      </c>
      <c r="AY355" s="37">
        <v>0</v>
      </c>
      <c r="AZ355" s="37">
        <v>0</v>
      </c>
      <c r="BA355" s="37">
        <v>0</v>
      </c>
      <c r="BB355" s="37">
        <v>0</v>
      </c>
      <c r="BC355" s="37">
        <v>0</v>
      </c>
      <c r="BD355" s="37">
        <v>0</v>
      </c>
      <c r="BE355" s="37">
        <v>0</v>
      </c>
      <c r="BF355" s="37">
        <v>0</v>
      </c>
      <c r="BG355" s="37">
        <v>0</v>
      </c>
      <c r="BH355" s="37">
        <v>0</v>
      </c>
      <c r="BI355" s="37">
        <v>0</v>
      </c>
      <c r="BJ355" s="37">
        <v>0</v>
      </c>
      <c r="BK355" s="59">
        <v>0</v>
      </c>
      <c r="BL355" s="37">
        <v>0</v>
      </c>
      <c r="BM355" s="37">
        <v>0</v>
      </c>
      <c r="BN355" s="37">
        <v>0</v>
      </c>
      <c r="BO355" s="37">
        <v>0</v>
      </c>
      <c r="BP355" s="37">
        <v>0</v>
      </c>
      <c r="BQ355" s="37">
        <v>0</v>
      </c>
      <c r="BR355" s="37">
        <v>0</v>
      </c>
      <c r="BS355" s="37">
        <v>0</v>
      </c>
      <c r="BT355" s="37">
        <v>0</v>
      </c>
      <c r="BU355" s="37">
        <v>0</v>
      </c>
      <c r="BV355" s="37">
        <v>0</v>
      </c>
      <c r="BW355" s="59">
        <v>0</v>
      </c>
      <c r="BX355" s="59">
        <v>0</v>
      </c>
      <c r="BZ355" s="37">
        <v>0</v>
      </c>
      <c r="CA355" s="37">
        <v>2000</v>
      </c>
      <c r="CB355" s="37">
        <v>800</v>
      </c>
      <c r="CC355" s="37">
        <v>400</v>
      </c>
      <c r="CD355" s="37">
        <v>200</v>
      </c>
      <c r="CE355" s="37">
        <v>80</v>
      </c>
      <c r="CF355" s="37">
        <v>0</v>
      </c>
      <c r="CG355" s="59">
        <v>3480</v>
      </c>
      <c r="CH355" s="37">
        <v>0</v>
      </c>
      <c r="CI355" s="37">
        <v>5</v>
      </c>
      <c r="CJ355" s="37">
        <v>4</v>
      </c>
      <c r="CK355" s="37">
        <v>2</v>
      </c>
      <c r="CL355" s="37">
        <v>0</v>
      </c>
      <c r="CM355" s="37">
        <v>0</v>
      </c>
      <c r="CN355" s="59">
        <v>11</v>
      </c>
      <c r="CO355" s="59">
        <v>3491</v>
      </c>
      <c r="CP355" s="58"/>
      <c r="CQ355" s="3">
        <v>3491</v>
      </c>
    </row>
    <row r="356" spans="1:95" customFormat="1" x14ac:dyDescent="0.2">
      <c r="A356" s="209">
        <v>43326</v>
      </c>
      <c r="B356" s="33" t="s">
        <v>53</v>
      </c>
      <c r="C356" s="33" t="s">
        <v>57</v>
      </c>
      <c r="D356" s="43">
        <v>0</v>
      </c>
      <c r="E356" s="43">
        <v>0</v>
      </c>
      <c r="F356" s="43">
        <v>0</v>
      </c>
      <c r="G356" s="43">
        <v>0</v>
      </c>
      <c r="H356" s="43">
        <v>0</v>
      </c>
      <c r="I356" s="43">
        <v>0</v>
      </c>
      <c r="J356" s="43">
        <v>0</v>
      </c>
      <c r="K356" s="43">
        <v>0</v>
      </c>
      <c r="L356" s="43">
        <v>0</v>
      </c>
      <c r="M356" s="43">
        <v>0</v>
      </c>
      <c r="N356" s="43">
        <v>0</v>
      </c>
      <c r="O356" s="43">
        <v>0</v>
      </c>
      <c r="P356" s="47">
        <v>0</v>
      </c>
      <c r="R356" s="37">
        <v>0</v>
      </c>
      <c r="S356" s="37">
        <v>0</v>
      </c>
      <c r="T356" s="37">
        <v>8000</v>
      </c>
      <c r="U356" s="37">
        <v>0</v>
      </c>
      <c r="V356" s="37">
        <v>10000</v>
      </c>
      <c r="W356" s="37">
        <v>0</v>
      </c>
      <c r="X356" s="37">
        <v>0</v>
      </c>
      <c r="Y356" s="37">
        <v>0</v>
      </c>
      <c r="Z356" s="37">
        <v>2000</v>
      </c>
      <c r="AA356" s="37">
        <v>0</v>
      </c>
      <c r="AB356" s="37">
        <v>1000</v>
      </c>
      <c r="AC356" s="37">
        <v>0</v>
      </c>
      <c r="AD356" s="37">
        <v>400</v>
      </c>
      <c r="AE356" s="37">
        <v>0</v>
      </c>
      <c r="AF356" s="37">
        <v>0</v>
      </c>
      <c r="AG356" s="59">
        <v>21400</v>
      </c>
      <c r="AH356" s="37">
        <v>0</v>
      </c>
      <c r="AI356" s="37">
        <v>0</v>
      </c>
      <c r="AJ356" s="37">
        <v>0</v>
      </c>
      <c r="AK356" s="37">
        <v>0</v>
      </c>
      <c r="AL356" s="37">
        <v>10</v>
      </c>
      <c r="AM356" s="37">
        <v>0</v>
      </c>
      <c r="AN356" s="37">
        <v>8</v>
      </c>
      <c r="AO356" s="37">
        <v>0</v>
      </c>
      <c r="AP356" s="37">
        <v>4</v>
      </c>
      <c r="AQ356" s="37">
        <v>0</v>
      </c>
      <c r="AR356" s="37">
        <v>0</v>
      </c>
      <c r="AS356" s="59">
        <v>22</v>
      </c>
      <c r="AT356" s="59">
        <v>21422</v>
      </c>
      <c r="AU356" s="45"/>
      <c r="AV356" s="37">
        <v>0</v>
      </c>
      <c r="AW356" s="37">
        <v>0</v>
      </c>
      <c r="AX356" s="37">
        <v>0</v>
      </c>
      <c r="AY356" s="37">
        <v>0</v>
      </c>
      <c r="AZ356" s="37">
        <v>0</v>
      </c>
      <c r="BA356" s="37">
        <v>0</v>
      </c>
      <c r="BB356" s="37">
        <v>0</v>
      </c>
      <c r="BC356" s="37">
        <v>0</v>
      </c>
      <c r="BD356" s="37">
        <v>0</v>
      </c>
      <c r="BE356" s="37">
        <v>0</v>
      </c>
      <c r="BF356" s="37">
        <v>0</v>
      </c>
      <c r="BG356" s="37">
        <v>0</v>
      </c>
      <c r="BH356" s="37">
        <v>0</v>
      </c>
      <c r="BI356" s="37">
        <v>0</v>
      </c>
      <c r="BJ356" s="37">
        <v>0</v>
      </c>
      <c r="BK356" s="59">
        <v>0</v>
      </c>
      <c r="BL356" s="37">
        <v>0</v>
      </c>
      <c r="BM356" s="37">
        <v>0</v>
      </c>
      <c r="BN356" s="37">
        <v>0</v>
      </c>
      <c r="BO356" s="37">
        <v>0</v>
      </c>
      <c r="BP356" s="37">
        <v>0</v>
      </c>
      <c r="BQ356" s="37">
        <v>0</v>
      </c>
      <c r="BR356" s="37">
        <v>0</v>
      </c>
      <c r="BS356" s="37">
        <v>0</v>
      </c>
      <c r="BT356" s="37">
        <v>0</v>
      </c>
      <c r="BU356" s="37">
        <v>0</v>
      </c>
      <c r="BV356" s="37">
        <v>0</v>
      </c>
      <c r="BW356" s="59">
        <v>0</v>
      </c>
      <c r="BX356" s="59">
        <v>0</v>
      </c>
      <c r="BZ356" s="37">
        <v>8000</v>
      </c>
      <c r="CA356" s="37">
        <v>10000</v>
      </c>
      <c r="CB356" s="37">
        <v>0</v>
      </c>
      <c r="CC356" s="37">
        <v>2000</v>
      </c>
      <c r="CD356" s="37">
        <v>1000</v>
      </c>
      <c r="CE356" s="37">
        <v>400</v>
      </c>
      <c r="CF356" s="37">
        <v>0</v>
      </c>
      <c r="CG356" s="59">
        <v>21400</v>
      </c>
      <c r="CH356" s="37">
        <v>0</v>
      </c>
      <c r="CI356" s="37">
        <v>10</v>
      </c>
      <c r="CJ356" s="37">
        <v>8</v>
      </c>
      <c r="CK356" s="37">
        <v>4</v>
      </c>
      <c r="CL356" s="37">
        <v>0</v>
      </c>
      <c r="CM356" s="37">
        <v>0</v>
      </c>
      <c r="CN356" s="59">
        <v>22</v>
      </c>
      <c r="CO356" s="59">
        <v>21422</v>
      </c>
      <c r="CP356" s="58"/>
      <c r="CQ356" s="3">
        <v>21422</v>
      </c>
    </row>
    <row r="357" spans="1:95" customFormat="1" x14ac:dyDescent="0.2">
      <c r="A357" s="209">
        <v>43326</v>
      </c>
      <c r="B357" s="33" t="s">
        <v>53</v>
      </c>
      <c r="C357" s="33" t="s">
        <v>140</v>
      </c>
      <c r="D357" s="43">
        <v>1</v>
      </c>
      <c r="E357" s="43">
        <v>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  <c r="P357" s="47" t="s">
        <v>45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59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400</v>
      </c>
      <c r="AO357" s="37">
        <v>0</v>
      </c>
      <c r="AP357" s="37">
        <v>200</v>
      </c>
      <c r="AQ357" s="37">
        <v>0</v>
      </c>
      <c r="AR357" s="37">
        <v>0</v>
      </c>
      <c r="AS357" s="59">
        <v>600</v>
      </c>
      <c r="AT357" s="59">
        <v>600</v>
      </c>
      <c r="AU357" s="45"/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>
        <v>0</v>
      </c>
      <c r="BB357" s="37">
        <v>0</v>
      </c>
      <c r="BC357" s="37">
        <v>0</v>
      </c>
      <c r="BD357" s="37">
        <v>0</v>
      </c>
      <c r="BE357" s="37">
        <v>0</v>
      </c>
      <c r="BF357" s="37">
        <v>0</v>
      </c>
      <c r="BG357" s="37">
        <v>0</v>
      </c>
      <c r="BH357" s="37">
        <v>0</v>
      </c>
      <c r="BI357" s="37">
        <v>0</v>
      </c>
      <c r="BJ357" s="37">
        <v>0</v>
      </c>
      <c r="BK357" s="59">
        <v>0</v>
      </c>
      <c r="BL357" s="37">
        <v>0</v>
      </c>
      <c r="BM357" s="37">
        <v>0</v>
      </c>
      <c r="BN357" s="37">
        <v>0</v>
      </c>
      <c r="BO357" s="37">
        <v>0</v>
      </c>
      <c r="BP357" s="37">
        <v>0</v>
      </c>
      <c r="BQ357" s="37">
        <v>0</v>
      </c>
      <c r="BR357" s="37">
        <v>0</v>
      </c>
      <c r="BS357" s="37">
        <v>0</v>
      </c>
      <c r="BT357" s="37">
        <v>0</v>
      </c>
      <c r="BU357" s="37">
        <v>0</v>
      </c>
      <c r="BV357" s="37">
        <v>0</v>
      </c>
      <c r="BW357" s="59">
        <v>0</v>
      </c>
      <c r="BX357" s="59">
        <v>0</v>
      </c>
      <c r="BZ357" s="37">
        <v>0</v>
      </c>
      <c r="CA357" s="37">
        <v>0</v>
      </c>
      <c r="CB357" s="37">
        <v>0</v>
      </c>
      <c r="CC357" s="37">
        <v>0</v>
      </c>
      <c r="CD357" s="37">
        <v>0</v>
      </c>
      <c r="CE357" s="37">
        <v>0</v>
      </c>
      <c r="CF357" s="37">
        <v>0</v>
      </c>
      <c r="CG357" s="59">
        <v>0</v>
      </c>
      <c r="CH357" s="37">
        <v>0</v>
      </c>
      <c r="CI357" s="37">
        <v>0</v>
      </c>
      <c r="CJ357" s="37">
        <v>400</v>
      </c>
      <c r="CK357" s="37">
        <v>200</v>
      </c>
      <c r="CL357" s="37">
        <v>0</v>
      </c>
      <c r="CM357" s="37">
        <v>0</v>
      </c>
      <c r="CN357" s="59">
        <v>600</v>
      </c>
      <c r="CO357" s="59">
        <v>600</v>
      </c>
      <c r="CP357" s="58"/>
      <c r="CQ357" s="3">
        <v>600</v>
      </c>
    </row>
    <row r="358" spans="1:95" customFormat="1" x14ac:dyDescent="0.2">
      <c r="A358" s="209">
        <v>43327</v>
      </c>
      <c r="B358" s="33" t="s">
        <v>55</v>
      </c>
      <c r="C358" s="33" t="s">
        <v>56</v>
      </c>
      <c r="D358" s="43">
        <v>0</v>
      </c>
      <c r="E358" s="43">
        <v>0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43">
        <v>0</v>
      </c>
      <c r="M358" s="43">
        <v>0</v>
      </c>
      <c r="N358" s="43">
        <v>0</v>
      </c>
      <c r="O358" s="43">
        <v>0</v>
      </c>
      <c r="P358" s="47">
        <v>0</v>
      </c>
      <c r="R358" s="37">
        <v>0</v>
      </c>
      <c r="S358" s="37">
        <v>0</v>
      </c>
      <c r="T358" s="37">
        <v>0</v>
      </c>
      <c r="U358" s="37">
        <v>0</v>
      </c>
      <c r="V358" s="37">
        <v>2000</v>
      </c>
      <c r="W358" s="37">
        <v>0</v>
      </c>
      <c r="X358" s="37">
        <v>800</v>
      </c>
      <c r="Y358" s="37">
        <v>0</v>
      </c>
      <c r="Z358" s="37">
        <v>400</v>
      </c>
      <c r="AA358" s="37">
        <v>0</v>
      </c>
      <c r="AB358" s="37">
        <v>200</v>
      </c>
      <c r="AC358" s="37">
        <v>0</v>
      </c>
      <c r="AD358" s="37">
        <v>80</v>
      </c>
      <c r="AE358" s="37">
        <v>0</v>
      </c>
      <c r="AF358" s="37">
        <v>0</v>
      </c>
      <c r="AG358" s="59">
        <v>3480</v>
      </c>
      <c r="AH358" s="37">
        <v>0</v>
      </c>
      <c r="AI358" s="37">
        <v>0</v>
      </c>
      <c r="AJ358" s="37">
        <v>0</v>
      </c>
      <c r="AK358" s="37">
        <v>0</v>
      </c>
      <c r="AL358" s="37">
        <v>0</v>
      </c>
      <c r="AM358" s="37">
        <v>0</v>
      </c>
      <c r="AN358" s="37">
        <v>0</v>
      </c>
      <c r="AO358" s="37">
        <v>0</v>
      </c>
      <c r="AP358" s="37">
        <v>0</v>
      </c>
      <c r="AQ358" s="37">
        <v>0</v>
      </c>
      <c r="AR358" s="37">
        <v>0</v>
      </c>
      <c r="AS358" s="59">
        <v>0</v>
      </c>
      <c r="AT358" s="59">
        <v>3480</v>
      </c>
      <c r="AU358" s="45"/>
      <c r="AV358" s="37">
        <v>0</v>
      </c>
      <c r="AW358" s="37">
        <v>0</v>
      </c>
      <c r="AX358" s="37">
        <v>0</v>
      </c>
      <c r="AY358" s="37">
        <v>0</v>
      </c>
      <c r="AZ358" s="37">
        <v>0</v>
      </c>
      <c r="BA358" s="37">
        <v>0</v>
      </c>
      <c r="BB358" s="37">
        <v>0</v>
      </c>
      <c r="BC358" s="37">
        <v>0</v>
      </c>
      <c r="BD358" s="37">
        <v>0</v>
      </c>
      <c r="BE358" s="37">
        <v>0</v>
      </c>
      <c r="BF358" s="37">
        <v>0</v>
      </c>
      <c r="BG358" s="37">
        <v>0</v>
      </c>
      <c r="BH358" s="37">
        <v>0</v>
      </c>
      <c r="BI358" s="37">
        <v>0</v>
      </c>
      <c r="BJ358" s="37">
        <v>0</v>
      </c>
      <c r="BK358" s="59">
        <v>0</v>
      </c>
      <c r="BL358" s="37">
        <v>0</v>
      </c>
      <c r="BM358" s="37">
        <v>0</v>
      </c>
      <c r="BN358" s="37">
        <v>0</v>
      </c>
      <c r="BO358" s="37">
        <v>0</v>
      </c>
      <c r="BP358" s="37">
        <v>0</v>
      </c>
      <c r="BQ358" s="37">
        <v>0</v>
      </c>
      <c r="BR358" s="37">
        <v>0</v>
      </c>
      <c r="BS358" s="37">
        <v>0</v>
      </c>
      <c r="BT358" s="37">
        <v>0</v>
      </c>
      <c r="BU358" s="37">
        <v>0</v>
      </c>
      <c r="BV358" s="37">
        <v>0</v>
      </c>
      <c r="BW358" s="59">
        <v>0</v>
      </c>
      <c r="BX358" s="59">
        <v>0</v>
      </c>
      <c r="BZ358" s="37">
        <v>0</v>
      </c>
      <c r="CA358" s="37">
        <v>2000</v>
      </c>
      <c r="CB358" s="37">
        <v>800</v>
      </c>
      <c r="CC358" s="37">
        <v>400</v>
      </c>
      <c r="CD358" s="37">
        <v>200</v>
      </c>
      <c r="CE358" s="37">
        <v>80</v>
      </c>
      <c r="CF358" s="37">
        <v>0</v>
      </c>
      <c r="CG358" s="59">
        <v>3480</v>
      </c>
      <c r="CH358" s="37">
        <v>0</v>
      </c>
      <c r="CI358" s="37">
        <v>0</v>
      </c>
      <c r="CJ358" s="37">
        <v>0</v>
      </c>
      <c r="CK358" s="37">
        <v>0</v>
      </c>
      <c r="CL358" s="37">
        <v>0</v>
      </c>
      <c r="CM358" s="37">
        <v>0</v>
      </c>
      <c r="CN358" s="59">
        <v>0</v>
      </c>
      <c r="CO358" s="59">
        <v>3480</v>
      </c>
      <c r="CP358" s="58"/>
      <c r="CQ358" s="3">
        <v>3480</v>
      </c>
    </row>
    <row r="359" spans="1:95" customFormat="1" x14ac:dyDescent="0.2">
      <c r="A359" s="209">
        <v>43327</v>
      </c>
      <c r="B359" s="33" t="s">
        <v>83</v>
      </c>
      <c r="C359" s="33" t="s">
        <v>76</v>
      </c>
      <c r="D359" s="43">
        <v>0</v>
      </c>
      <c r="E359" s="43">
        <v>1</v>
      </c>
      <c r="F359" s="43">
        <v>0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3">
        <v>0</v>
      </c>
      <c r="M359" s="43">
        <v>0</v>
      </c>
      <c r="N359" s="43">
        <v>0</v>
      </c>
      <c r="O359" s="43">
        <v>0</v>
      </c>
      <c r="P359" s="47" t="s">
        <v>45</v>
      </c>
      <c r="R359" s="37">
        <v>0</v>
      </c>
      <c r="S359" s="37">
        <v>0</v>
      </c>
      <c r="T359" s="37">
        <v>0</v>
      </c>
      <c r="U359" s="37">
        <v>0</v>
      </c>
      <c r="V359" s="37">
        <v>1000000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59">
        <v>1000000</v>
      </c>
      <c r="AH359" s="37">
        <v>0</v>
      </c>
      <c r="AI359" s="37">
        <v>0</v>
      </c>
      <c r="AJ359" s="37">
        <v>0</v>
      </c>
      <c r="AK359" s="37">
        <v>0</v>
      </c>
      <c r="AL359" s="37">
        <v>0</v>
      </c>
      <c r="AM359" s="37">
        <v>0</v>
      </c>
      <c r="AN359" s="37">
        <v>0</v>
      </c>
      <c r="AO359" s="37">
        <v>0</v>
      </c>
      <c r="AP359" s="37">
        <v>0</v>
      </c>
      <c r="AQ359" s="37">
        <v>0</v>
      </c>
      <c r="AR359" s="37">
        <v>0</v>
      </c>
      <c r="AS359" s="59">
        <v>0</v>
      </c>
      <c r="AT359" s="59">
        <v>1000000</v>
      </c>
      <c r="AU359" s="45"/>
      <c r="AV359" s="37">
        <v>0</v>
      </c>
      <c r="AW359" s="37">
        <v>0</v>
      </c>
      <c r="AX359" s="37">
        <v>0</v>
      </c>
      <c r="AY359" s="37">
        <v>0</v>
      </c>
      <c r="AZ359" s="37">
        <v>0</v>
      </c>
      <c r="BA359" s="37">
        <v>0</v>
      </c>
      <c r="BB359" s="37">
        <v>0</v>
      </c>
      <c r="BC359" s="37">
        <v>0</v>
      </c>
      <c r="BD359" s="37">
        <v>0</v>
      </c>
      <c r="BE359" s="37">
        <v>0</v>
      </c>
      <c r="BF359" s="37">
        <v>0</v>
      </c>
      <c r="BG359" s="37">
        <v>0</v>
      </c>
      <c r="BH359" s="37">
        <v>0</v>
      </c>
      <c r="BI359" s="37">
        <v>0</v>
      </c>
      <c r="BJ359" s="37">
        <v>0</v>
      </c>
      <c r="BK359" s="59">
        <v>0</v>
      </c>
      <c r="BL359" s="37">
        <v>0</v>
      </c>
      <c r="BM359" s="37">
        <v>0</v>
      </c>
      <c r="BN359" s="37">
        <v>0</v>
      </c>
      <c r="BO359" s="37">
        <v>0</v>
      </c>
      <c r="BP359" s="37">
        <v>0</v>
      </c>
      <c r="BQ359" s="37">
        <v>0</v>
      </c>
      <c r="BR359" s="37">
        <v>0</v>
      </c>
      <c r="BS359" s="37">
        <v>0</v>
      </c>
      <c r="BT359" s="37">
        <v>0</v>
      </c>
      <c r="BU359" s="37">
        <v>0</v>
      </c>
      <c r="BV359" s="37">
        <v>0</v>
      </c>
      <c r="BW359" s="59">
        <v>0</v>
      </c>
      <c r="BX359" s="59">
        <v>0</v>
      </c>
      <c r="BZ359" s="37">
        <v>0</v>
      </c>
      <c r="CA359" s="37">
        <v>1000000</v>
      </c>
      <c r="CB359" s="37">
        <v>0</v>
      </c>
      <c r="CC359" s="37">
        <v>0</v>
      </c>
      <c r="CD359" s="37">
        <v>0</v>
      </c>
      <c r="CE359" s="37">
        <v>0</v>
      </c>
      <c r="CF359" s="37">
        <v>0</v>
      </c>
      <c r="CG359" s="59">
        <v>1000000</v>
      </c>
      <c r="CH359" s="37">
        <v>0</v>
      </c>
      <c r="CI359" s="37">
        <v>0</v>
      </c>
      <c r="CJ359" s="37">
        <v>0</v>
      </c>
      <c r="CK359" s="37">
        <v>0</v>
      </c>
      <c r="CL359" s="37">
        <v>0</v>
      </c>
      <c r="CM359" s="37">
        <v>0</v>
      </c>
      <c r="CN359" s="59">
        <v>0</v>
      </c>
      <c r="CO359" s="59">
        <v>1000000</v>
      </c>
      <c r="CP359" s="58"/>
      <c r="CQ359" s="3">
        <v>1000000</v>
      </c>
    </row>
    <row r="360" spans="1:95" customFormat="1" x14ac:dyDescent="0.2">
      <c r="A360" s="209">
        <v>43327</v>
      </c>
      <c r="B360" s="33" t="s">
        <v>60</v>
      </c>
      <c r="C360" s="33" t="s">
        <v>61</v>
      </c>
      <c r="D360" s="43">
        <v>0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0</v>
      </c>
      <c r="M360" s="43">
        <v>0</v>
      </c>
      <c r="N360" s="43">
        <v>1</v>
      </c>
      <c r="O360" s="43">
        <v>0</v>
      </c>
      <c r="P360" s="47" t="s">
        <v>45</v>
      </c>
      <c r="R360" s="37">
        <v>0</v>
      </c>
      <c r="S360" s="37">
        <v>0</v>
      </c>
      <c r="T360" s="37">
        <v>0</v>
      </c>
      <c r="U360" s="37">
        <v>0</v>
      </c>
      <c r="V360" s="37">
        <v>1000000</v>
      </c>
      <c r="W360" s="37">
        <v>0</v>
      </c>
      <c r="X360" s="37">
        <v>0</v>
      </c>
      <c r="Y360" s="37">
        <v>0</v>
      </c>
      <c r="Z360" s="37">
        <v>40000</v>
      </c>
      <c r="AA360" s="37">
        <v>0</v>
      </c>
      <c r="AB360" s="37">
        <v>20000</v>
      </c>
      <c r="AC360" s="37">
        <v>0</v>
      </c>
      <c r="AD360" s="37">
        <v>12000</v>
      </c>
      <c r="AE360" s="37">
        <v>0</v>
      </c>
      <c r="AF360" s="37">
        <v>0</v>
      </c>
      <c r="AG360" s="59">
        <v>1072000</v>
      </c>
      <c r="AH360" s="37">
        <v>0</v>
      </c>
      <c r="AI360" s="37">
        <v>0</v>
      </c>
      <c r="AJ360" s="37">
        <v>0</v>
      </c>
      <c r="AK360" s="37">
        <v>0</v>
      </c>
      <c r="AL360" s="37">
        <v>0</v>
      </c>
      <c r="AM360" s="37">
        <v>0</v>
      </c>
      <c r="AN360" s="37">
        <v>200</v>
      </c>
      <c r="AO360" s="37">
        <v>0</v>
      </c>
      <c r="AP360" s="37">
        <v>100</v>
      </c>
      <c r="AQ360" s="37">
        <v>0</v>
      </c>
      <c r="AR360" s="37">
        <v>0</v>
      </c>
      <c r="AS360" s="59">
        <v>300</v>
      </c>
      <c r="AT360" s="59">
        <v>1072300</v>
      </c>
      <c r="AU360" s="45"/>
      <c r="AV360" s="37">
        <v>0</v>
      </c>
      <c r="AW360" s="37">
        <v>0</v>
      </c>
      <c r="AX360" s="37">
        <v>0</v>
      </c>
      <c r="AY360" s="37">
        <v>0</v>
      </c>
      <c r="AZ360" s="37">
        <v>0</v>
      </c>
      <c r="BA360" s="37">
        <v>0</v>
      </c>
      <c r="BB360" s="37">
        <v>0</v>
      </c>
      <c r="BC360" s="37">
        <v>0</v>
      </c>
      <c r="BD360" s="37">
        <v>0</v>
      </c>
      <c r="BE360" s="37">
        <v>0</v>
      </c>
      <c r="BF360" s="37">
        <v>0</v>
      </c>
      <c r="BG360" s="37">
        <v>0</v>
      </c>
      <c r="BH360" s="37">
        <v>0</v>
      </c>
      <c r="BI360" s="37">
        <v>0</v>
      </c>
      <c r="BJ360" s="37">
        <v>0</v>
      </c>
      <c r="BK360" s="59">
        <v>0</v>
      </c>
      <c r="BL360" s="37">
        <v>0</v>
      </c>
      <c r="BM360" s="37">
        <v>0</v>
      </c>
      <c r="BN360" s="37">
        <v>0</v>
      </c>
      <c r="BO360" s="37">
        <v>0</v>
      </c>
      <c r="BP360" s="37">
        <v>0</v>
      </c>
      <c r="BQ360" s="37">
        <v>0</v>
      </c>
      <c r="BR360" s="37">
        <v>0</v>
      </c>
      <c r="BS360" s="37">
        <v>0</v>
      </c>
      <c r="BT360" s="37">
        <v>0</v>
      </c>
      <c r="BU360" s="37">
        <v>0</v>
      </c>
      <c r="BV360" s="37">
        <v>0</v>
      </c>
      <c r="BW360" s="59">
        <v>0</v>
      </c>
      <c r="BX360" s="59">
        <v>0</v>
      </c>
      <c r="BZ360" s="37">
        <v>0</v>
      </c>
      <c r="CA360" s="37">
        <v>1000000</v>
      </c>
      <c r="CB360" s="37">
        <v>0</v>
      </c>
      <c r="CC360" s="37">
        <v>40000</v>
      </c>
      <c r="CD360" s="37">
        <v>20000</v>
      </c>
      <c r="CE360" s="37">
        <v>12000</v>
      </c>
      <c r="CF360" s="37">
        <v>0</v>
      </c>
      <c r="CG360" s="59">
        <v>1072000</v>
      </c>
      <c r="CH360" s="37">
        <v>0</v>
      </c>
      <c r="CI360" s="37">
        <v>0</v>
      </c>
      <c r="CJ360" s="37">
        <v>200</v>
      </c>
      <c r="CK360" s="37">
        <v>100</v>
      </c>
      <c r="CL360" s="37">
        <v>0</v>
      </c>
      <c r="CM360" s="37">
        <v>0</v>
      </c>
      <c r="CN360" s="59">
        <v>300</v>
      </c>
      <c r="CO360" s="59">
        <v>1072300</v>
      </c>
      <c r="CP360" s="58"/>
      <c r="CQ360" s="3">
        <v>1072300</v>
      </c>
    </row>
    <row r="361" spans="1:95" customFormat="1" x14ac:dyDescent="0.2">
      <c r="A361" s="209">
        <v>43328</v>
      </c>
      <c r="B361" s="33" t="s">
        <v>55</v>
      </c>
      <c r="C361" s="33" t="s">
        <v>56</v>
      </c>
      <c r="D361" s="43">
        <v>0</v>
      </c>
      <c r="E361" s="43">
        <v>0</v>
      </c>
      <c r="F361" s="43">
        <v>0</v>
      </c>
      <c r="G361" s="43">
        <v>0</v>
      </c>
      <c r="H361" s="43">
        <v>0</v>
      </c>
      <c r="I361" s="43">
        <v>0</v>
      </c>
      <c r="J361" s="43">
        <v>0</v>
      </c>
      <c r="K361" s="43">
        <v>0</v>
      </c>
      <c r="L361" s="43">
        <v>0</v>
      </c>
      <c r="M361" s="43">
        <v>0</v>
      </c>
      <c r="N361" s="43">
        <v>0</v>
      </c>
      <c r="O361" s="43">
        <v>0</v>
      </c>
      <c r="P361" s="47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2000</v>
      </c>
      <c r="W361" s="37">
        <v>0</v>
      </c>
      <c r="X361" s="37">
        <v>800</v>
      </c>
      <c r="Y361" s="37">
        <v>0</v>
      </c>
      <c r="Z361" s="37">
        <v>400</v>
      </c>
      <c r="AA361" s="37">
        <v>0</v>
      </c>
      <c r="AB361" s="37">
        <v>200</v>
      </c>
      <c r="AC361" s="37">
        <v>0</v>
      </c>
      <c r="AD361" s="37">
        <v>80</v>
      </c>
      <c r="AE361" s="37">
        <v>0</v>
      </c>
      <c r="AF361" s="37">
        <v>0</v>
      </c>
      <c r="AG361" s="59">
        <v>3480</v>
      </c>
      <c r="AH361" s="37">
        <v>0</v>
      </c>
      <c r="AI361" s="37">
        <v>0</v>
      </c>
      <c r="AJ361" s="37">
        <v>0</v>
      </c>
      <c r="AK361" s="37">
        <v>0</v>
      </c>
      <c r="AL361" s="37">
        <v>0</v>
      </c>
      <c r="AM361" s="37">
        <v>0</v>
      </c>
      <c r="AN361" s="37">
        <v>4</v>
      </c>
      <c r="AO361" s="37">
        <v>0</v>
      </c>
      <c r="AP361" s="37">
        <v>2</v>
      </c>
      <c r="AQ361" s="37">
        <v>0</v>
      </c>
      <c r="AR361" s="37">
        <v>0</v>
      </c>
      <c r="AS361" s="59">
        <v>6</v>
      </c>
      <c r="AT361" s="59">
        <v>3486</v>
      </c>
      <c r="AU361" s="45"/>
      <c r="AV361" s="37">
        <v>0</v>
      </c>
      <c r="AW361" s="37">
        <v>0</v>
      </c>
      <c r="AX361" s="37">
        <v>0</v>
      </c>
      <c r="AY361" s="37">
        <v>0</v>
      </c>
      <c r="AZ361" s="37">
        <v>0</v>
      </c>
      <c r="BA361" s="37">
        <v>0</v>
      </c>
      <c r="BB361" s="37">
        <v>0</v>
      </c>
      <c r="BC361" s="37">
        <v>0</v>
      </c>
      <c r="BD361" s="37">
        <v>0</v>
      </c>
      <c r="BE361" s="37">
        <v>0</v>
      </c>
      <c r="BF361" s="37">
        <v>0</v>
      </c>
      <c r="BG361" s="37">
        <v>0</v>
      </c>
      <c r="BH361" s="37">
        <v>0</v>
      </c>
      <c r="BI361" s="37">
        <v>0</v>
      </c>
      <c r="BJ361" s="37">
        <v>0</v>
      </c>
      <c r="BK361" s="59">
        <v>0</v>
      </c>
      <c r="BL361" s="37">
        <v>0</v>
      </c>
      <c r="BM361" s="37">
        <v>0</v>
      </c>
      <c r="BN361" s="37">
        <v>0</v>
      </c>
      <c r="BO361" s="37">
        <v>0</v>
      </c>
      <c r="BP361" s="37">
        <v>0</v>
      </c>
      <c r="BQ361" s="37">
        <v>0</v>
      </c>
      <c r="BR361" s="37">
        <v>0</v>
      </c>
      <c r="BS361" s="37">
        <v>0</v>
      </c>
      <c r="BT361" s="37">
        <v>0</v>
      </c>
      <c r="BU361" s="37">
        <v>0</v>
      </c>
      <c r="BV361" s="37">
        <v>0</v>
      </c>
      <c r="BW361" s="59">
        <v>0</v>
      </c>
      <c r="BX361" s="59">
        <v>0</v>
      </c>
      <c r="BZ361" s="37">
        <v>0</v>
      </c>
      <c r="CA361" s="37">
        <v>2000</v>
      </c>
      <c r="CB361" s="37">
        <v>800</v>
      </c>
      <c r="CC361" s="37">
        <v>400</v>
      </c>
      <c r="CD361" s="37">
        <v>200</v>
      </c>
      <c r="CE361" s="37">
        <v>80</v>
      </c>
      <c r="CF361" s="37">
        <v>0</v>
      </c>
      <c r="CG361" s="59">
        <v>3480</v>
      </c>
      <c r="CH361" s="37">
        <v>0</v>
      </c>
      <c r="CI361" s="37">
        <v>0</v>
      </c>
      <c r="CJ361" s="37">
        <v>4</v>
      </c>
      <c r="CK361" s="37">
        <v>2</v>
      </c>
      <c r="CL361" s="37">
        <v>0</v>
      </c>
      <c r="CM361" s="37">
        <v>0</v>
      </c>
      <c r="CN361" s="59">
        <v>6</v>
      </c>
      <c r="CO361" s="59">
        <v>3486</v>
      </c>
      <c r="CP361" s="58"/>
      <c r="CQ361" s="3">
        <v>3486</v>
      </c>
    </row>
    <row r="362" spans="1:95" customFormat="1" x14ac:dyDescent="0.2">
      <c r="A362" s="209">
        <v>43328</v>
      </c>
      <c r="B362" s="33" t="s">
        <v>64</v>
      </c>
      <c r="C362" s="33" t="s">
        <v>65</v>
      </c>
      <c r="D362" s="43">
        <v>0</v>
      </c>
      <c r="E362" s="43">
        <v>0</v>
      </c>
      <c r="F362" s="43">
        <v>0</v>
      </c>
      <c r="G362" s="43">
        <v>0</v>
      </c>
      <c r="H362" s="43">
        <v>0</v>
      </c>
      <c r="I362" s="43">
        <v>1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7" t="s">
        <v>45</v>
      </c>
      <c r="R362" s="37">
        <v>0</v>
      </c>
      <c r="S362" s="37">
        <v>0</v>
      </c>
      <c r="T362" s="37">
        <v>0</v>
      </c>
      <c r="U362" s="37">
        <v>0</v>
      </c>
      <c r="V362" s="37">
        <v>1000000</v>
      </c>
      <c r="W362" s="37">
        <v>0</v>
      </c>
      <c r="X362" s="37">
        <v>0</v>
      </c>
      <c r="Y362" s="37">
        <v>0</v>
      </c>
      <c r="Z362" s="37">
        <v>30000</v>
      </c>
      <c r="AA362" s="37">
        <v>0</v>
      </c>
      <c r="AB362" s="37">
        <v>0</v>
      </c>
      <c r="AC362" s="37">
        <v>0</v>
      </c>
      <c r="AD362" s="37">
        <v>0</v>
      </c>
      <c r="AE362" s="37">
        <v>0</v>
      </c>
      <c r="AF362" s="37">
        <v>0</v>
      </c>
      <c r="AG362" s="59">
        <v>1030000</v>
      </c>
      <c r="AH362" s="37">
        <v>750</v>
      </c>
      <c r="AI362" s="37">
        <v>0</v>
      </c>
      <c r="AJ362" s="37">
        <v>250</v>
      </c>
      <c r="AK362" s="37">
        <v>0</v>
      </c>
      <c r="AL362" s="37">
        <v>0</v>
      </c>
      <c r="AM362" s="37">
        <v>0</v>
      </c>
      <c r="AN362" s="37">
        <v>200</v>
      </c>
      <c r="AO362" s="37">
        <v>0</v>
      </c>
      <c r="AP362" s="37">
        <v>100</v>
      </c>
      <c r="AQ362" s="37">
        <v>0</v>
      </c>
      <c r="AR362" s="37">
        <v>0</v>
      </c>
      <c r="AS362" s="59">
        <v>1300</v>
      </c>
      <c r="AT362" s="59">
        <v>1031300</v>
      </c>
      <c r="AU362" s="45"/>
      <c r="AV362" s="37">
        <v>0</v>
      </c>
      <c r="AW362" s="37">
        <v>0</v>
      </c>
      <c r="AX362" s="37">
        <v>0</v>
      </c>
      <c r="AY362" s="37">
        <v>0</v>
      </c>
      <c r="AZ362" s="37">
        <v>0</v>
      </c>
      <c r="BA362" s="37">
        <v>0</v>
      </c>
      <c r="BB362" s="37">
        <v>0</v>
      </c>
      <c r="BC362" s="37">
        <v>0</v>
      </c>
      <c r="BD362" s="37">
        <v>0</v>
      </c>
      <c r="BE362" s="37">
        <v>0</v>
      </c>
      <c r="BF362" s="37">
        <v>0</v>
      </c>
      <c r="BG362" s="37">
        <v>0</v>
      </c>
      <c r="BH362" s="37">
        <v>0</v>
      </c>
      <c r="BI362" s="37">
        <v>0</v>
      </c>
      <c r="BJ362" s="37">
        <v>0</v>
      </c>
      <c r="BK362" s="59">
        <v>0</v>
      </c>
      <c r="BL362" s="37">
        <v>0</v>
      </c>
      <c r="BM362" s="37">
        <v>0</v>
      </c>
      <c r="BN362" s="37">
        <v>0</v>
      </c>
      <c r="BO362" s="37">
        <v>0</v>
      </c>
      <c r="BP362" s="37">
        <v>0</v>
      </c>
      <c r="BQ362" s="37">
        <v>0</v>
      </c>
      <c r="BR362" s="37">
        <v>0</v>
      </c>
      <c r="BS362" s="37">
        <v>0</v>
      </c>
      <c r="BT362" s="37">
        <v>0</v>
      </c>
      <c r="BU362" s="37">
        <v>0</v>
      </c>
      <c r="BV362" s="37">
        <v>0</v>
      </c>
      <c r="BW362" s="59">
        <v>0</v>
      </c>
      <c r="BX362" s="59">
        <v>0</v>
      </c>
      <c r="BZ362" s="37">
        <v>0</v>
      </c>
      <c r="CA362" s="37">
        <v>1000000</v>
      </c>
      <c r="CB362" s="37">
        <v>0</v>
      </c>
      <c r="CC362" s="37">
        <v>30000</v>
      </c>
      <c r="CD362" s="37">
        <v>0</v>
      </c>
      <c r="CE362" s="37">
        <v>0</v>
      </c>
      <c r="CF362" s="37">
        <v>0</v>
      </c>
      <c r="CG362" s="59">
        <v>1030000</v>
      </c>
      <c r="CH362" s="37">
        <v>750</v>
      </c>
      <c r="CI362" s="37">
        <v>250</v>
      </c>
      <c r="CJ362" s="37">
        <v>200</v>
      </c>
      <c r="CK362" s="37">
        <v>100</v>
      </c>
      <c r="CL362" s="37">
        <v>0</v>
      </c>
      <c r="CM362" s="37">
        <v>0</v>
      </c>
      <c r="CN362" s="59">
        <v>1300</v>
      </c>
      <c r="CO362" s="59">
        <v>1031300</v>
      </c>
      <c r="CP362" s="58"/>
      <c r="CQ362" s="3">
        <v>1031300</v>
      </c>
    </row>
    <row r="363" spans="1:95" customFormat="1" x14ac:dyDescent="0.2">
      <c r="A363" s="209">
        <v>43328</v>
      </c>
      <c r="B363" s="33" t="s">
        <v>53</v>
      </c>
      <c r="C363" s="33" t="s">
        <v>140</v>
      </c>
      <c r="D363" s="43">
        <v>1</v>
      </c>
      <c r="E363" s="43">
        <v>0</v>
      </c>
      <c r="F363" s="43">
        <v>0</v>
      </c>
      <c r="G363" s="43">
        <v>0</v>
      </c>
      <c r="H363" s="43">
        <v>0</v>
      </c>
      <c r="I363" s="43">
        <v>0</v>
      </c>
      <c r="J363" s="43">
        <v>0</v>
      </c>
      <c r="K363" s="43">
        <v>0</v>
      </c>
      <c r="L363" s="43">
        <v>0</v>
      </c>
      <c r="M363" s="43">
        <v>0</v>
      </c>
      <c r="N363" s="43">
        <v>0</v>
      </c>
      <c r="O363" s="43">
        <v>0</v>
      </c>
      <c r="P363" s="47" t="s">
        <v>45</v>
      </c>
      <c r="R363" s="37">
        <v>0</v>
      </c>
      <c r="S363" s="37">
        <v>0</v>
      </c>
      <c r="T363" s="37">
        <v>0</v>
      </c>
      <c r="U363" s="37">
        <v>0</v>
      </c>
      <c r="V363" s="37">
        <v>200000</v>
      </c>
      <c r="W363" s="37">
        <v>0</v>
      </c>
      <c r="X363" s="37">
        <v>80000</v>
      </c>
      <c r="Y363" s="37">
        <v>0</v>
      </c>
      <c r="Z363" s="37">
        <v>40000</v>
      </c>
      <c r="AA363" s="37">
        <v>0</v>
      </c>
      <c r="AB363" s="37">
        <v>20000</v>
      </c>
      <c r="AC363" s="37">
        <v>0</v>
      </c>
      <c r="AD363" s="37">
        <v>8000</v>
      </c>
      <c r="AE363" s="37">
        <v>0</v>
      </c>
      <c r="AF363" s="37">
        <v>0</v>
      </c>
      <c r="AG363" s="59">
        <v>348000</v>
      </c>
      <c r="AH363" s="37">
        <v>0</v>
      </c>
      <c r="AI363" s="37">
        <v>0</v>
      </c>
      <c r="AJ363" s="37">
        <v>3125</v>
      </c>
      <c r="AK363" s="37">
        <v>0</v>
      </c>
      <c r="AL363" s="37">
        <v>0</v>
      </c>
      <c r="AM363" s="37">
        <v>0</v>
      </c>
      <c r="AN363" s="37">
        <v>0</v>
      </c>
      <c r="AO363" s="37">
        <v>0</v>
      </c>
      <c r="AP363" s="37">
        <v>0</v>
      </c>
      <c r="AQ363" s="37">
        <v>0</v>
      </c>
      <c r="AR363" s="37">
        <v>0</v>
      </c>
      <c r="AS363" s="59">
        <v>3125</v>
      </c>
      <c r="AT363" s="59">
        <v>351125</v>
      </c>
      <c r="AU363" s="45"/>
      <c r="AV363" s="37">
        <v>0</v>
      </c>
      <c r="AW363" s="37">
        <v>0</v>
      </c>
      <c r="AX363" s="37">
        <v>0</v>
      </c>
      <c r="AY363" s="37">
        <v>0</v>
      </c>
      <c r="AZ363" s="37">
        <v>0</v>
      </c>
      <c r="BA363" s="37">
        <v>0</v>
      </c>
      <c r="BB363" s="37">
        <v>0</v>
      </c>
      <c r="BC363" s="37">
        <v>0</v>
      </c>
      <c r="BD363" s="37">
        <v>0</v>
      </c>
      <c r="BE363" s="37">
        <v>0</v>
      </c>
      <c r="BF363" s="37">
        <v>0</v>
      </c>
      <c r="BG363" s="37">
        <v>0</v>
      </c>
      <c r="BH363" s="37">
        <v>0</v>
      </c>
      <c r="BI363" s="37">
        <v>0</v>
      </c>
      <c r="BJ363" s="37">
        <v>0</v>
      </c>
      <c r="BK363" s="59">
        <v>0</v>
      </c>
      <c r="BL363" s="37">
        <v>0</v>
      </c>
      <c r="BM363" s="37">
        <v>0</v>
      </c>
      <c r="BN363" s="37">
        <v>0</v>
      </c>
      <c r="BO363" s="37">
        <v>0</v>
      </c>
      <c r="BP363" s="37">
        <v>0</v>
      </c>
      <c r="BQ363" s="37">
        <v>0</v>
      </c>
      <c r="BR363" s="37">
        <v>0</v>
      </c>
      <c r="BS363" s="37">
        <v>0</v>
      </c>
      <c r="BT363" s="37">
        <v>0</v>
      </c>
      <c r="BU363" s="37">
        <v>0</v>
      </c>
      <c r="BV363" s="37">
        <v>0</v>
      </c>
      <c r="BW363" s="59">
        <v>0</v>
      </c>
      <c r="BX363" s="59">
        <v>0</v>
      </c>
      <c r="BZ363" s="37">
        <v>0</v>
      </c>
      <c r="CA363" s="37">
        <v>200000</v>
      </c>
      <c r="CB363" s="37">
        <v>80000</v>
      </c>
      <c r="CC363" s="37">
        <v>40000</v>
      </c>
      <c r="CD363" s="37">
        <v>20000</v>
      </c>
      <c r="CE363" s="37">
        <v>8000</v>
      </c>
      <c r="CF363" s="37">
        <v>0</v>
      </c>
      <c r="CG363" s="59">
        <v>348000</v>
      </c>
      <c r="CH363" s="37">
        <v>0</v>
      </c>
      <c r="CI363" s="37">
        <v>3125</v>
      </c>
      <c r="CJ363" s="37">
        <v>0</v>
      </c>
      <c r="CK363" s="37">
        <v>0</v>
      </c>
      <c r="CL363" s="37">
        <v>0</v>
      </c>
      <c r="CM363" s="37">
        <v>0</v>
      </c>
      <c r="CN363" s="59">
        <v>3125</v>
      </c>
      <c r="CO363" s="59">
        <v>351125</v>
      </c>
      <c r="CP363" s="58"/>
      <c r="CQ363" s="3">
        <v>351125</v>
      </c>
    </row>
    <row r="364" spans="1:95" customFormat="1" x14ac:dyDescent="0.2">
      <c r="A364" s="209">
        <v>43332</v>
      </c>
      <c r="B364" s="33" t="s">
        <v>55</v>
      </c>
      <c r="C364" s="33" t="s">
        <v>56</v>
      </c>
      <c r="D364" s="43">
        <v>0</v>
      </c>
      <c r="E364" s="43">
        <v>0</v>
      </c>
      <c r="F364" s="43">
        <v>0</v>
      </c>
      <c r="G364" s="43">
        <v>0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0</v>
      </c>
      <c r="O364" s="43">
        <v>0</v>
      </c>
      <c r="P364" s="47">
        <v>0</v>
      </c>
      <c r="R364" s="37">
        <v>0</v>
      </c>
      <c r="S364" s="37">
        <v>0</v>
      </c>
      <c r="T364" s="37">
        <v>4000</v>
      </c>
      <c r="U364" s="37">
        <v>0</v>
      </c>
      <c r="V364" s="37">
        <v>2000</v>
      </c>
      <c r="W364" s="37">
        <v>0</v>
      </c>
      <c r="X364" s="37">
        <v>800</v>
      </c>
      <c r="Y364" s="37">
        <v>0</v>
      </c>
      <c r="Z364" s="37">
        <v>400</v>
      </c>
      <c r="AA364" s="37">
        <v>0</v>
      </c>
      <c r="AB364" s="37">
        <v>200</v>
      </c>
      <c r="AC364" s="37">
        <v>0</v>
      </c>
      <c r="AD364" s="37">
        <v>80</v>
      </c>
      <c r="AE364" s="37">
        <v>0</v>
      </c>
      <c r="AF364" s="37">
        <v>0</v>
      </c>
      <c r="AG364" s="59">
        <v>7480</v>
      </c>
      <c r="AH364" s="37">
        <v>0</v>
      </c>
      <c r="AI364" s="37">
        <v>0</v>
      </c>
      <c r="AJ364" s="37">
        <v>0</v>
      </c>
      <c r="AK364" s="37">
        <v>0</v>
      </c>
      <c r="AL364" s="37">
        <v>0</v>
      </c>
      <c r="AM364" s="37">
        <v>0</v>
      </c>
      <c r="AN364" s="37">
        <v>0</v>
      </c>
      <c r="AO364" s="37">
        <v>0</v>
      </c>
      <c r="AP364" s="37">
        <v>0</v>
      </c>
      <c r="AQ364" s="37">
        <v>0</v>
      </c>
      <c r="AR364" s="37">
        <v>0</v>
      </c>
      <c r="AS364" s="59">
        <v>0</v>
      </c>
      <c r="AT364" s="59">
        <v>7480</v>
      </c>
      <c r="AU364" s="45"/>
      <c r="AV364" s="37">
        <v>0</v>
      </c>
      <c r="AW364" s="37">
        <v>0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37">
        <v>0</v>
      </c>
      <c r="BD364" s="37">
        <v>0</v>
      </c>
      <c r="BE364" s="37">
        <v>0</v>
      </c>
      <c r="BF364" s="37">
        <v>0</v>
      </c>
      <c r="BG364" s="37">
        <v>0</v>
      </c>
      <c r="BH364" s="37">
        <v>0</v>
      </c>
      <c r="BI364" s="37">
        <v>0</v>
      </c>
      <c r="BJ364" s="37">
        <v>0</v>
      </c>
      <c r="BK364" s="59">
        <v>0</v>
      </c>
      <c r="BL364" s="37">
        <v>0</v>
      </c>
      <c r="BM364" s="37">
        <v>0</v>
      </c>
      <c r="BN364" s="37">
        <v>0</v>
      </c>
      <c r="BO364" s="37">
        <v>0</v>
      </c>
      <c r="BP364" s="37">
        <v>0</v>
      </c>
      <c r="BQ364" s="37">
        <v>0</v>
      </c>
      <c r="BR364" s="37">
        <v>0</v>
      </c>
      <c r="BS364" s="37">
        <v>0</v>
      </c>
      <c r="BT364" s="37">
        <v>0</v>
      </c>
      <c r="BU364" s="37">
        <v>0</v>
      </c>
      <c r="BV364" s="37">
        <v>0</v>
      </c>
      <c r="BW364" s="59">
        <v>0</v>
      </c>
      <c r="BX364" s="59">
        <v>0</v>
      </c>
      <c r="BZ364" s="37">
        <v>4000</v>
      </c>
      <c r="CA364" s="37">
        <v>2000</v>
      </c>
      <c r="CB364" s="37">
        <v>800</v>
      </c>
      <c r="CC364" s="37">
        <v>400</v>
      </c>
      <c r="CD364" s="37">
        <v>200</v>
      </c>
      <c r="CE364" s="37">
        <v>80</v>
      </c>
      <c r="CF364" s="37">
        <v>0</v>
      </c>
      <c r="CG364" s="59">
        <v>7480</v>
      </c>
      <c r="CH364" s="37">
        <v>0</v>
      </c>
      <c r="CI364" s="37">
        <v>0</v>
      </c>
      <c r="CJ364" s="37">
        <v>0</v>
      </c>
      <c r="CK364" s="37">
        <v>0</v>
      </c>
      <c r="CL364" s="37">
        <v>0</v>
      </c>
      <c r="CM364" s="37">
        <v>0</v>
      </c>
      <c r="CN364" s="59">
        <v>0</v>
      </c>
      <c r="CO364" s="59">
        <v>7480</v>
      </c>
      <c r="CP364" s="58"/>
      <c r="CQ364" s="3">
        <v>7480</v>
      </c>
    </row>
    <row r="365" spans="1:95" customFormat="1" x14ac:dyDescent="0.2">
      <c r="A365" s="209">
        <v>43328</v>
      </c>
      <c r="B365" s="33" t="s">
        <v>62</v>
      </c>
      <c r="C365" s="33" t="s">
        <v>144</v>
      </c>
      <c r="D365" s="43">
        <v>0</v>
      </c>
      <c r="E365" s="43">
        <v>0</v>
      </c>
      <c r="F365" s="43">
        <v>0</v>
      </c>
      <c r="G365" s="43">
        <v>0</v>
      </c>
      <c r="H365" s="43">
        <v>0</v>
      </c>
      <c r="I365" s="43">
        <v>1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7" t="s">
        <v>67</v>
      </c>
      <c r="R365" s="37">
        <v>400000</v>
      </c>
      <c r="S365" s="37">
        <v>1000000</v>
      </c>
      <c r="T365" s="37">
        <v>800000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v>0</v>
      </c>
      <c r="AD365" s="37">
        <v>0</v>
      </c>
      <c r="AE365" s="37">
        <v>0</v>
      </c>
      <c r="AF365" s="37">
        <v>0</v>
      </c>
      <c r="AG365" s="59">
        <v>2200000</v>
      </c>
      <c r="AH365" s="37">
        <v>0</v>
      </c>
      <c r="AI365" s="37">
        <v>0</v>
      </c>
      <c r="AJ365" s="37">
        <v>0</v>
      </c>
      <c r="AK365" s="37">
        <v>0</v>
      </c>
      <c r="AL365" s="37">
        <v>0</v>
      </c>
      <c r="AM365" s="37">
        <v>0</v>
      </c>
      <c r="AN365" s="37">
        <v>0</v>
      </c>
      <c r="AO365" s="37">
        <v>0</v>
      </c>
      <c r="AP365" s="37">
        <v>0</v>
      </c>
      <c r="AQ365" s="37">
        <v>0</v>
      </c>
      <c r="AR365" s="37">
        <v>0</v>
      </c>
      <c r="AS365" s="59">
        <v>0</v>
      </c>
      <c r="AT365" s="59">
        <v>2200000</v>
      </c>
      <c r="AU365" s="45"/>
      <c r="AV365" s="37">
        <v>0</v>
      </c>
      <c r="AW365" s="37">
        <v>0</v>
      </c>
      <c r="AX365" s="37">
        <v>0</v>
      </c>
      <c r="AY365" s="37">
        <v>0</v>
      </c>
      <c r="AZ365" s="37">
        <v>0</v>
      </c>
      <c r="BA365" s="37">
        <v>0</v>
      </c>
      <c r="BB365" s="37">
        <v>0</v>
      </c>
      <c r="BC365" s="37">
        <v>0</v>
      </c>
      <c r="BD365" s="37">
        <v>0</v>
      </c>
      <c r="BE365" s="37">
        <v>0</v>
      </c>
      <c r="BF365" s="37">
        <v>0</v>
      </c>
      <c r="BG365" s="37">
        <v>0</v>
      </c>
      <c r="BH365" s="37">
        <v>0</v>
      </c>
      <c r="BI365" s="37">
        <v>0</v>
      </c>
      <c r="BJ365" s="37">
        <v>0</v>
      </c>
      <c r="BK365" s="59">
        <v>0</v>
      </c>
      <c r="BL365" s="37">
        <v>0</v>
      </c>
      <c r="BM365" s="37">
        <v>0</v>
      </c>
      <c r="BN365" s="37">
        <v>0</v>
      </c>
      <c r="BO365" s="37">
        <v>0</v>
      </c>
      <c r="BP365" s="37">
        <v>0</v>
      </c>
      <c r="BQ365" s="37">
        <v>0</v>
      </c>
      <c r="BR365" s="37">
        <v>0</v>
      </c>
      <c r="BS365" s="37">
        <v>0</v>
      </c>
      <c r="BT365" s="37">
        <v>0</v>
      </c>
      <c r="BU365" s="37">
        <v>0</v>
      </c>
      <c r="BV365" s="37">
        <v>0</v>
      </c>
      <c r="BW365" s="59">
        <v>0</v>
      </c>
      <c r="BX365" s="59">
        <v>0</v>
      </c>
      <c r="BZ365" s="37">
        <v>2200000</v>
      </c>
      <c r="CA365" s="37">
        <v>0</v>
      </c>
      <c r="CB365" s="37">
        <v>0</v>
      </c>
      <c r="CC365" s="37">
        <v>0</v>
      </c>
      <c r="CD365" s="37">
        <v>0</v>
      </c>
      <c r="CE365" s="37">
        <v>0</v>
      </c>
      <c r="CF365" s="37">
        <v>0</v>
      </c>
      <c r="CG365" s="59">
        <v>2200000</v>
      </c>
      <c r="CH365" s="37">
        <v>0</v>
      </c>
      <c r="CI365" s="37">
        <v>0</v>
      </c>
      <c r="CJ365" s="37">
        <v>0</v>
      </c>
      <c r="CK365" s="37">
        <v>0</v>
      </c>
      <c r="CL365" s="37">
        <v>0</v>
      </c>
      <c r="CM365" s="37">
        <v>0</v>
      </c>
      <c r="CN365" s="59">
        <v>0</v>
      </c>
      <c r="CO365" s="59">
        <v>2200000</v>
      </c>
      <c r="CP365" s="58"/>
      <c r="CQ365" s="3">
        <v>2200000</v>
      </c>
    </row>
    <row r="366" spans="1:95" customFormat="1" x14ac:dyDescent="0.2">
      <c r="A366" s="209">
        <v>43332</v>
      </c>
      <c r="B366" s="33" t="s">
        <v>53</v>
      </c>
      <c r="C366" s="33" t="s">
        <v>140</v>
      </c>
      <c r="D366" s="43">
        <v>1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0</v>
      </c>
      <c r="O366" s="43">
        <v>0</v>
      </c>
      <c r="P366" s="47" t="s">
        <v>45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800</v>
      </c>
      <c r="Y366" s="37">
        <v>0</v>
      </c>
      <c r="Z366" s="37">
        <v>1800</v>
      </c>
      <c r="AA366" s="37">
        <v>0</v>
      </c>
      <c r="AB366" s="37">
        <v>0</v>
      </c>
      <c r="AC366" s="37">
        <v>0</v>
      </c>
      <c r="AD366" s="37">
        <v>0</v>
      </c>
      <c r="AE366" s="37">
        <v>0</v>
      </c>
      <c r="AF366" s="37">
        <v>0</v>
      </c>
      <c r="AG366" s="59">
        <v>2600</v>
      </c>
      <c r="AH366" s="37">
        <v>0</v>
      </c>
      <c r="AI366" s="37">
        <v>0</v>
      </c>
      <c r="AJ366" s="37">
        <v>0</v>
      </c>
      <c r="AK366" s="37">
        <v>0</v>
      </c>
      <c r="AL366" s="37">
        <v>0</v>
      </c>
      <c r="AM366" s="37">
        <v>0</v>
      </c>
      <c r="AN366" s="37">
        <v>0</v>
      </c>
      <c r="AO366" s="37">
        <v>0</v>
      </c>
      <c r="AP366" s="37">
        <v>0</v>
      </c>
      <c r="AQ366" s="37">
        <v>0</v>
      </c>
      <c r="AR366" s="37">
        <v>0</v>
      </c>
      <c r="AS366" s="59">
        <v>0</v>
      </c>
      <c r="AT366" s="59">
        <v>2600</v>
      </c>
      <c r="AU366" s="45"/>
      <c r="AV366" s="37">
        <v>0</v>
      </c>
      <c r="AW366" s="37">
        <v>0</v>
      </c>
      <c r="AX366" s="37">
        <v>0</v>
      </c>
      <c r="AY366" s="37">
        <v>0</v>
      </c>
      <c r="AZ366" s="37">
        <v>0</v>
      </c>
      <c r="BA366" s="37">
        <v>0</v>
      </c>
      <c r="BB366" s="37">
        <v>0</v>
      </c>
      <c r="BC366" s="37">
        <v>0</v>
      </c>
      <c r="BD366" s="37">
        <v>0</v>
      </c>
      <c r="BE366" s="37">
        <v>0</v>
      </c>
      <c r="BF366" s="37">
        <v>0</v>
      </c>
      <c r="BG366" s="37">
        <v>0</v>
      </c>
      <c r="BH366" s="37">
        <v>0</v>
      </c>
      <c r="BI366" s="37">
        <v>0</v>
      </c>
      <c r="BJ366" s="37">
        <v>0</v>
      </c>
      <c r="BK366" s="59">
        <v>0</v>
      </c>
      <c r="BL366" s="37">
        <v>0</v>
      </c>
      <c r="BM366" s="37">
        <v>0</v>
      </c>
      <c r="BN366" s="37">
        <v>0</v>
      </c>
      <c r="BO366" s="37">
        <v>0</v>
      </c>
      <c r="BP366" s="37">
        <v>0</v>
      </c>
      <c r="BQ366" s="37">
        <v>0</v>
      </c>
      <c r="BR366" s="37">
        <v>0</v>
      </c>
      <c r="BS366" s="37">
        <v>0</v>
      </c>
      <c r="BT366" s="37">
        <v>0</v>
      </c>
      <c r="BU366" s="37">
        <v>0</v>
      </c>
      <c r="BV366" s="37">
        <v>0</v>
      </c>
      <c r="BW366" s="59">
        <v>0</v>
      </c>
      <c r="BX366" s="59"/>
      <c r="BZ366" s="37">
        <v>0</v>
      </c>
      <c r="CA366" s="37">
        <v>0</v>
      </c>
      <c r="CB366" s="37">
        <v>800</v>
      </c>
      <c r="CC366" s="37">
        <v>1800</v>
      </c>
      <c r="CD366" s="37">
        <v>0</v>
      </c>
      <c r="CE366" s="37">
        <v>0</v>
      </c>
      <c r="CF366" s="37">
        <v>0</v>
      </c>
      <c r="CG366" s="59">
        <v>2600</v>
      </c>
      <c r="CH366" s="37">
        <v>0</v>
      </c>
      <c r="CI366" s="37">
        <v>0</v>
      </c>
      <c r="CJ366" s="37">
        <v>0</v>
      </c>
      <c r="CK366" s="37">
        <v>0</v>
      </c>
      <c r="CL366" s="37">
        <v>0</v>
      </c>
      <c r="CM366" s="37">
        <v>0</v>
      </c>
      <c r="CN366" s="59">
        <v>0</v>
      </c>
      <c r="CO366" s="59">
        <v>2600</v>
      </c>
      <c r="CP366" s="58"/>
      <c r="CQ366" s="3">
        <v>2600</v>
      </c>
    </row>
    <row r="367" spans="1:95" customFormat="1" x14ac:dyDescent="0.2">
      <c r="A367" s="209">
        <v>43333</v>
      </c>
      <c r="B367" s="33" t="s">
        <v>55</v>
      </c>
      <c r="C367" s="33" t="s">
        <v>56</v>
      </c>
      <c r="D367" s="43">
        <v>0</v>
      </c>
      <c r="E367" s="43">
        <v>0</v>
      </c>
      <c r="F367" s="43">
        <v>0</v>
      </c>
      <c r="G367" s="43">
        <v>0</v>
      </c>
      <c r="H367" s="43">
        <v>0</v>
      </c>
      <c r="I367" s="43">
        <v>0</v>
      </c>
      <c r="J367" s="43">
        <v>0</v>
      </c>
      <c r="K367" s="43">
        <v>0</v>
      </c>
      <c r="L367" s="43">
        <v>0</v>
      </c>
      <c r="M367" s="43">
        <v>0</v>
      </c>
      <c r="N367" s="43">
        <v>0</v>
      </c>
      <c r="O367" s="43">
        <v>0</v>
      </c>
      <c r="P367" s="4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2000</v>
      </c>
      <c r="W367" s="37">
        <v>0</v>
      </c>
      <c r="X367" s="37">
        <v>0</v>
      </c>
      <c r="Y367" s="37">
        <v>0</v>
      </c>
      <c r="Z367" s="37">
        <v>400</v>
      </c>
      <c r="AA367" s="37">
        <v>0</v>
      </c>
      <c r="AB367" s="37">
        <v>200</v>
      </c>
      <c r="AC367" s="37">
        <v>0</v>
      </c>
      <c r="AD367" s="37">
        <v>80</v>
      </c>
      <c r="AE367" s="37">
        <v>0</v>
      </c>
      <c r="AF367" s="37">
        <v>0</v>
      </c>
      <c r="AG367" s="59">
        <v>2680</v>
      </c>
      <c r="AH367" s="37">
        <v>0</v>
      </c>
      <c r="AI367" s="37">
        <v>0</v>
      </c>
      <c r="AJ367" s="37">
        <v>0</v>
      </c>
      <c r="AK367" s="37">
        <v>0</v>
      </c>
      <c r="AL367" s="37">
        <v>5</v>
      </c>
      <c r="AM367" s="37">
        <v>0</v>
      </c>
      <c r="AN367" s="37">
        <v>4</v>
      </c>
      <c r="AO367" s="37">
        <v>0</v>
      </c>
      <c r="AP367" s="37">
        <v>2</v>
      </c>
      <c r="AQ367" s="37">
        <v>0</v>
      </c>
      <c r="AR367" s="37">
        <v>0</v>
      </c>
      <c r="AS367" s="59">
        <v>11</v>
      </c>
      <c r="AT367" s="59">
        <v>2691</v>
      </c>
      <c r="AU367" s="45"/>
      <c r="AV367" s="37">
        <v>0</v>
      </c>
      <c r="AW367" s="37">
        <v>0</v>
      </c>
      <c r="AX367" s="37">
        <v>0</v>
      </c>
      <c r="AY367" s="37">
        <v>0</v>
      </c>
      <c r="AZ367" s="37">
        <v>0</v>
      </c>
      <c r="BA367" s="37">
        <v>0</v>
      </c>
      <c r="BB367" s="37">
        <v>0</v>
      </c>
      <c r="BC367" s="37">
        <v>0</v>
      </c>
      <c r="BD367" s="37">
        <v>0</v>
      </c>
      <c r="BE367" s="37">
        <v>0</v>
      </c>
      <c r="BF367" s="37">
        <v>0</v>
      </c>
      <c r="BG367" s="37">
        <v>0</v>
      </c>
      <c r="BH367" s="37">
        <v>0</v>
      </c>
      <c r="BI367" s="37">
        <v>0</v>
      </c>
      <c r="BJ367" s="37">
        <v>0</v>
      </c>
      <c r="BK367" s="59">
        <v>0</v>
      </c>
      <c r="BL367" s="37">
        <v>0</v>
      </c>
      <c r="BM367" s="37">
        <v>0</v>
      </c>
      <c r="BN367" s="37">
        <v>0</v>
      </c>
      <c r="BO367" s="37">
        <v>0</v>
      </c>
      <c r="BP367" s="37">
        <v>0</v>
      </c>
      <c r="BQ367" s="37">
        <v>0</v>
      </c>
      <c r="BR367" s="37">
        <v>0</v>
      </c>
      <c r="BS367" s="37">
        <v>0</v>
      </c>
      <c r="BT367" s="37">
        <v>0</v>
      </c>
      <c r="BU367" s="37">
        <v>0</v>
      </c>
      <c r="BV367" s="37">
        <v>0</v>
      </c>
      <c r="BW367" s="59">
        <v>0</v>
      </c>
      <c r="BX367" s="59">
        <v>0</v>
      </c>
      <c r="BZ367" s="37">
        <v>0</v>
      </c>
      <c r="CA367" s="37">
        <v>2000</v>
      </c>
      <c r="CB367" s="37">
        <v>0</v>
      </c>
      <c r="CC367" s="37">
        <v>400</v>
      </c>
      <c r="CD367" s="37">
        <v>200</v>
      </c>
      <c r="CE367" s="37">
        <v>80</v>
      </c>
      <c r="CF367" s="37">
        <v>0</v>
      </c>
      <c r="CG367" s="59">
        <v>2680</v>
      </c>
      <c r="CH367" s="37">
        <v>0</v>
      </c>
      <c r="CI367" s="37">
        <v>5</v>
      </c>
      <c r="CJ367" s="37">
        <v>4</v>
      </c>
      <c r="CK367" s="37">
        <v>2</v>
      </c>
      <c r="CL367" s="37">
        <v>0</v>
      </c>
      <c r="CM367" s="37">
        <v>0</v>
      </c>
      <c r="CN367" s="59">
        <v>11</v>
      </c>
      <c r="CO367" s="59">
        <v>2691</v>
      </c>
      <c r="CP367" s="58"/>
      <c r="CQ367" s="3">
        <v>2691</v>
      </c>
    </row>
    <row r="368" spans="1:95" customFormat="1" x14ac:dyDescent="0.2">
      <c r="A368" s="209">
        <v>43335</v>
      </c>
      <c r="B368" s="33" t="s">
        <v>55</v>
      </c>
      <c r="C368" s="33" t="s">
        <v>56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47">
        <v>0</v>
      </c>
      <c r="R368" s="37">
        <v>0</v>
      </c>
      <c r="S368" s="37">
        <v>0</v>
      </c>
      <c r="T368" s="37">
        <v>0</v>
      </c>
      <c r="U368" s="37">
        <v>0</v>
      </c>
      <c r="V368" s="37">
        <v>2000</v>
      </c>
      <c r="W368" s="37">
        <v>0</v>
      </c>
      <c r="X368" s="37">
        <v>800</v>
      </c>
      <c r="Y368" s="37">
        <v>0</v>
      </c>
      <c r="Z368" s="37">
        <v>400</v>
      </c>
      <c r="AA368" s="37">
        <v>0</v>
      </c>
      <c r="AB368" s="37">
        <v>200</v>
      </c>
      <c r="AC368" s="37">
        <v>0</v>
      </c>
      <c r="AD368" s="37">
        <v>80</v>
      </c>
      <c r="AE368" s="37">
        <v>0</v>
      </c>
      <c r="AF368" s="37">
        <v>0</v>
      </c>
      <c r="AG368" s="59">
        <v>3480</v>
      </c>
      <c r="AH368" s="37">
        <v>0</v>
      </c>
      <c r="AI368" s="37">
        <v>0</v>
      </c>
      <c r="AJ368" s="37">
        <v>0</v>
      </c>
      <c r="AK368" s="37">
        <v>0</v>
      </c>
      <c r="AL368" s="37">
        <v>0</v>
      </c>
      <c r="AM368" s="37">
        <v>0</v>
      </c>
      <c r="AN368" s="37">
        <v>0</v>
      </c>
      <c r="AO368" s="37">
        <v>0</v>
      </c>
      <c r="AP368" s="37">
        <v>0</v>
      </c>
      <c r="AQ368" s="37">
        <v>0</v>
      </c>
      <c r="AR368" s="37">
        <v>0</v>
      </c>
      <c r="AS368" s="59">
        <v>0</v>
      </c>
      <c r="AT368" s="59">
        <v>3480</v>
      </c>
      <c r="AU368" s="45"/>
      <c r="AV368" s="37">
        <v>0</v>
      </c>
      <c r="AW368" s="37">
        <v>0</v>
      </c>
      <c r="AX368" s="37">
        <v>0</v>
      </c>
      <c r="AY368" s="37">
        <v>0</v>
      </c>
      <c r="AZ368" s="37">
        <v>0</v>
      </c>
      <c r="BA368" s="37">
        <v>0</v>
      </c>
      <c r="BB368" s="37">
        <v>0</v>
      </c>
      <c r="BC368" s="37">
        <v>0</v>
      </c>
      <c r="BD368" s="37">
        <v>0</v>
      </c>
      <c r="BE368" s="37">
        <v>0</v>
      </c>
      <c r="BF368" s="37">
        <v>0</v>
      </c>
      <c r="BG368" s="37">
        <v>0</v>
      </c>
      <c r="BH368" s="37">
        <v>0</v>
      </c>
      <c r="BI368" s="37">
        <v>0</v>
      </c>
      <c r="BJ368" s="37">
        <v>0</v>
      </c>
      <c r="BK368" s="59">
        <v>0</v>
      </c>
      <c r="BL368" s="37">
        <v>0</v>
      </c>
      <c r="BM368" s="37">
        <v>0</v>
      </c>
      <c r="BN368" s="37">
        <v>0</v>
      </c>
      <c r="BO368" s="37">
        <v>0</v>
      </c>
      <c r="BP368" s="37">
        <v>0</v>
      </c>
      <c r="BQ368" s="37">
        <v>0</v>
      </c>
      <c r="BR368" s="37">
        <v>0</v>
      </c>
      <c r="BS368" s="37">
        <v>0</v>
      </c>
      <c r="BT368" s="37">
        <v>0</v>
      </c>
      <c r="BU368" s="37">
        <v>0</v>
      </c>
      <c r="BV368" s="37">
        <v>0</v>
      </c>
      <c r="BW368" s="59">
        <v>0</v>
      </c>
      <c r="BX368" s="59">
        <v>0</v>
      </c>
      <c r="BZ368" s="37">
        <v>0</v>
      </c>
      <c r="CA368" s="37">
        <v>2000</v>
      </c>
      <c r="CB368" s="37">
        <v>800</v>
      </c>
      <c r="CC368" s="37">
        <v>400</v>
      </c>
      <c r="CD368" s="37">
        <v>200</v>
      </c>
      <c r="CE368" s="37">
        <v>80</v>
      </c>
      <c r="CF368" s="37">
        <v>0</v>
      </c>
      <c r="CG368" s="59">
        <v>3480</v>
      </c>
      <c r="CH368" s="37">
        <v>0</v>
      </c>
      <c r="CI368" s="37">
        <v>0</v>
      </c>
      <c r="CJ368" s="37">
        <v>0</v>
      </c>
      <c r="CK368" s="37">
        <v>0</v>
      </c>
      <c r="CL368" s="37">
        <v>0</v>
      </c>
      <c r="CM368" s="37">
        <v>0</v>
      </c>
      <c r="CN368" s="59">
        <v>0</v>
      </c>
      <c r="CO368" s="59">
        <v>3480</v>
      </c>
      <c r="CP368" s="58"/>
      <c r="CQ368" s="3">
        <v>3480</v>
      </c>
    </row>
    <row r="369" spans="1:95" customFormat="1" x14ac:dyDescent="0.2">
      <c r="A369" s="209">
        <v>43335</v>
      </c>
      <c r="B369" s="33" t="s">
        <v>53</v>
      </c>
      <c r="C369" s="33" t="s">
        <v>57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0</v>
      </c>
      <c r="N369" s="43">
        <v>0</v>
      </c>
      <c r="O369" s="43">
        <v>0</v>
      </c>
      <c r="P369" s="47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8000</v>
      </c>
      <c r="W369" s="37">
        <v>0</v>
      </c>
      <c r="X369" s="37">
        <v>3200</v>
      </c>
      <c r="Y369" s="37">
        <v>0</v>
      </c>
      <c r="Z369" s="37">
        <v>1600</v>
      </c>
      <c r="AA369" s="37">
        <v>0</v>
      </c>
      <c r="AB369" s="37">
        <v>800</v>
      </c>
      <c r="AC369" s="37">
        <v>0</v>
      </c>
      <c r="AD369" s="37">
        <v>320</v>
      </c>
      <c r="AE369" s="37">
        <v>0</v>
      </c>
      <c r="AF369" s="37">
        <v>0</v>
      </c>
      <c r="AG369" s="59">
        <v>13920</v>
      </c>
      <c r="AH369" s="37">
        <v>0</v>
      </c>
      <c r="AI369" s="37">
        <v>0</v>
      </c>
      <c r="AJ369" s="37">
        <v>0</v>
      </c>
      <c r="AK369" s="37">
        <v>0</v>
      </c>
      <c r="AL369" s="37">
        <v>5</v>
      </c>
      <c r="AM369" s="37">
        <v>0</v>
      </c>
      <c r="AN369" s="37">
        <v>8</v>
      </c>
      <c r="AO369" s="37">
        <v>0</v>
      </c>
      <c r="AP369" s="37">
        <v>4</v>
      </c>
      <c r="AQ369" s="37">
        <v>0</v>
      </c>
      <c r="AR369" s="37">
        <v>0</v>
      </c>
      <c r="AS369" s="59">
        <v>17</v>
      </c>
      <c r="AT369" s="59">
        <v>13937</v>
      </c>
      <c r="AU369" s="45"/>
      <c r="AV369" s="37">
        <v>0</v>
      </c>
      <c r="AW369" s="37">
        <v>0</v>
      </c>
      <c r="AX369" s="37">
        <v>0</v>
      </c>
      <c r="AY369" s="37">
        <v>0</v>
      </c>
      <c r="AZ369" s="37">
        <v>0</v>
      </c>
      <c r="BA369" s="37">
        <v>0</v>
      </c>
      <c r="BB369" s="37">
        <v>0</v>
      </c>
      <c r="BC369" s="37">
        <v>0</v>
      </c>
      <c r="BD369" s="37">
        <v>0</v>
      </c>
      <c r="BE369" s="37">
        <v>0</v>
      </c>
      <c r="BF369" s="37">
        <v>0</v>
      </c>
      <c r="BG369" s="37">
        <v>0</v>
      </c>
      <c r="BH369" s="37">
        <v>0</v>
      </c>
      <c r="BI369" s="37">
        <v>0</v>
      </c>
      <c r="BJ369" s="37">
        <v>0</v>
      </c>
      <c r="BK369" s="59">
        <v>0</v>
      </c>
      <c r="BL369" s="37">
        <v>0</v>
      </c>
      <c r="BM369" s="37">
        <v>0</v>
      </c>
      <c r="BN369" s="37">
        <v>0</v>
      </c>
      <c r="BO369" s="37">
        <v>0</v>
      </c>
      <c r="BP369" s="37">
        <v>0</v>
      </c>
      <c r="BQ369" s="37">
        <v>0</v>
      </c>
      <c r="BR369" s="37">
        <v>0</v>
      </c>
      <c r="BS369" s="37">
        <v>0</v>
      </c>
      <c r="BT369" s="37">
        <v>0</v>
      </c>
      <c r="BU369" s="37">
        <v>0</v>
      </c>
      <c r="BV369" s="37">
        <v>0</v>
      </c>
      <c r="BW369" s="59">
        <v>0</v>
      </c>
      <c r="BX369" s="59">
        <v>0</v>
      </c>
      <c r="BZ369" s="37">
        <v>0</v>
      </c>
      <c r="CA369" s="37">
        <v>8000</v>
      </c>
      <c r="CB369" s="37">
        <v>3200</v>
      </c>
      <c r="CC369" s="37">
        <v>1600</v>
      </c>
      <c r="CD369" s="37">
        <v>800</v>
      </c>
      <c r="CE369" s="37">
        <v>320</v>
      </c>
      <c r="CF369" s="37">
        <v>0</v>
      </c>
      <c r="CG369" s="59">
        <v>13920</v>
      </c>
      <c r="CH369" s="37">
        <v>0</v>
      </c>
      <c r="CI369" s="37">
        <v>5</v>
      </c>
      <c r="CJ369" s="37">
        <v>8</v>
      </c>
      <c r="CK369" s="37">
        <v>4</v>
      </c>
      <c r="CL369" s="37">
        <v>0</v>
      </c>
      <c r="CM369" s="37">
        <v>0</v>
      </c>
      <c r="CN369" s="59">
        <v>17</v>
      </c>
      <c r="CO369" s="59">
        <v>13937</v>
      </c>
      <c r="CP369" s="58"/>
      <c r="CQ369" s="3">
        <v>13937</v>
      </c>
    </row>
    <row r="370" spans="1:95" customFormat="1" x14ac:dyDescent="0.2">
      <c r="A370" s="209">
        <v>43335</v>
      </c>
      <c r="B370" s="33" t="s">
        <v>53</v>
      </c>
      <c r="C370" s="33" t="s">
        <v>84</v>
      </c>
      <c r="D370" s="43">
        <v>0</v>
      </c>
      <c r="E370" s="43">
        <v>1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0</v>
      </c>
      <c r="L370" s="43">
        <v>0</v>
      </c>
      <c r="M370" s="43">
        <v>0</v>
      </c>
      <c r="N370" s="43">
        <v>0</v>
      </c>
      <c r="O370" s="43">
        <v>0</v>
      </c>
      <c r="P370" s="47" t="s">
        <v>45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37">
        <v>0</v>
      </c>
      <c r="AF370" s="37">
        <v>0</v>
      </c>
      <c r="AG370" s="59">
        <v>0</v>
      </c>
      <c r="AH370" s="37">
        <v>3750</v>
      </c>
      <c r="AI370" s="37">
        <v>0</v>
      </c>
      <c r="AJ370" s="37">
        <v>1250</v>
      </c>
      <c r="AK370" s="37">
        <v>0</v>
      </c>
      <c r="AL370" s="37">
        <v>0</v>
      </c>
      <c r="AM370" s="37">
        <v>0</v>
      </c>
      <c r="AN370" s="37">
        <v>0</v>
      </c>
      <c r="AO370" s="37">
        <v>0</v>
      </c>
      <c r="AP370" s="37">
        <v>0</v>
      </c>
      <c r="AQ370" s="37">
        <v>0</v>
      </c>
      <c r="AR370" s="37">
        <v>0</v>
      </c>
      <c r="AS370" s="59">
        <v>5000</v>
      </c>
      <c r="AT370" s="59">
        <v>5000</v>
      </c>
      <c r="AU370" s="45"/>
      <c r="AV370" s="37">
        <v>0</v>
      </c>
      <c r="AW370" s="37">
        <v>0</v>
      </c>
      <c r="AX370" s="37">
        <v>0</v>
      </c>
      <c r="AY370" s="37">
        <v>0</v>
      </c>
      <c r="AZ370" s="37">
        <v>0</v>
      </c>
      <c r="BA370" s="37">
        <v>0</v>
      </c>
      <c r="BB370" s="37">
        <v>0</v>
      </c>
      <c r="BC370" s="37">
        <v>0</v>
      </c>
      <c r="BD370" s="37">
        <v>0</v>
      </c>
      <c r="BE370" s="37">
        <v>0</v>
      </c>
      <c r="BF370" s="37">
        <v>0</v>
      </c>
      <c r="BG370" s="37">
        <v>0</v>
      </c>
      <c r="BH370" s="37">
        <v>0</v>
      </c>
      <c r="BI370" s="37">
        <v>0</v>
      </c>
      <c r="BJ370" s="37">
        <v>0</v>
      </c>
      <c r="BK370" s="59">
        <v>0</v>
      </c>
      <c r="BL370" s="37">
        <v>0</v>
      </c>
      <c r="BM370" s="37">
        <v>0</v>
      </c>
      <c r="BN370" s="37">
        <v>0</v>
      </c>
      <c r="BO370" s="37">
        <v>0</v>
      </c>
      <c r="BP370" s="37">
        <v>0</v>
      </c>
      <c r="BQ370" s="37">
        <v>0</v>
      </c>
      <c r="BR370" s="37">
        <v>0</v>
      </c>
      <c r="BS370" s="37">
        <v>0</v>
      </c>
      <c r="BT370" s="37">
        <v>0</v>
      </c>
      <c r="BU370" s="37">
        <v>0</v>
      </c>
      <c r="BV370" s="37">
        <v>0</v>
      </c>
      <c r="BW370" s="59">
        <v>0</v>
      </c>
      <c r="BX370" s="59">
        <v>0</v>
      </c>
      <c r="BZ370" s="37">
        <v>0</v>
      </c>
      <c r="CA370" s="37">
        <v>0</v>
      </c>
      <c r="CB370" s="37">
        <v>0</v>
      </c>
      <c r="CC370" s="37">
        <v>0</v>
      </c>
      <c r="CD370" s="37">
        <v>0</v>
      </c>
      <c r="CE370" s="37">
        <v>0</v>
      </c>
      <c r="CF370" s="37">
        <v>0</v>
      </c>
      <c r="CG370" s="59">
        <v>0</v>
      </c>
      <c r="CH370" s="37">
        <v>3750</v>
      </c>
      <c r="CI370" s="37">
        <v>1250</v>
      </c>
      <c r="CJ370" s="37">
        <v>0</v>
      </c>
      <c r="CK370" s="37">
        <v>0</v>
      </c>
      <c r="CL370" s="37">
        <v>0</v>
      </c>
      <c r="CM370" s="37">
        <v>0</v>
      </c>
      <c r="CN370" s="59">
        <v>5000</v>
      </c>
      <c r="CO370" s="59">
        <v>5000</v>
      </c>
      <c r="CP370" s="58"/>
      <c r="CQ370" s="3">
        <v>5000</v>
      </c>
    </row>
    <row r="371" spans="1:95" customFormat="1" x14ac:dyDescent="0.2">
      <c r="A371" s="209">
        <v>43335</v>
      </c>
      <c r="B371" s="33" t="s">
        <v>53</v>
      </c>
      <c r="C371" s="33" t="s">
        <v>140</v>
      </c>
      <c r="D371" s="43">
        <v>1</v>
      </c>
      <c r="E371" s="43">
        <v>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0</v>
      </c>
      <c r="M371" s="43">
        <v>0</v>
      </c>
      <c r="N371" s="43">
        <v>0</v>
      </c>
      <c r="O371" s="43">
        <v>0</v>
      </c>
      <c r="P371" s="47" t="s">
        <v>45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37">
        <v>0</v>
      </c>
      <c r="AF371" s="37">
        <v>0</v>
      </c>
      <c r="AG371" s="59">
        <v>0</v>
      </c>
      <c r="AH371" s="37">
        <v>0</v>
      </c>
      <c r="AI371" s="37">
        <v>0</v>
      </c>
      <c r="AJ371" s="37">
        <v>0</v>
      </c>
      <c r="AK371" s="37">
        <v>0</v>
      </c>
      <c r="AL371" s="37">
        <v>0</v>
      </c>
      <c r="AM371" s="37">
        <v>0</v>
      </c>
      <c r="AN371" s="37">
        <v>1000</v>
      </c>
      <c r="AO371" s="37">
        <v>0</v>
      </c>
      <c r="AP371" s="37">
        <v>400</v>
      </c>
      <c r="AQ371" s="37">
        <v>0</v>
      </c>
      <c r="AR371" s="37">
        <v>0</v>
      </c>
      <c r="AS371" s="59">
        <v>1400</v>
      </c>
      <c r="AT371" s="59">
        <v>1400</v>
      </c>
      <c r="AU371" s="45"/>
      <c r="AV371" s="37">
        <v>0</v>
      </c>
      <c r="AW371" s="37">
        <v>0</v>
      </c>
      <c r="AX371" s="37">
        <v>0</v>
      </c>
      <c r="AY371" s="37">
        <v>0</v>
      </c>
      <c r="AZ371" s="37">
        <v>0</v>
      </c>
      <c r="BA371" s="37">
        <v>0</v>
      </c>
      <c r="BB371" s="37">
        <v>0</v>
      </c>
      <c r="BC371" s="37">
        <v>0</v>
      </c>
      <c r="BD371" s="37">
        <v>0</v>
      </c>
      <c r="BE371" s="37">
        <v>0</v>
      </c>
      <c r="BF371" s="37">
        <v>0</v>
      </c>
      <c r="BG371" s="37">
        <v>0</v>
      </c>
      <c r="BH371" s="37">
        <v>0</v>
      </c>
      <c r="BI371" s="37">
        <v>0</v>
      </c>
      <c r="BJ371" s="37">
        <v>0</v>
      </c>
      <c r="BK371" s="59">
        <v>0</v>
      </c>
      <c r="BL371" s="37">
        <v>0</v>
      </c>
      <c r="BM371" s="37">
        <v>0</v>
      </c>
      <c r="BN371" s="37">
        <v>0</v>
      </c>
      <c r="BO371" s="37">
        <v>0</v>
      </c>
      <c r="BP371" s="37">
        <v>0</v>
      </c>
      <c r="BQ371" s="37">
        <v>0</v>
      </c>
      <c r="BR371" s="37">
        <v>0</v>
      </c>
      <c r="BS371" s="37">
        <v>0</v>
      </c>
      <c r="BT371" s="37">
        <v>0</v>
      </c>
      <c r="BU371" s="37">
        <v>0</v>
      </c>
      <c r="BV371" s="37">
        <v>0</v>
      </c>
      <c r="BW371" s="59">
        <v>0</v>
      </c>
      <c r="BX371" s="59">
        <v>0</v>
      </c>
      <c r="BZ371" s="37">
        <v>0</v>
      </c>
      <c r="CA371" s="37">
        <v>0</v>
      </c>
      <c r="CB371" s="37">
        <v>0</v>
      </c>
      <c r="CC371" s="37">
        <v>0</v>
      </c>
      <c r="CD371" s="37">
        <v>0</v>
      </c>
      <c r="CE371" s="37">
        <v>0</v>
      </c>
      <c r="CF371" s="37">
        <v>0</v>
      </c>
      <c r="CG371" s="59">
        <v>0</v>
      </c>
      <c r="CH371" s="37">
        <v>0</v>
      </c>
      <c r="CI371" s="37">
        <v>0</v>
      </c>
      <c r="CJ371" s="37">
        <v>1000</v>
      </c>
      <c r="CK371" s="37">
        <v>400</v>
      </c>
      <c r="CL371" s="37">
        <v>0</v>
      </c>
      <c r="CM371" s="37">
        <v>0</v>
      </c>
      <c r="CN371" s="59">
        <v>1400</v>
      </c>
      <c r="CO371" s="59">
        <v>1400</v>
      </c>
      <c r="CP371" s="58"/>
      <c r="CQ371" s="3">
        <v>1400</v>
      </c>
    </row>
    <row r="372" spans="1:95" customFormat="1" x14ac:dyDescent="0.2">
      <c r="A372" s="209">
        <v>43335</v>
      </c>
      <c r="B372" s="33" t="s">
        <v>66</v>
      </c>
      <c r="C372" s="33" t="s">
        <v>65</v>
      </c>
      <c r="D372" s="43">
        <v>0</v>
      </c>
      <c r="E372" s="43">
        <v>0</v>
      </c>
      <c r="F372" s="43">
        <v>0</v>
      </c>
      <c r="G372" s="43">
        <v>0</v>
      </c>
      <c r="H372" s="43">
        <v>0</v>
      </c>
      <c r="I372" s="43">
        <v>1</v>
      </c>
      <c r="J372" s="43">
        <v>0</v>
      </c>
      <c r="K372" s="43">
        <v>0</v>
      </c>
      <c r="L372" s="43">
        <v>0</v>
      </c>
      <c r="M372" s="43">
        <v>0</v>
      </c>
      <c r="N372" s="43">
        <v>0</v>
      </c>
      <c r="O372" s="43">
        <v>0</v>
      </c>
      <c r="P372" s="47" t="s">
        <v>45</v>
      </c>
      <c r="R372" s="37">
        <v>0</v>
      </c>
      <c r="S372" s="37">
        <v>0</v>
      </c>
      <c r="T372" s="37">
        <v>0</v>
      </c>
      <c r="U372" s="37">
        <v>0</v>
      </c>
      <c r="V372" s="37">
        <v>1000000</v>
      </c>
      <c r="W372" s="37">
        <v>0</v>
      </c>
      <c r="X372" s="37">
        <v>0</v>
      </c>
      <c r="Y372" s="37">
        <v>0</v>
      </c>
      <c r="Z372" s="37">
        <v>140000</v>
      </c>
      <c r="AA372" s="37">
        <v>0</v>
      </c>
      <c r="AB372" s="37">
        <v>60000</v>
      </c>
      <c r="AC372" s="37">
        <v>0</v>
      </c>
      <c r="AD372" s="37">
        <v>20000</v>
      </c>
      <c r="AE372" s="37">
        <v>0</v>
      </c>
      <c r="AF372" s="37">
        <v>0</v>
      </c>
      <c r="AG372" s="59">
        <v>1220000</v>
      </c>
      <c r="AH372" s="37">
        <v>2750</v>
      </c>
      <c r="AI372" s="37">
        <v>0</v>
      </c>
      <c r="AJ372" s="37">
        <v>1250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59">
        <v>4000</v>
      </c>
      <c r="AT372" s="59">
        <v>1224000</v>
      </c>
      <c r="AU372" s="45"/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>
        <v>0</v>
      </c>
      <c r="BB372" s="37">
        <v>0</v>
      </c>
      <c r="BC372" s="37">
        <v>0</v>
      </c>
      <c r="BD372" s="37">
        <v>0</v>
      </c>
      <c r="BE372" s="37">
        <v>0</v>
      </c>
      <c r="BF372" s="37">
        <v>0</v>
      </c>
      <c r="BG372" s="37">
        <v>0</v>
      </c>
      <c r="BH372" s="37">
        <v>0</v>
      </c>
      <c r="BI372" s="37">
        <v>0</v>
      </c>
      <c r="BJ372" s="37">
        <v>0</v>
      </c>
      <c r="BK372" s="59">
        <v>0</v>
      </c>
      <c r="BL372" s="37">
        <v>0</v>
      </c>
      <c r="BM372" s="37">
        <v>0</v>
      </c>
      <c r="BN372" s="37">
        <v>0</v>
      </c>
      <c r="BO372" s="37">
        <v>0</v>
      </c>
      <c r="BP372" s="37">
        <v>0</v>
      </c>
      <c r="BQ372" s="37">
        <v>0</v>
      </c>
      <c r="BR372" s="37">
        <v>0</v>
      </c>
      <c r="BS372" s="37">
        <v>0</v>
      </c>
      <c r="BT372" s="37">
        <v>0</v>
      </c>
      <c r="BU372" s="37">
        <v>0</v>
      </c>
      <c r="BV372" s="37">
        <v>0</v>
      </c>
      <c r="BW372" s="59">
        <v>0</v>
      </c>
      <c r="BX372" s="59">
        <v>0</v>
      </c>
      <c r="BZ372" s="37">
        <v>0</v>
      </c>
      <c r="CA372" s="37">
        <v>1000000</v>
      </c>
      <c r="CB372" s="37">
        <v>0</v>
      </c>
      <c r="CC372" s="37">
        <v>140000</v>
      </c>
      <c r="CD372" s="37">
        <v>60000</v>
      </c>
      <c r="CE372" s="37">
        <v>20000</v>
      </c>
      <c r="CF372" s="37">
        <v>0</v>
      </c>
      <c r="CG372" s="59">
        <v>1220000</v>
      </c>
      <c r="CH372" s="37">
        <v>2750</v>
      </c>
      <c r="CI372" s="37">
        <v>1250</v>
      </c>
      <c r="CJ372" s="37">
        <v>0</v>
      </c>
      <c r="CK372" s="37">
        <v>0</v>
      </c>
      <c r="CL372" s="37">
        <v>0</v>
      </c>
      <c r="CM372" s="37">
        <v>0</v>
      </c>
      <c r="CN372" s="59">
        <v>4000</v>
      </c>
      <c r="CO372" s="59">
        <v>1224000</v>
      </c>
      <c r="CP372" s="58"/>
      <c r="CQ372" s="3">
        <v>1224000</v>
      </c>
    </row>
    <row r="373" spans="1:95" customFormat="1" x14ac:dyDescent="0.2">
      <c r="A373" s="209">
        <v>43335</v>
      </c>
      <c r="B373" s="33" t="s">
        <v>83</v>
      </c>
      <c r="C373" s="33" t="s">
        <v>76</v>
      </c>
      <c r="D373" s="43">
        <v>0</v>
      </c>
      <c r="E373" s="43">
        <v>1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3">
        <v>0</v>
      </c>
      <c r="M373" s="43">
        <v>0</v>
      </c>
      <c r="N373" s="43">
        <v>0</v>
      </c>
      <c r="O373" s="43">
        <v>0</v>
      </c>
      <c r="P373" s="47" t="s">
        <v>45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100000</v>
      </c>
      <c r="AA373" s="37">
        <v>0</v>
      </c>
      <c r="AB373" s="37">
        <v>50000</v>
      </c>
      <c r="AC373" s="37">
        <v>0</v>
      </c>
      <c r="AD373" s="37">
        <v>0</v>
      </c>
      <c r="AE373" s="37">
        <v>0</v>
      </c>
      <c r="AF373" s="37">
        <v>0</v>
      </c>
      <c r="AG373" s="59">
        <v>150000</v>
      </c>
      <c r="AH373" s="37">
        <v>0</v>
      </c>
      <c r="AI373" s="37">
        <v>0</v>
      </c>
      <c r="AJ373" s="37">
        <v>0</v>
      </c>
      <c r="AK373" s="37">
        <v>0</v>
      </c>
      <c r="AL373" s="37">
        <v>0</v>
      </c>
      <c r="AM373" s="37">
        <v>0</v>
      </c>
      <c r="AN373" s="37">
        <v>0</v>
      </c>
      <c r="AO373" s="37">
        <v>0</v>
      </c>
      <c r="AP373" s="37">
        <v>0</v>
      </c>
      <c r="AQ373" s="37">
        <v>0</v>
      </c>
      <c r="AR373" s="37">
        <v>0</v>
      </c>
      <c r="AS373" s="59">
        <v>0</v>
      </c>
      <c r="AT373" s="59">
        <v>150000</v>
      </c>
      <c r="AU373" s="45"/>
      <c r="AV373" s="37">
        <v>0</v>
      </c>
      <c r="AW373" s="37">
        <v>0</v>
      </c>
      <c r="AX373" s="37">
        <v>0</v>
      </c>
      <c r="AY373" s="37">
        <v>0</v>
      </c>
      <c r="AZ373" s="37">
        <v>0</v>
      </c>
      <c r="BA373" s="37">
        <v>0</v>
      </c>
      <c r="BB373" s="37">
        <v>0</v>
      </c>
      <c r="BC373" s="37">
        <v>0</v>
      </c>
      <c r="BD373" s="37">
        <v>0</v>
      </c>
      <c r="BE373" s="37">
        <v>0</v>
      </c>
      <c r="BF373" s="37">
        <v>0</v>
      </c>
      <c r="BG373" s="37">
        <v>0</v>
      </c>
      <c r="BH373" s="37">
        <v>0</v>
      </c>
      <c r="BI373" s="37">
        <v>0</v>
      </c>
      <c r="BJ373" s="37">
        <v>0</v>
      </c>
      <c r="BK373" s="59">
        <v>0</v>
      </c>
      <c r="BL373" s="37">
        <v>0</v>
      </c>
      <c r="BM373" s="37">
        <v>0</v>
      </c>
      <c r="BN373" s="37">
        <v>0</v>
      </c>
      <c r="BO373" s="37">
        <v>0</v>
      </c>
      <c r="BP373" s="37">
        <v>0</v>
      </c>
      <c r="BQ373" s="37">
        <v>0</v>
      </c>
      <c r="BR373" s="37">
        <v>0</v>
      </c>
      <c r="BS373" s="37">
        <v>0</v>
      </c>
      <c r="BT373" s="37">
        <v>0</v>
      </c>
      <c r="BU373" s="37">
        <v>0</v>
      </c>
      <c r="BV373" s="37">
        <v>0</v>
      </c>
      <c r="BW373" s="59">
        <v>0</v>
      </c>
      <c r="BX373" s="59">
        <v>0</v>
      </c>
      <c r="BZ373" s="37">
        <v>0</v>
      </c>
      <c r="CA373" s="37">
        <v>0</v>
      </c>
      <c r="CB373" s="37">
        <v>0</v>
      </c>
      <c r="CC373" s="37">
        <v>100000</v>
      </c>
      <c r="CD373" s="37">
        <v>50000</v>
      </c>
      <c r="CE373" s="37">
        <v>0</v>
      </c>
      <c r="CF373" s="37">
        <v>0</v>
      </c>
      <c r="CG373" s="59">
        <v>150000</v>
      </c>
      <c r="CH373" s="37">
        <v>0</v>
      </c>
      <c r="CI373" s="37">
        <v>0</v>
      </c>
      <c r="CJ373" s="37">
        <v>0</v>
      </c>
      <c r="CK373" s="37">
        <v>0</v>
      </c>
      <c r="CL373" s="37">
        <v>0</v>
      </c>
      <c r="CM373" s="37">
        <v>0</v>
      </c>
      <c r="CN373" s="59">
        <v>0</v>
      </c>
      <c r="CO373" s="59">
        <v>150000</v>
      </c>
      <c r="CP373" s="58"/>
      <c r="CQ373" s="3">
        <v>150000</v>
      </c>
    </row>
    <row r="374" spans="1:95" customFormat="1" x14ac:dyDescent="0.2">
      <c r="A374" s="209">
        <v>43336</v>
      </c>
      <c r="B374" s="33" t="s">
        <v>55</v>
      </c>
      <c r="C374" s="33" t="s">
        <v>56</v>
      </c>
      <c r="D374" s="43">
        <v>0</v>
      </c>
      <c r="E374" s="43">
        <v>0</v>
      </c>
      <c r="F374" s="43">
        <v>0</v>
      </c>
      <c r="G374" s="43">
        <v>0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0</v>
      </c>
      <c r="O374" s="43">
        <v>0</v>
      </c>
      <c r="P374" s="47">
        <v>0</v>
      </c>
      <c r="R374" s="37">
        <v>0</v>
      </c>
      <c r="S374" s="37">
        <v>0</v>
      </c>
      <c r="T374" s="37">
        <v>0</v>
      </c>
      <c r="U374" s="37">
        <v>0</v>
      </c>
      <c r="V374" s="37">
        <v>2000</v>
      </c>
      <c r="W374" s="37">
        <v>0</v>
      </c>
      <c r="X374" s="37">
        <v>800</v>
      </c>
      <c r="Y374" s="37">
        <v>0</v>
      </c>
      <c r="Z374" s="37">
        <v>400</v>
      </c>
      <c r="AA374" s="37">
        <v>0</v>
      </c>
      <c r="AB374" s="37">
        <v>200</v>
      </c>
      <c r="AC374" s="37">
        <v>0</v>
      </c>
      <c r="AD374" s="37">
        <v>80</v>
      </c>
      <c r="AE374" s="37">
        <v>0</v>
      </c>
      <c r="AF374" s="37">
        <v>0</v>
      </c>
      <c r="AG374" s="59">
        <v>3480</v>
      </c>
      <c r="AH374" s="37">
        <v>0</v>
      </c>
      <c r="AI374" s="37">
        <v>0</v>
      </c>
      <c r="AJ374" s="37">
        <v>0</v>
      </c>
      <c r="AK374" s="37">
        <v>0</v>
      </c>
      <c r="AL374" s="37">
        <v>0</v>
      </c>
      <c r="AM374" s="37">
        <v>0</v>
      </c>
      <c r="AN374" s="37">
        <v>4</v>
      </c>
      <c r="AO374" s="37">
        <v>0</v>
      </c>
      <c r="AP374" s="37">
        <v>2</v>
      </c>
      <c r="AQ374" s="37">
        <v>0</v>
      </c>
      <c r="AR374" s="37">
        <v>0</v>
      </c>
      <c r="AS374" s="59">
        <v>6</v>
      </c>
      <c r="AT374" s="59">
        <v>3486</v>
      </c>
      <c r="AU374" s="45"/>
      <c r="AV374" s="37">
        <v>0</v>
      </c>
      <c r="AW374" s="37">
        <v>0</v>
      </c>
      <c r="AX374" s="37">
        <v>0</v>
      </c>
      <c r="AY374" s="37">
        <v>0</v>
      </c>
      <c r="AZ374" s="37">
        <v>0</v>
      </c>
      <c r="BA374" s="37">
        <v>0</v>
      </c>
      <c r="BB374" s="37">
        <v>0</v>
      </c>
      <c r="BC374" s="37">
        <v>0</v>
      </c>
      <c r="BD374" s="37">
        <v>0</v>
      </c>
      <c r="BE374" s="37">
        <v>0</v>
      </c>
      <c r="BF374" s="37">
        <v>0</v>
      </c>
      <c r="BG374" s="37">
        <v>0</v>
      </c>
      <c r="BH374" s="37">
        <v>0</v>
      </c>
      <c r="BI374" s="37">
        <v>0</v>
      </c>
      <c r="BJ374" s="37">
        <v>0</v>
      </c>
      <c r="BK374" s="59">
        <v>0</v>
      </c>
      <c r="BL374" s="37">
        <v>0</v>
      </c>
      <c r="BM374" s="37">
        <v>0</v>
      </c>
      <c r="BN374" s="37">
        <v>0</v>
      </c>
      <c r="BO374" s="37">
        <v>0</v>
      </c>
      <c r="BP374" s="37">
        <v>0</v>
      </c>
      <c r="BQ374" s="37">
        <v>0</v>
      </c>
      <c r="BR374" s="37">
        <v>0</v>
      </c>
      <c r="BS374" s="37">
        <v>0</v>
      </c>
      <c r="BT374" s="37">
        <v>0</v>
      </c>
      <c r="BU374" s="37">
        <v>0</v>
      </c>
      <c r="BV374" s="37">
        <v>0</v>
      </c>
      <c r="BW374" s="59">
        <v>0</v>
      </c>
      <c r="BX374" s="59">
        <v>0</v>
      </c>
      <c r="BZ374" s="37">
        <v>0</v>
      </c>
      <c r="CA374" s="37">
        <v>2000</v>
      </c>
      <c r="CB374" s="37">
        <v>800</v>
      </c>
      <c r="CC374" s="37">
        <v>400</v>
      </c>
      <c r="CD374" s="37">
        <v>200</v>
      </c>
      <c r="CE374" s="37">
        <v>80</v>
      </c>
      <c r="CF374" s="37">
        <v>0</v>
      </c>
      <c r="CG374" s="59">
        <v>3480</v>
      </c>
      <c r="CH374" s="37">
        <v>0</v>
      </c>
      <c r="CI374" s="37">
        <v>0</v>
      </c>
      <c r="CJ374" s="37">
        <v>4</v>
      </c>
      <c r="CK374" s="37">
        <v>2</v>
      </c>
      <c r="CL374" s="37">
        <v>0</v>
      </c>
      <c r="CM374" s="37">
        <v>0</v>
      </c>
      <c r="CN374" s="59">
        <v>6</v>
      </c>
      <c r="CO374" s="59">
        <v>3486</v>
      </c>
      <c r="CP374" s="58"/>
      <c r="CQ374" s="3">
        <v>3486</v>
      </c>
    </row>
    <row r="375" spans="1:95" customFormat="1" x14ac:dyDescent="0.2">
      <c r="A375" s="209">
        <v>43336</v>
      </c>
      <c r="B375" s="33" t="s">
        <v>62</v>
      </c>
      <c r="C375" s="33" t="s">
        <v>90</v>
      </c>
      <c r="D375" s="43">
        <v>0</v>
      </c>
      <c r="E375" s="43">
        <v>0</v>
      </c>
      <c r="F375" s="43">
        <v>0</v>
      </c>
      <c r="G375" s="43">
        <v>0</v>
      </c>
      <c r="H375" s="43">
        <v>0</v>
      </c>
      <c r="I375" s="43">
        <v>1</v>
      </c>
      <c r="J375" s="43">
        <v>0</v>
      </c>
      <c r="K375" s="43">
        <v>0</v>
      </c>
      <c r="L375" s="43">
        <v>0</v>
      </c>
      <c r="M375" s="43">
        <v>0</v>
      </c>
      <c r="N375" s="43">
        <v>0</v>
      </c>
      <c r="O375" s="43">
        <v>0</v>
      </c>
      <c r="P375" s="47" t="s">
        <v>45</v>
      </c>
      <c r="R375" s="37">
        <v>0</v>
      </c>
      <c r="S375" s="37">
        <v>0</v>
      </c>
      <c r="T375" s="37">
        <v>0</v>
      </c>
      <c r="U375" s="37">
        <v>0</v>
      </c>
      <c r="V375" s="37">
        <v>1650000</v>
      </c>
      <c r="W375" s="37">
        <v>0</v>
      </c>
      <c r="X375" s="37">
        <v>0</v>
      </c>
      <c r="Y375" s="37">
        <v>0</v>
      </c>
      <c r="Z375" s="37">
        <v>100000</v>
      </c>
      <c r="AA375" s="37">
        <v>0</v>
      </c>
      <c r="AB375" s="37">
        <v>30000</v>
      </c>
      <c r="AC375" s="37">
        <v>0</v>
      </c>
      <c r="AD375" s="37">
        <v>12000</v>
      </c>
      <c r="AE375" s="37">
        <v>0</v>
      </c>
      <c r="AF375" s="37">
        <v>0</v>
      </c>
      <c r="AG375" s="59">
        <v>1792000</v>
      </c>
      <c r="AH375" s="37">
        <v>2000</v>
      </c>
      <c r="AI375" s="37">
        <v>0</v>
      </c>
      <c r="AJ375" s="37">
        <v>1250</v>
      </c>
      <c r="AK375" s="37">
        <v>0</v>
      </c>
      <c r="AL375" s="37">
        <v>0</v>
      </c>
      <c r="AM375" s="37">
        <v>0</v>
      </c>
      <c r="AN375" s="37">
        <v>200</v>
      </c>
      <c r="AO375" s="37">
        <v>0</v>
      </c>
      <c r="AP375" s="37">
        <v>100</v>
      </c>
      <c r="AQ375" s="37">
        <v>0</v>
      </c>
      <c r="AR375" s="37">
        <v>0</v>
      </c>
      <c r="AS375" s="59">
        <v>3550</v>
      </c>
      <c r="AT375" s="59">
        <v>1795550</v>
      </c>
      <c r="AU375" s="45"/>
      <c r="AV375" s="37">
        <v>0</v>
      </c>
      <c r="AW375" s="37">
        <v>0</v>
      </c>
      <c r="AX375" s="37">
        <v>0</v>
      </c>
      <c r="AY375" s="37">
        <v>0</v>
      </c>
      <c r="AZ375" s="37">
        <v>0</v>
      </c>
      <c r="BA375" s="37">
        <v>0</v>
      </c>
      <c r="BB375" s="37">
        <v>0</v>
      </c>
      <c r="BC375" s="37">
        <v>0</v>
      </c>
      <c r="BD375" s="37">
        <v>0</v>
      </c>
      <c r="BE375" s="37">
        <v>0</v>
      </c>
      <c r="BF375" s="37">
        <v>0</v>
      </c>
      <c r="BG375" s="37">
        <v>0</v>
      </c>
      <c r="BH375" s="37">
        <v>0</v>
      </c>
      <c r="BI375" s="37">
        <v>0</v>
      </c>
      <c r="BJ375" s="37">
        <v>0</v>
      </c>
      <c r="BK375" s="59">
        <v>0</v>
      </c>
      <c r="BL375" s="37">
        <v>0</v>
      </c>
      <c r="BM375" s="37">
        <v>0</v>
      </c>
      <c r="BN375" s="37">
        <v>0</v>
      </c>
      <c r="BO375" s="37">
        <v>0</v>
      </c>
      <c r="BP375" s="37">
        <v>0</v>
      </c>
      <c r="BQ375" s="37">
        <v>0</v>
      </c>
      <c r="BR375" s="37">
        <v>0</v>
      </c>
      <c r="BS375" s="37">
        <v>0</v>
      </c>
      <c r="BT375" s="37">
        <v>0</v>
      </c>
      <c r="BU375" s="37">
        <v>0</v>
      </c>
      <c r="BV375" s="37">
        <v>0</v>
      </c>
      <c r="BW375" s="59">
        <v>0</v>
      </c>
      <c r="BX375" s="59">
        <v>0</v>
      </c>
      <c r="BZ375" s="37">
        <v>0</v>
      </c>
      <c r="CA375" s="37">
        <v>1650000</v>
      </c>
      <c r="CB375" s="37">
        <v>0</v>
      </c>
      <c r="CC375" s="37">
        <v>100000</v>
      </c>
      <c r="CD375" s="37">
        <v>30000</v>
      </c>
      <c r="CE375" s="37">
        <v>12000</v>
      </c>
      <c r="CF375" s="37">
        <v>0</v>
      </c>
      <c r="CG375" s="59">
        <v>1792000</v>
      </c>
      <c r="CH375" s="37">
        <v>2000</v>
      </c>
      <c r="CI375" s="37">
        <v>1250</v>
      </c>
      <c r="CJ375" s="37">
        <v>200</v>
      </c>
      <c r="CK375" s="37">
        <v>100</v>
      </c>
      <c r="CL375" s="37">
        <v>0</v>
      </c>
      <c r="CM375" s="37">
        <v>0</v>
      </c>
      <c r="CN375" s="59">
        <v>3550</v>
      </c>
      <c r="CO375" s="59">
        <v>1795550</v>
      </c>
      <c r="CP375" s="58"/>
      <c r="CQ375" s="3">
        <v>1795550</v>
      </c>
    </row>
    <row r="376" spans="1:95" customFormat="1" x14ac:dyDescent="0.2">
      <c r="A376" s="209">
        <v>43336</v>
      </c>
      <c r="B376" s="33" t="s">
        <v>81</v>
      </c>
      <c r="C376" s="33" t="s">
        <v>117</v>
      </c>
      <c r="D376" s="43">
        <v>0</v>
      </c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1</v>
      </c>
      <c r="L376" s="43">
        <v>0</v>
      </c>
      <c r="M376" s="43">
        <v>0</v>
      </c>
      <c r="N376" s="43">
        <v>0</v>
      </c>
      <c r="O376" s="43">
        <v>0</v>
      </c>
      <c r="P376" s="47" t="s">
        <v>45</v>
      </c>
      <c r="R376" s="37">
        <v>0</v>
      </c>
      <c r="S376" s="37">
        <v>0</v>
      </c>
      <c r="T376" s="37">
        <v>0</v>
      </c>
      <c r="U376" s="37">
        <v>0</v>
      </c>
      <c r="V376" s="37">
        <v>1000000</v>
      </c>
      <c r="W376" s="37">
        <v>0</v>
      </c>
      <c r="X376" s="37">
        <v>0</v>
      </c>
      <c r="Y376" s="37">
        <v>0</v>
      </c>
      <c r="Z376" s="37">
        <v>50000</v>
      </c>
      <c r="AA376" s="37">
        <v>0</v>
      </c>
      <c r="AB376" s="37">
        <v>10000</v>
      </c>
      <c r="AC376" s="37">
        <v>0</v>
      </c>
      <c r="AD376" s="37">
        <v>0</v>
      </c>
      <c r="AE376" s="37">
        <v>0</v>
      </c>
      <c r="AF376" s="37">
        <v>0</v>
      </c>
      <c r="AG376" s="59">
        <v>1060000</v>
      </c>
      <c r="AH376" s="37">
        <v>3000</v>
      </c>
      <c r="AI376" s="37">
        <v>0</v>
      </c>
      <c r="AJ376" s="37">
        <v>1500</v>
      </c>
      <c r="AK376" s="37">
        <v>0</v>
      </c>
      <c r="AL376" s="37">
        <v>0</v>
      </c>
      <c r="AM376" s="37">
        <v>0</v>
      </c>
      <c r="AN376" s="37">
        <v>200</v>
      </c>
      <c r="AO376" s="37">
        <v>0</v>
      </c>
      <c r="AP376" s="37">
        <v>100</v>
      </c>
      <c r="AQ376" s="37">
        <v>0</v>
      </c>
      <c r="AR376" s="37">
        <v>0</v>
      </c>
      <c r="AS376" s="59">
        <v>4800</v>
      </c>
      <c r="AT376" s="59">
        <v>1064800</v>
      </c>
      <c r="AU376" s="45"/>
      <c r="AV376" s="37">
        <v>0</v>
      </c>
      <c r="AW376" s="37">
        <v>0</v>
      </c>
      <c r="AX376" s="37">
        <v>0</v>
      </c>
      <c r="AY376" s="37">
        <v>0</v>
      </c>
      <c r="AZ376" s="37">
        <v>0</v>
      </c>
      <c r="BA376" s="37">
        <v>0</v>
      </c>
      <c r="BB376" s="37">
        <v>0</v>
      </c>
      <c r="BC376" s="37">
        <v>0</v>
      </c>
      <c r="BD376" s="37">
        <v>0</v>
      </c>
      <c r="BE376" s="37">
        <v>0</v>
      </c>
      <c r="BF376" s="37">
        <v>0</v>
      </c>
      <c r="BG376" s="37">
        <v>0</v>
      </c>
      <c r="BH376" s="37">
        <v>0</v>
      </c>
      <c r="BI376" s="37">
        <v>0</v>
      </c>
      <c r="BJ376" s="37">
        <v>0</v>
      </c>
      <c r="BK376" s="59">
        <v>0</v>
      </c>
      <c r="BL376" s="37">
        <v>0</v>
      </c>
      <c r="BM376" s="37">
        <v>0</v>
      </c>
      <c r="BN376" s="37">
        <v>0</v>
      </c>
      <c r="BO376" s="37">
        <v>0</v>
      </c>
      <c r="BP376" s="37">
        <v>0</v>
      </c>
      <c r="BQ376" s="37">
        <v>0</v>
      </c>
      <c r="BR376" s="37">
        <v>0</v>
      </c>
      <c r="BS376" s="37">
        <v>0</v>
      </c>
      <c r="BT376" s="37">
        <v>0</v>
      </c>
      <c r="BU376" s="37">
        <v>0</v>
      </c>
      <c r="BV376" s="37">
        <v>0</v>
      </c>
      <c r="BW376" s="59">
        <v>0</v>
      </c>
      <c r="BX376" s="59">
        <v>0</v>
      </c>
      <c r="BZ376" s="37">
        <v>0</v>
      </c>
      <c r="CA376" s="37">
        <v>1000000</v>
      </c>
      <c r="CB376" s="37">
        <v>0</v>
      </c>
      <c r="CC376" s="37">
        <v>50000</v>
      </c>
      <c r="CD376" s="37">
        <v>10000</v>
      </c>
      <c r="CE376" s="37">
        <v>0</v>
      </c>
      <c r="CF376" s="37">
        <v>0</v>
      </c>
      <c r="CG376" s="59">
        <v>1060000</v>
      </c>
      <c r="CH376" s="37">
        <v>3000</v>
      </c>
      <c r="CI376" s="37">
        <v>1500</v>
      </c>
      <c r="CJ376" s="37">
        <v>200</v>
      </c>
      <c r="CK376" s="37">
        <v>100</v>
      </c>
      <c r="CL376" s="37">
        <v>0</v>
      </c>
      <c r="CM376" s="37">
        <v>0</v>
      </c>
      <c r="CN376" s="59">
        <v>4800</v>
      </c>
      <c r="CO376" s="59">
        <v>1064800</v>
      </c>
      <c r="CP376" s="58"/>
      <c r="CQ376" s="3">
        <v>1064800</v>
      </c>
    </row>
    <row r="377" spans="1:95" customFormat="1" x14ac:dyDescent="0.2">
      <c r="A377" s="209">
        <v>43339</v>
      </c>
      <c r="B377" s="33" t="s">
        <v>55</v>
      </c>
      <c r="C377" s="33" t="s">
        <v>56</v>
      </c>
      <c r="D377" s="43">
        <v>0</v>
      </c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0</v>
      </c>
      <c r="M377" s="43">
        <v>0</v>
      </c>
      <c r="N377" s="43">
        <v>0</v>
      </c>
      <c r="O377" s="43">
        <v>0</v>
      </c>
      <c r="P377" s="47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2000</v>
      </c>
      <c r="W377" s="37">
        <v>0</v>
      </c>
      <c r="X377" s="37">
        <v>800</v>
      </c>
      <c r="Y377" s="37">
        <v>0</v>
      </c>
      <c r="Z377" s="37">
        <v>400</v>
      </c>
      <c r="AA377" s="37">
        <v>0</v>
      </c>
      <c r="AB377" s="37">
        <v>200</v>
      </c>
      <c r="AC377" s="37">
        <v>0</v>
      </c>
      <c r="AD377" s="37">
        <v>80</v>
      </c>
      <c r="AE377" s="37">
        <v>0</v>
      </c>
      <c r="AF377" s="37">
        <v>0</v>
      </c>
      <c r="AG377" s="59">
        <v>3480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37">
        <v>0</v>
      </c>
      <c r="AN377" s="37">
        <v>0</v>
      </c>
      <c r="AO377" s="37">
        <v>0</v>
      </c>
      <c r="AP377" s="37">
        <v>0</v>
      </c>
      <c r="AQ377" s="37">
        <v>0</v>
      </c>
      <c r="AR377" s="37">
        <v>0</v>
      </c>
      <c r="AS377" s="59">
        <v>0</v>
      </c>
      <c r="AT377" s="59">
        <v>3480</v>
      </c>
      <c r="AU377" s="45"/>
      <c r="AV377" s="37">
        <v>0</v>
      </c>
      <c r="AW377" s="37">
        <v>0</v>
      </c>
      <c r="AX377" s="37">
        <v>0</v>
      </c>
      <c r="AY377" s="37">
        <v>0</v>
      </c>
      <c r="AZ377" s="37">
        <v>0</v>
      </c>
      <c r="BA377" s="37">
        <v>0</v>
      </c>
      <c r="BB377" s="37">
        <v>0</v>
      </c>
      <c r="BC377" s="37">
        <v>0</v>
      </c>
      <c r="BD377" s="37">
        <v>0</v>
      </c>
      <c r="BE377" s="37">
        <v>0</v>
      </c>
      <c r="BF377" s="37">
        <v>0</v>
      </c>
      <c r="BG377" s="37">
        <v>0</v>
      </c>
      <c r="BH377" s="37">
        <v>0</v>
      </c>
      <c r="BI377" s="37">
        <v>0</v>
      </c>
      <c r="BJ377" s="37">
        <v>0</v>
      </c>
      <c r="BK377" s="59">
        <v>0</v>
      </c>
      <c r="BL377" s="37">
        <v>0</v>
      </c>
      <c r="BM377" s="37">
        <v>0</v>
      </c>
      <c r="BN377" s="37">
        <v>0</v>
      </c>
      <c r="BO377" s="37">
        <v>0</v>
      </c>
      <c r="BP377" s="37">
        <v>0</v>
      </c>
      <c r="BQ377" s="37">
        <v>0</v>
      </c>
      <c r="BR377" s="37">
        <v>0</v>
      </c>
      <c r="BS377" s="37">
        <v>0</v>
      </c>
      <c r="BT377" s="37">
        <v>0</v>
      </c>
      <c r="BU377" s="37">
        <v>0</v>
      </c>
      <c r="BV377" s="37">
        <v>0</v>
      </c>
      <c r="BW377" s="59">
        <v>0</v>
      </c>
      <c r="BX377" s="59">
        <v>0</v>
      </c>
      <c r="BZ377" s="37">
        <v>0</v>
      </c>
      <c r="CA377" s="37">
        <v>2000</v>
      </c>
      <c r="CB377" s="37">
        <v>800</v>
      </c>
      <c r="CC377" s="37">
        <v>400</v>
      </c>
      <c r="CD377" s="37">
        <v>200</v>
      </c>
      <c r="CE377" s="37">
        <v>80</v>
      </c>
      <c r="CF377" s="37">
        <v>0</v>
      </c>
      <c r="CG377" s="59">
        <v>3480</v>
      </c>
      <c r="CH377" s="37">
        <v>0</v>
      </c>
      <c r="CI377" s="37">
        <v>0</v>
      </c>
      <c r="CJ377" s="37">
        <v>0</v>
      </c>
      <c r="CK377" s="37">
        <v>0</v>
      </c>
      <c r="CL377" s="37">
        <v>0</v>
      </c>
      <c r="CM377" s="37">
        <v>0</v>
      </c>
      <c r="CN377" s="59">
        <v>0</v>
      </c>
      <c r="CO377" s="59">
        <v>3480</v>
      </c>
      <c r="CP377" s="58"/>
      <c r="CQ377" s="3">
        <v>3480</v>
      </c>
    </row>
    <row r="378" spans="1:95" customFormat="1" x14ac:dyDescent="0.2">
      <c r="A378" s="209">
        <v>43340</v>
      </c>
      <c r="B378" s="33" t="s">
        <v>55</v>
      </c>
      <c r="C378" s="33" t="s">
        <v>56</v>
      </c>
      <c r="D378" s="43">
        <v>0</v>
      </c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0</v>
      </c>
      <c r="L378" s="43">
        <v>0</v>
      </c>
      <c r="M378" s="43">
        <v>0</v>
      </c>
      <c r="N378" s="43">
        <v>0</v>
      </c>
      <c r="O378" s="43">
        <v>0</v>
      </c>
      <c r="P378" s="47">
        <v>0</v>
      </c>
      <c r="R378" s="37">
        <v>0</v>
      </c>
      <c r="S378" s="37">
        <v>0</v>
      </c>
      <c r="T378" s="37">
        <v>0</v>
      </c>
      <c r="U378" s="37">
        <v>0</v>
      </c>
      <c r="V378" s="37">
        <v>2000</v>
      </c>
      <c r="W378" s="37">
        <v>0</v>
      </c>
      <c r="X378" s="37">
        <v>800</v>
      </c>
      <c r="Y378" s="37">
        <v>0</v>
      </c>
      <c r="Z378" s="37">
        <v>400</v>
      </c>
      <c r="AA378" s="37">
        <v>0</v>
      </c>
      <c r="AB378" s="37">
        <v>200</v>
      </c>
      <c r="AC378" s="37">
        <v>0</v>
      </c>
      <c r="AD378" s="37">
        <v>80</v>
      </c>
      <c r="AE378" s="37">
        <v>0</v>
      </c>
      <c r="AF378" s="37">
        <v>0</v>
      </c>
      <c r="AG378" s="59">
        <v>3480</v>
      </c>
      <c r="AH378" s="37">
        <v>0</v>
      </c>
      <c r="AI378" s="37">
        <v>0</v>
      </c>
      <c r="AJ378" s="37">
        <v>0</v>
      </c>
      <c r="AK378" s="37">
        <v>0</v>
      </c>
      <c r="AL378" s="37">
        <v>5</v>
      </c>
      <c r="AM378" s="37">
        <v>0</v>
      </c>
      <c r="AN378" s="37">
        <v>4</v>
      </c>
      <c r="AO378" s="37">
        <v>0</v>
      </c>
      <c r="AP378" s="37">
        <v>2</v>
      </c>
      <c r="AQ378" s="37">
        <v>0</v>
      </c>
      <c r="AR378" s="37">
        <v>0</v>
      </c>
      <c r="AS378" s="59">
        <v>11</v>
      </c>
      <c r="AT378" s="59">
        <v>3491</v>
      </c>
      <c r="AU378" s="45"/>
      <c r="AV378" s="37">
        <v>0</v>
      </c>
      <c r="AW378" s="37">
        <v>0</v>
      </c>
      <c r="AX378" s="37">
        <v>0</v>
      </c>
      <c r="AY378" s="37">
        <v>0</v>
      </c>
      <c r="AZ378" s="37">
        <v>0</v>
      </c>
      <c r="BA378" s="37">
        <v>0</v>
      </c>
      <c r="BB378" s="37">
        <v>0</v>
      </c>
      <c r="BC378" s="37">
        <v>0</v>
      </c>
      <c r="BD378" s="37">
        <v>0</v>
      </c>
      <c r="BE378" s="37">
        <v>0</v>
      </c>
      <c r="BF378" s="37">
        <v>0</v>
      </c>
      <c r="BG378" s="37">
        <v>0</v>
      </c>
      <c r="BH378" s="37">
        <v>0</v>
      </c>
      <c r="BI378" s="37">
        <v>0</v>
      </c>
      <c r="BJ378" s="37">
        <v>0</v>
      </c>
      <c r="BK378" s="59">
        <v>0</v>
      </c>
      <c r="BL378" s="37">
        <v>0</v>
      </c>
      <c r="BM378" s="37">
        <v>0</v>
      </c>
      <c r="BN378" s="37">
        <v>0</v>
      </c>
      <c r="BO378" s="37">
        <v>0</v>
      </c>
      <c r="BP378" s="37">
        <v>0</v>
      </c>
      <c r="BQ378" s="37">
        <v>0</v>
      </c>
      <c r="BR378" s="37">
        <v>0</v>
      </c>
      <c r="BS378" s="37">
        <v>0</v>
      </c>
      <c r="BT378" s="37">
        <v>0</v>
      </c>
      <c r="BU378" s="37">
        <v>0</v>
      </c>
      <c r="BV378" s="37">
        <v>0</v>
      </c>
      <c r="BW378" s="59">
        <v>0</v>
      </c>
      <c r="BX378" s="59">
        <v>0</v>
      </c>
      <c r="BZ378" s="37">
        <v>0</v>
      </c>
      <c r="CA378" s="37">
        <v>2000</v>
      </c>
      <c r="CB378" s="37">
        <v>800</v>
      </c>
      <c r="CC378" s="37">
        <v>400</v>
      </c>
      <c r="CD378" s="37">
        <v>200</v>
      </c>
      <c r="CE378" s="37">
        <v>80</v>
      </c>
      <c r="CF378" s="37">
        <v>0</v>
      </c>
      <c r="CG378" s="59">
        <v>3480</v>
      </c>
      <c r="CH378" s="37">
        <v>0</v>
      </c>
      <c r="CI378" s="37">
        <v>5</v>
      </c>
      <c r="CJ378" s="37">
        <v>4</v>
      </c>
      <c r="CK378" s="37">
        <v>2</v>
      </c>
      <c r="CL378" s="37">
        <v>0</v>
      </c>
      <c r="CM378" s="37">
        <v>0</v>
      </c>
      <c r="CN378" s="59">
        <v>11</v>
      </c>
      <c r="CO378" s="59">
        <v>3491</v>
      </c>
      <c r="CP378" s="58"/>
      <c r="CQ378" s="3">
        <v>3491</v>
      </c>
    </row>
    <row r="379" spans="1:95" customFormat="1" x14ac:dyDescent="0.2">
      <c r="A379" s="209">
        <v>43340</v>
      </c>
      <c r="B379" s="33" t="s">
        <v>68</v>
      </c>
      <c r="C379" s="33" t="s">
        <v>145</v>
      </c>
      <c r="D379" s="43">
        <v>0</v>
      </c>
      <c r="E379" s="43">
        <v>0</v>
      </c>
      <c r="F379" s="43">
        <v>0</v>
      </c>
      <c r="G379" s="43">
        <v>0</v>
      </c>
      <c r="H379" s="43">
        <v>0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1</v>
      </c>
      <c r="O379" s="43">
        <v>0</v>
      </c>
      <c r="P379" s="47" t="s">
        <v>88</v>
      </c>
      <c r="R379" s="37">
        <v>0</v>
      </c>
      <c r="S379" s="37">
        <v>0</v>
      </c>
      <c r="T379" s="37">
        <v>0</v>
      </c>
      <c r="U379" s="37">
        <v>0</v>
      </c>
      <c r="V379" s="37">
        <v>1000000</v>
      </c>
      <c r="W379" s="37">
        <v>0</v>
      </c>
      <c r="X379" s="37">
        <v>0</v>
      </c>
      <c r="Y379" s="37">
        <v>0</v>
      </c>
      <c r="Z379" s="37">
        <v>100000</v>
      </c>
      <c r="AA379" s="37">
        <v>0</v>
      </c>
      <c r="AB379" s="37">
        <v>20000</v>
      </c>
      <c r="AC379" s="37">
        <v>0</v>
      </c>
      <c r="AD379" s="37">
        <v>0</v>
      </c>
      <c r="AE379" s="37">
        <v>0</v>
      </c>
      <c r="AF379" s="37">
        <v>0</v>
      </c>
      <c r="AG379" s="59">
        <v>1120000</v>
      </c>
      <c r="AH379" s="37">
        <v>2500</v>
      </c>
      <c r="AI379" s="37">
        <v>0</v>
      </c>
      <c r="AJ379" s="37">
        <v>625</v>
      </c>
      <c r="AK379" s="37">
        <v>0</v>
      </c>
      <c r="AL379" s="37">
        <v>0</v>
      </c>
      <c r="AM379" s="37">
        <v>0</v>
      </c>
      <c r="AN379" s="37">
        <v>400</v>
      </c>
      <c r="AO379" s="37">
        <v>0</v>
      </c>
      <c r="AP379" s="37">
        <v>0</v>
      </c>
      <c r="AQ379" s="37">
        <v>0</v>
      </c>
      <c r="AR379" s="37">
        <v>0</v>
      </c>
      <c r="AS379" s="59">
        <v>3525</v>
      </c>
      <c r="AT379" s="59">
        <v>1123525</v>
      </c>
      <c r="AU379" s="45"/>
      <c r="AV379" s="37">
        <v>0</v>
      </c>
      <c r="AW379" s="37">
        <v>0</v>
      </c>
      <c r="AX379" s="37">
        <v>0</v>
      </c>
      <c r="AY379" s="37">
        <v>0</v>
      </c>
      <c r="AZ379" s="37">
        <v>0</v>
      </c>
      <c r="BA379" s="37">
        <v>0</v>
      </c>
      <c r="BB379" s="37">
        <v>0</v>
      </c>
      <c r="BC379" s="37">
        <v>0</v>
      </c>
      <c r="BD379" s="37">
        <v>0</v>
      </c>
      <c r="BE379" s="37">
        <v>0</v>
      </c>
      <c r="BF379" s="37">
        <v>0</v>
      </c>
      <c r="BG379" s="37">
        <v>0</v>
      </c>
      <c r="BH379" s="37">
        <v>0</v>
      </c>
      <c r="BI379" s="37">
        <v>0</v>
      </c>
      <c r="BJ379" s="37">
        <v>0</v>
      </c>
      <c r="BK379" s="59">
        <v>0</v>
      </c>
      <c r="BL379" s="37">
        <v>0</v>
      </c>
      <c r="BM379" s="37">
        <v>0</v>
      </c>
      <c r="BN379" s="37">
        <v>0</v>
      </c>
      <c r="BO379" s="37">
        <v>0</v>
      </c>
      <c r="BP379" s="37">
        <v>0</v>
      </c>
      <c r="BQ379" s="37">
        <v>0</v>
      </c>
      <c r="BR379" s="37">
        <v>0</v>
      </c>
      <c r="BS379" s="37">
        <v>0</v>
      </c>
      <c r="BT379" s="37">
        <v>0</v>
      </c>
      <c r="BU379" s="37">
        <v>0</v>
      </c>
      <c r="BV379" s="37">
        <v>0</v>
      </c>
      <c r="BW379" s="59">
        <v>0</v>
      </c>
      <c r="BX379" s="59">
        <v>0</v>
      </c>
      <c r="BZ379" s="37">
        <v>0</v>
      </c>
      <c r="CA379" s="37">
        <v>1000000</v>
      </c>
      <c r="CB379" s="37">
        <v>0</v>
      </c>
      <c r="CC379" s="37">
        <v>100000</v>
      </c>
      <c r="CD379" s="37">
        <v>20000</v>
      </c>
      <c r="CE379" s="37">
        <v>0</v>
      </c>
      <c r="CF379" s="37">
        <v>0</v>
      </c>
      <c r="CG379" s="59">
        <v>1120000</v>
      </c>
      <c r="CH379" s="37">
        <v>2500</v>
      </c>
      <c r="CI379" s="37">
        <v>625</v>
      </c>
      <c r="CJ379" s="37">
        <v>400</v>
      </c>
      <c r="CK379" s="37">
        <v>0</v>
      </c>
      <c r="CL379" s="37">
        <v>0</v>
      </c>
      <c r="CM379" s="37">
        <v>0</v>
      </c>
      <c r="CN379" s="59">
        <v>3525</v>
      </c>
      <c r="CO379" s="59">
        <v>1123525</v>
      </c>
      <c r="CP379" s="58"/>
      <c r="CQ379" s="3">
        <v>1123525</v>
      </c>
    </row>
    <row r="380" spans="1:95" customFormat="1" x14ac:dyDescent="0.2">
      <c r="A380" s="209">
        <v>43341</v>
      </c>
      <c r="B380" s="33" t="s">
        <v>55</v>
      </c>
      <c r="C380" s="33" t="s">
        <v>56</v>
      </c>
      <c r="D380" s="43">
        <v>0</v>
      </c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47">
        <v>0</v>
      </c>
      <c r="R380" s="37">
        <v>0</v>
      </c>
      <c r="S380" s="37">
        <v>0</v>
      </c>
      <c r="T380" s="37">
        <v>0</v>
      </c>
      <c r="U380" s="37">
        <v>0</v>
      </c>
      <c r="V380" s="37">
        <v>2000</v>
      </c>
      <c r="W380" s="37">
        <v>0</v>
      </c>
      <c r="X380" s="37">
        <v>0</v>
      </c>
      <c r="Y380" s="37">
        <v>0</v>
      </c>
      <c r="Z380" s="37">
        <v>400</v>
      </c>
      <c r="AA380" s="37">
        <v>0</v>
      </c>
      <c r="AB380" s="37">
        <v>200</v>
      </c>
      <c r="AC380" s="37">
        <v>0</v>
      </c>
      <c r="AD380" s="37">
        <v>80</v>
      </c>
      <c r="AE380" s="37">
        <v>0</v>
      </c>
      <c r="AF380" s="37">
        <v>0</v>
      </c>
      <c r="AG380" s="59">
        <v>2680</v>
      </c>
      <c r="AH380" s="37">
        <v>0</v>
      </c>
      <c r="AI380" s="37">
        <v>0</v>
      </c>
      <c r="AJ380" s="37">
        <v>0</v>
      </c>
      <c r="AK380" s="37">
        <v>0</v>
      </c>
      <c r="AL380" s="37">
        <v>0</v>
      </c>
      <c r="AM380" s="37">
        <v>0</v>
      </c>
      <c r="AN380" s="37">
        <v>0</v>
      </c>
      <c r="AO380" s="37">
        <v>0</v>
      </c>
      <c r="AP380" s="37">
        <v>0</v>
      </c>
      <c r="AQ380" s="37">
        <v>0</v>
      </c>
      <c r="AR380" s="37">
        <v>0</v>
      </c>
      <c r="AS380" s="59">
        <v>0</v>
      </c>
      <c r="AT380" s="59">
        <v>2680</v>
      </c>
      <c r="AU380" s="45"/>
      <c r="AV380" s="37">
        <v>0</v>
      </c>
      <c r="AW380" s="37">
        <v>0</v>
      </c>
      <c r="AX380" s="37">
        <v>0</v>
      </c>
      <c r="AY380" s="37">
        <v>0</v>
      </c>
      <c r="AZ380" s="37">
        <v>0</v>
      </c>
      <c r="BA380" s="37">
        <v>0</v>
      </c>
      <c r="BB380" s="37">
        <v>0</v>
      </c>
      <c r="BC380" s="37">
        <v>0</v>
      </c>
      <c r="BD380" s="37">
        <v>0</v>
      </c>
      <c r="BE380" s="37">
        <v>0</v>
      </c>
      <c r="BF380" s="37">
        <v>0</v>
      </c>
      <c r="BG380" s="37">
        <v>0</v>
      </c>
      <c r="BH380" s="37">
        <v>0</v>
      </c>
      <c r="BI380" s="37">
        <v>0</v>
      </c>
      <c r="BJ380" s="37">
        <v>0</v>
      </c>
      <c r="BK380" s="59">
        <v>0</v>
      </c>
      <c r="BL380" s="37">
        <v>0</v>
      </c>
      <c r="BM380" s="37">
        <v>0</v>
      </c>
      <c r="BN380" s="37">
        <v>0</v>
      </c>
      <c r="BO380" s="37">
        <v>0</v>
      </c>
      <c r="BP380" s="37">
        <v>0</v>
      </c>
      <c r="BQ380" s="37">
        <v>0</v>
      </c>
      <c r="BR380" s="37">
        <v>0</v>
      </c>
      <c r="BS380" s="37">
        <v>0</v>
      </c>
      <c r="BT380" s="37">
        <v>0</v>
      </c>
      <c r="BU380" s="37">
        <v>0</v>
      </c>
      <c r="BV380" s="37">
        <v>0</v>
      </c>
      <c r="BW380" s="59">
        <v>0</v>
      </c>
      <c r="BX380" s="59">
        <v>0</v>
      </c>
      <c r="BZ380" s="37">
        <v>0</v>
      </c>
      <c r="CA380" s="37">
        <v>2000</v>
      </c>
      <c r="CB380" s="37">
        <v>0</v>
      </c>
      <c r="CC380" s="37">
        <v>400</v>
      </c>
      <c r="CD380" s="37">
        <v>200</v>
      </c>
      <c r="CE380" s="37">
        <v>80</v>
      </c>
      <c r="CF380" s="37">
        <v>0</v>
      </c>
      <c r="CG380" s="59">
        <v>2680</v>
      </c>
      <c r="CH380" s="37">
        <v>0</v>
      </c>
      <c r="CI380" s="37">
        <v>0</v>
      </c>
      <c r="CJ380" s="37">
        <v>0</v>
      </c>
      <c r="CK380" s="37">
        <v>0</v>
      </c>
      <c r="CL380" s="37">
        <v>0</v>
      </c>
      <c r="CM380" s="37">
        <v>0</v>
      </c>
      <c r="CN380" s="59">
        <v>0</v>
      </c>
      <c r="CO380" s="59">
        <v>2680</v>
      </c>
      <c r="CP380" s="58"/>
      <c r="CQ380" s="3">
        <v>2680</v>
      </c>
    </row>
    <row r="381" spans="1:95" customFormat="1" x14ac:dyDescent="0.2">
      <c r="A381" s="209">
        <v>43341</v>
      </c>
      <c r="B381" s="33" t="s">
        <v>53</v>
      </c>
      <c r="C381" s="33" t="s">
        <v>140</v>
      </c>
      <c r="D381" s="43">
        <v>1</v>
      </c>
      <c r="E381" s="43">
        <v>0</v>
      </c>
      <c r="F381" s="43">
        <v>0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3">
        <v>0</v>
      </c>
      <c r="M381" s="43">
        <v>0</v>
      </c>
      <c r="N381" s="43">
        <v>0</v>
      </c>
      <c r="O381" s="43">
        <v>0</v>
      </c>
      <c r="P381" s="47" t="s">
        <v>45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v>0</v>
      </c>
      <c r="AD381" s="37">
        <v>0</v>
      </c>
      <c r="AE381" s="37">
        <v>0</v>
      </c>
      <c r="AF381" s="37">
        <v>0</v>
      </c>
      <c r="AG381" s="59">
        <v>0</v>
      </c>
      <c r="AH381" s="37">
        <v>0</v>
      </c>
      <c r="AI381" s="37">
        <v>0</v>
      </c>
      <c r="AJ381" s="37">
        <v>0</v>
      </c>
      <c r="AK381" s="37">
        <v>0</v>
      </c>
      <c r="AL381" s="37">
        <v>0</v>
      </c>
      <c r="AM381" s="37">
        <v>0</v>
      </c>
      <c r="AN381" s="37">
        <v>1000</v>
      </c>
      <c r="AO381" s="37">
        <v>0</v>
      </c>
      <c r="AP381" s="37">
        <v>500</v>
      </c>
      <c r="AQ381" s="37">
        <v>0</v>
      </c>
      <c r="AR381" s="37">
        <v>0</v>
      </c>
      <c r="AS381" s="59">
        <v>1500</v>
      </c>
      <c r="AT381" s="59">
        <v>1500</v>
      </c>
      <c r="AU381" s="45"/>
      <c r="AV381" s="37">
        <v>0</v>
      </c>
      <c r="AW381" s="37">
        <v>0</v>
      </c>
      <c r="AX381" s="37">
        <v>0</v>
      </c>
      <c r="AY381" s="37">
        <v>0</v>
      </c>
      <c r="AZ381" s="37">
        <v>0</v>
      </c>
      <c r="BA381" s="37">
        <v>0</v>
      </c>
      <c r="BB381" s="37">
        <v>0</v>
      </c>
      <c r="BC381" s="37">
        <v>0</v>
      </c>
      <c r="BD381" s="37">
        <v>0</v>
      </c>
      <c r="BE381" s="37">
        <v>0</v>
      </c>
      <c r="BF381" s="37">
        <v>0</v>
      </c>
      <c r="BG381" s="37">
        <v>0</v>
      </c>
      <c r="BH381" s="37">
        <v>0</v>
      </c>
      <c r="BI381" s="37">
        <v>0</v>
      </c>
      <c r="BJ381" s="37">
        <v>0</v>
      </c>
      <c r="BK381" s="59">
        <v>0</v>
      </c>
      <c r="BL381" s="37">
        <v>0</v>
      </c>
      <c r="BM381" s="37">
        <v>0</v>
      </c>
      <c r="BN381" s="37">
        <v>0</v>
      </c>
      <c r="BO381" s="37">
        <v>0</v>
      </c>
      <c r="BP381" s="37">
        <v>0</v>
      </c>
      <c r="BQ381" s="37">
        <v>0</v>
      </c>
      <c r="BR381" s="37">
        <v>0</v>
      </c>
      <c r="BS381" s="37">
        <v>0</v>
      </c>
      <c r="BT381" s="37">
        <v>0</v>
      </c>
      <c r="BU381" s="37">
        <v>0</v>
      </c>
      <c r="BV381" s="37">
        <v>0</v>
      </c>
      <c r="BW381" s="59">
        <v>0</v>
      </c>
      <c r="BX381" s="59">
        <v>0</v>
      </c>
      <c r="BZ381" s="37">
        <v>0</v>
      </c>
      <c r="CA381" s="37">
        <v>0</v>
      </c>
      <c r="CB381" s="37">
        <v>0</v>
      </c>
      <c r="CC381" s="37">
        <v>0</v>
      </c>
      <c r="CD381" s="37">
        <v>0</v>
      </c>
      <c r="CE381" s="37">
        <v>0</v>
      </c>
      <c r="CF381" s="37">
        <v>0</v>
      </c>
      <c r="CG381" s="59">
        <v>0</v>
      </c>
      <c r="CH381" s="37">
        <v>0</v>
      </c>
      <c r="CI381" s="37">
        <v>0</v>
      </c>
      <c r="CJ381" s="37">
        <v>1000</v>
      </c>
      <c r="CK381" s="37">
        <v>500</v>
      </c>
      <c r="CL381" s="37">
        <v>0</v>
      </c>
      <c r="CM381" s="37">
        <v>0</v>
      </c>
      <c r="CN381" s="59">
        <v>1500</v>
      </c>
      <c r="CO381" s="59">
        <v>1500</v>
      </c>
      <c r="CP381" s="58"/>
      <c r="CQ381" s="3">
        <v>1500</v>
      </c>
    </row>
    <row r="382" spans="1:95" customFormat="1" x14ac:dyDescent="0.2">
      <c r="A382" s="209">
        <v>43342</v>
      </c>
      <c r="B382" s="33" t="s">
        <v>55</v>
      </c>
      <c r="C382" s="33" t="s">
        <v>56</v>
      </c>
      <c r="D382" s="43">
        <v>0</v>
      </c>
      <c r="E382" s="43">
        <v>0</v>
      </c>
      <c r="F382" s="43">
        <v>0</v>
      </c>
      <c r="G382" s="43">
        <v>0</v>
      </c>
      <c r="H382" s="43">
        <v>0</v>
      </c>
      <c r="I382" s="43">
        <v>0</v>
      </c>
      <c r="J382" s="43">
        <v>0</v>
      </c>
      <c r="K382" s="43">
        <v>0</v>
      </c>
      <c r="L382" s="43">
        <v>0</v>
      </c>
      <c r="M382" s="43">
        <v>0</v>
      </c>
      <c r="N382" s="43">
        <v>0</v>
      </c>
      <c r="O382" s="43">
        <v>0</v>
      </c>
      <c r="P382" s="47">
        <v>0</v>
      </c>
      <c r="R382" s="37">
        <v>0</v>
      </c>
      <c r="S382" s="37">
        <v>0</v>
      </c>
      <c r="T382" s="37">
        <v>0</v>
      </c>
      <c r="U382" s="37">
        <v>0</v>
      </c>
      <c r="V382" s="37">
        <v>2000</v>
      </c>
      <c r="W382" s="37">
        <v>0</v>
      </c>
      <c r="X382" s="37">
        <v>0</v>
      </c>
      <c r="Y382" s="37">
        <v>0</v>
      </c>
      <c r="Z382" s="37">
        <v>400</v>
      </c>
      <c r="AA382" s="37">
        <v>0</v>
      </c>
      <c r="AB382" s="37">
        <v>200</v>
      </c>
      <c r="AC382" s="37">
        <v>0</v>
      </c>
      <c r="AD382" s="37">
        <v>80</v>
      </c>
      <c r="AE382" s="37">
        <v>0</v>
      </c>
      <c r="AF382" s="37">
        <v>0</v>
      </c>
      <c r="AG382" s="59">
        <v>2680</v>
      </c>
      <c r="AH382" s="37">
        <v>0</v>
      </c>
      <c r="AI382" s="37">
        <v>0</v>
      </c>
      <c r="AJ382" s="37">
        <v>0</v>
      </c>
      <c r="AK382" s="37">
        <v>0</v>
      </c>
      <c r="AL382" s="37">
        <v>0</v>
      </c>
      <c r="AM382" s="37">
        <v>0</v>
      </c>
      <c r="AN382" s="37">
        <v>0</v>
      </c>
      <c r="AO382" s="37">
        <v>0</v>
      </c>
      <c r="AP382" s="37">
        <v>0</v>
      </c>
      <c r="AQ382" s="37">
        <v>0</v>
      </c>
      <c r="AR382" s="37">
        <v>0</v>
      </c>
      <c r="AS382" s="59">
        <v>0</v>
      </c>
      <c r="AT382" s="59">
        <v>2680</v>
      </c>
      <c r="AU382" s="45"/>
      <c r="AV382" s="37">
        <v>0</v>
      </c>
      <c r="AW382" s="37">
        <v>0</v>
      </c>
      <c r="AX382" s="37">
        <v>0</v>
      </c>
      <c r="AY382" s="37">
        <v>0</v>
      </c>
      <c r="AZ382" s="37">
        <v>0</v>
      </c>
      <c r="BA382" s="37">
        <v>0</v>
      </c>
      <c r="BB382" s="37">
        <v>0</v>
      </c>
      <c r="BC382" s="37">
        <v>0</v>
      </c>
      <c r="BD382" s="37">
        <v>0</v>
      </c>
      <c r="BE382" s="37">
        <v>0</v>
      </c>
      <c r="BF382" s="37">
        <v>0</v>
      </c>
      <c r="BG382" s="37">
        <v>0</v>
      </c>
      <c r="BH382" s="37">
        <v>0</v>
      </c>
      <c r="BI382" s="37">
        <v>0</v>
      </c>
      <c r="BJ382" s="37">
        <v>0</v>
      </c>
      <c r="BK382" s="59">
        <v>0</v>
      </c>
      <c r="BL382" s="37">
        <v>0</v>
      </c>
      <c r="BM382" s="37">
        <v>0</v>
      </c>
      <c r="BN382" s="37">
        <v>0</v>
      </c>
      <c r="BO382" s="37">
        <v>0</v>
      </c>
      <c r="BP382" s="37">
        <v>0</v>
      </c>
      <c r="BQ382" s="37">
        <v>0</v>
      </c>
      <c r="BR382" s="37">
        <v>0</v>
      </c>
      <c r="BS382" s="37">
        <v>0</v>
      </c>
      <c r="BT382" s="37">
        <v>0</v>
      </c>
      <c r="BU382" s="37">
        <v>0</v>
      </c>
      <c r="BV382" s="37">
        <v>0</v>
      </c>
      <c r="BW382" s="59">
        <v>0</v>
      </c>
      <c r="BX382" s="59">
        <v>0</v>
      </c>
      <c r="BZ382" s="37">
        <v>0</v>
      </c>
      <c r="CA382" s="37">
        <v>2000</v>
      </c>
      <c r="CB382" s="37">
        <v>0</v>
      </c>
      <c r="CC382" s="37">
        <v>400</v>
      </c>
      <c r="CD382" s="37">
        <v>200</v>
      </c>
      <c r="CE382" s="37">
        <v>80</v>
      </c>
      <c r="CF382" s="37">
        <v>0</v>
      </c>
      <c r="CG382" s="59">
        <v>2680</v>
      </c>
      <c r="CH382" s="37">
        <v>0</v>
      </c>
      <c r="CI382" s="37">
        <v>0</v>
      </c>
      <c r="CJ382" s="37">
        <v>0</v>
      </c>
      <c r="CK382" s="37">
        <v>0</v>
      </c>
      <c r="CL382" s="37">
        <v>0</v>
      </c>
      <c r="CM382" s="37">
        <v>0</v>
      </c>
      <c r="CN382" s="59">
        <v>0</v>
      </c>
      <c r="CO382" s="59">
        <v>2680</v>
      </c>
      <c r="CP382" s="58"/>
      <c r="CQ382" s="3">
        <v>2680</v>
      </c>
    </row>
    <row r="383" spans="1:95" customFormat="1" x14ac:dyDescent="0.2">
      <c r="A383" s="209">
        <v>43342</v>
      </c>
      <c r="B383" s="33" t="s">
        <v>83</v>
      </c>
      <c r="C383" s="33" t="s">
        <v>76</v>
      </c>
      <c r="D383" s="43">
        <v>0</v>
      </c>
      <c r="E383" s="43">
        <v>1</v>
      </c>
      <c r="F383" s="43">
        <v>0</v>
      </c>
      <c r="G383" s="43">
        <v>0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>
        <v>0</v>
      </c>
      <c r="O383" s="43">
        <v>0</v>
      </c>
      <c r="P383" s="47" t="s">
        <v>45</v>
      </c>
      <c r="R383" s="37">
        <v>0</v>
      </c>
      <c r="S383" s="37">
        <v>0</v>
      </c>
      <c r="T383" s="37">
        <v>0</v>
      </c>
      <c r="U383" s="37">
        <v>0</v>
      </c>
      <c r="V383" s="37">
        <v>500000</v>
      </c>
      <c r="W383" s="37">
        <v>0</v>
      </c>
      <c r="X383" s="37">
        <v>0</v>
      </c>
      <c r="Y383" s="37">
        <v>0</v>
      </c>
      <c r="Z383" s="37">
        <v>100000</v>
      </c>
      <c r="AA383" s="37">
        <v>0</v>
      </c>
      <c r="AB383" s="37">
        <v>0</v>
      </c>
      <c r="AC383" s="37">
        <v>0</v>
      </c>
      <c r="AD383" s="37">
        <v>0</v>
      </c>
      <c r="AE383" s="37">
        <v>0</v>
      </c>
      <c r="AF383" s="37">
        <v>0</v>
      </c>
      <c r="AG383" s="59">
        <v>600000</v>
      </c>
      <c r="AH383" s="37">
        <v>0</v>
      </c>
      <c r="AI383" s="37">
        <v>0</v>
      </c>
      <c r="AJ383" s="37">
        <v>0</v>
      </c>
      <c r="AK383" s="37">
        <v>0</v>
      </c>
      <c r="AL383" s="37">
        <v>0</v>
      </c>
      <c r="AM383" s="37">
        <v>0</v>
      </c>
      <c r="AN383" s="37">
        <v>0</v>
      </c>
      <c r="AO383" s="37">
        <v>0</v>
      </c>
      <c r="AP383" s="37">
        <v>0</v>
      </c>
      <c r="AQ383" s="37">
        <v>0</v>
      </c>
      <c r="AR383" s="37">
        <v>0</v>
      </c>
      <c r="AS383" s="59">
        <v>0</v>
      </c>
      <c r="AT383" s="59">
        <v>600000</v>
      </c>
      <c r="AU383" s="45"/>
      <c r="AV383" s="37">
        <v>0</v>
      </c>
      <c r="AW383" s="37">
        <v>0</v>
      </c>
      <c r="AX383" s="37">
        <v>0</v>
      </c>
      <c r="AY383" s="37">
        <v>0</v>
      </c>
      <c r="AZ383" s="37">
        <v>0</v>
      </c>
      <c r="BA383" s="37">
        <v>0</v>
      </c>
      <c r="BB383" s="37">
        <v>0</v>
      </c>
      <c r="BC383" s="37">
        <v>0</v>
      </c>
      <c r="BD383" s="37">
        <v>0</v>
      </c>
      <c r="BE383" s="37">
        <v>0</v>
      </c>
      <c r="BF383" s="37">
        <v>0</v>
      </c>
      <c r="BG383" s="37">
        <v>0</v>
      </c>
      <c r="BH383" s="37">
        <v>0</v>
      </c>
      <c r="BI383" s="37">
        <v>0</v>
      </c>
      <c r="BJ383" s="37">
        <v>0</v>
      </c>
      <c r="BK383" s="59">
        <v>0</v>
      </c>
      <c r="BL383" s="37">
        <v>0</v>
      </c>
      <c r="BM383" s="37">
        <v>0</v>
      </c>
      <c r="BN383" s="37">
        <v>0</v>
      </c>
      <c r="BO383" s="37">
        <v>0</v>
      </c>
      <c r="BP383" s="37">
        <v>0</v>
      </c>
      <c r="BQ383" s="37">
        <v>0</v>
      </c>
      <c r="BR383" s="37">
        <v>0</v>
      </c>
      <c r="BS383" s="37">
        <v>0</v>
      </c>
      <c r="BT383" s="37">
        <v>0</v>
      </c>
      <c r="BU383" s="37">
        <v>0</v>
      </c>
      <c r="BV383" s="37">
        <v>0</v>
      </c>
      <c r="BW383" s="59">
        <v>0</v>
      </c>
      <c r="BX383" s="59">
        <v>0</v>
      </c>
      <c r="BZ383" s="37">
        <v>0</v>
      </c>
      <c r="CA383" s="37">
        <v>500000</v>
      </c>
      <c r="CB383" s="37">
        <v>0</v>
      </c>
      <c r="CC383" s="37">
        <v>100000</v>
      </c>
      <c r="CD383" s="37">
        <v>0</v>
      </c>
      <c r="CE383" s="37">
        <v>0</v>
      </c>
      <c r="CF383" s="37">
        <v>0</v>
      </c>
      <c r="CG383" s="59">
        <v>600000</v>
      </c>
      <c r="CH383" s="37">
        <v>0</v>
      </c>
      <c r="CI383" s="37">
        <v>0</v>
      </c>
      <c r="CJ383" s="37">
        <v>0</v>
      </c>
      <c r="CK383" s="37">
        <v>0</v>
      </c>
      <c r="CL383" s="37">
        <v>0</v>
      </c>
      <c r="CM383" s="37">
        <v>0</v>
      </c>
      <c r="CN383" s="59">
        <v>0</v>
      </c>
      <c r="CO383" s="59">
        <v>600000</v>
      </c>
      <c r="CP383" s="58"/>
      <c r="CQ383" s="3">
        <v>600000</v>
      </c>
    </row>
    <row r="384" spans="1:95" customFormat="1" x14ac:dyDescent="0.2">
      <c r="A384" s="209">
        <v>43343</v>
      </c>
      <c r="B384" s="33" t="s">
        <v>55</v>
      </c>
      <c r="C384" s="33" t="s">
        <v>56</v>
      </c>
      <c r="D384" s="43">
        <v>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4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2000</v>
      </c>
      <c r="W384" s="37">
        <v>0</v>
      </c>
      <c r="X384" s="37">
        <v>0</v>
      </c>
      <c r="Y384" s="37">
        <v>0</v>
      </c>
      <c r="Z384" s="37">
        <v>400</v>
      </c>
      <c r="AA384" s="37">
        <v>0</v>
      </c>
      <c r="AB384" s="37">
        <v>200</v>
      </c>
      <c r="AC384" s="37">
        <v>0</v>
      </c>
      <c r="AD384" s="37">
        <v>80</v>
      </c>
      <c r="AE384" s="37">
        <v>0</v>
      </c>
      <c r="AF384" s="37">
        <v>0</v>
      </c>
      <c r="AG384" s="59">
        <v>2680</v>
      </c>
      <c r="AH384" s="37">
        <v>0</v>
      </c>
      <c r="AI384" s="37">
        <v>0</v>
      </c>
      <c r="AJ384" s="37">
        <v>0</v>
      </c>
      <c r="AK384" s="37">
        <v>0</v>
      </c>
      <c r="AL384" s="37">
        <v>5</v>
      </c>
      <c r="AM384" s="37">
        <v>0</v>
      </c>
      <c r="AN384" s="37">
        <v>4</v>
      </c>
      <c r="AO384" s="37">
        <v>0</v>
      </c>
      <c r="AP384" s="37">
        <v>2</v>
      </c>
      <c r="AQ384" s="37">
        <v>0</v>
      </c>
      <c r="AR384" s="37">
        <v>0</v>
      </c>
      <c r="AS384" s="59">
        <v>11</v>
      </c>
      <c r="AT384" s="59">
        <v>2691</v>
      </c>
      <c r="AU384" s="45"/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>
        <v>0</v>
      </c>
      <c r="BB384" s="37">
        <v>0</v>
      </c>
      <c r="BC384" s="37">
        <v>0</v>
      </c>
      <c r="BD384" s="37">
        <v>0</v>
      </c>
      <c r="BE384" s="37">
        <v>0</v>
      </c>
      <c r="BF384" s="37">
        <v>0</v>
      </c>
      <c r="BG384" s="37">
        <v>0</v>
      </c>
      <c r="BH384" s="37">
        <v>0</v>
      </c>
      <c r="BI384" s="37">
        <v>0</v>
      </c>
      <c r="BJ384" s="37">
        <v>0</v>
      </c>
      <c r="BK384" s="59">
        <v>0</v>
      </c>
      <c r="BL384" s="37">
        <v>0</v>
      </c>
      <c r="BM384" s="37">
        <v>0</v>
      </c>
      <c r="BN384" s="37">
        <v>0</v>
      </c>
      <c r="BO384" s="37">
        <v>0</v>
      </c>
      <c r="BP384" s="37">
        <v>0</v>
      </c>
      <c r="BQ384" s="37">
        <v>0</v>
      </c>
      <c r="BR384" s="37">
        <v>0</v>
      </c>
      <c r="BS384" s="37">
        <v>0</v>
      </c>
      <c r="BT384" s="37">
        <v>0</v>
      </c>
      <c r="BU384" s="37">
        <v>0</v>
      </c>
      <c r="BV384" s="37">
        <v>0</v>
      </c>
      <c r="BW384" s="59">
        <v>0</v>
      </c>
      <c r="BX384" s="59">
        <v>0</v>
      </c>
      <c r="BZ384" s="37">
        <v>0</v>
      </c>
      <c r="CA384" s="37">
        <v>2000</v>
      </c>
      <c r="CB384" s="37">
        <v>0</v>
      </c>
      <c r="CC384" s="37">
        <v>400</v>
      </c>
      <c r="CD384" s="37">
        <v>200</v>
      </c>
      <c r="CE384" s="37">
        <v>80</v>
      </c>
      <c r="CF384" s="37">
        <v>0</v>
      </c>
      <c r="CG384" s="59">
        <v>2680</v>
      </c>
      <c r="CH384" s="37">
        <v>0</v>
      </c>
      <c r="CI384" s="37">
        <v>5</v>
      </c>
      <c r="CJ384" s="37">
        <v>4</v>
      </c>
      <c r="CK384" s="37">
        <v>2</v>
      </c>
      <c r="CL384" s="37">
        <v>0</v>
      </c>
      <c r="CM384" s="37">
        <v>0</v>
      </c>
      <c r="CN384" s="59">
        <v>11</v>
      </c>
      <c r="CO384" s="59">
        <v>2691</v>
      </c>
      <c r="CP384" s="58"/>
      <c r="CQ384" s="3">
        <v>2691</v>
      </c>
    </row>
    <row r="385" spans="1:95" customFormat="1" x14ac:dyDescent="0.2">
      <c r="A385" s="209">
        <v>43343</v>
      </c>
      <c r="B385" s="33" t="s">
        <v>77</v>
      </c>
      <c r="C385" s="33" t="s">
        <v>87</v>
      </c>
      <c r="D385" s="43">
        <v>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1</v>
      </c>
      <c r="L385" s="43">
        <v>0</v>
      </c>
      <c r="M385" s="43">
        <v>0</v>
      </c>
      <c r="N385" s="43">
        <v>0</v>
      </c>
      <c r="O385" s="43">
        <v>0</v>
      </c>
      <c r="P385" s="47" t="s">
        <v>45</v>
      </c>
      <c r="R385" s="37">
        <v>0</v>
      </c>
      <c r="S385" s="37">
        <v>0</v>
      </c>
      <c r="T385" s="37">
        <v>0</v>
      </c>
      <c r="U385" s="37">
        <v>0</v>
      </c>
      <c r="V385" s="37">
        <v>1000000</v>
      </c>
      <c r="W385" s="37">
        <v>0</v>
      </c>
      <c r="X385" s="37">
        <v>0</v>
      </c>
      <c r="Y385" s="37">
        <v>0</v>
      </c>
      <c r="Z385" s="37">
        <v>120000</v>
      </c>
      <c r="AA385" s="37">
        <v>0</v>
      </c>
      <c r="AB385" s="37">
        <v>30000</v>
      </c>
      <c r="AC385" s="37">
        <v>0</v>
      </c>
      <c r="AD385" s="37">
        <v>20000</v>
      </c>
      <c r="AE385" s="37">
        <v>0</v>
      </c>
      <c r="AF385" s="37">
        <v>0</v>
      </c>
      <c r="AG385" s="59">
        <v>1170000</v>
      </c>
      <c r="AH385" s="37">
        <v>0</v>
      </c>
      <c r="AI385" s="37">
        <v>0</v>
      </c>
      <c r="AJ385" s="37">
        <v>1250</v>
      </c>
      <c r="AK385" s="37">
        <v>0</v>
      </c>
      <c r="AL385" s="37">
        <v>0</v>
      </c>
      <c r="AM385" s="37">
        <v>0</v>
      </c>
      <c r="AN385" s="37">
        <v>200</v>
      </c>
      <c r="AO385" s="37">
        <v>0</v>
      </c>
      <c r="AP385" s="37">
        <v>100</v>
      </c>
      <c r="AQ385" s="37">
        <v>0</v>
      </c>
      <c r="AR385" s="37">
        <v>0</v>
      </c>
      <c r="AS385" s="59">
        <v>1550</v>
      </c>
      <c r="AT385" s="59">
        <v>1171550</v>
      </c>
      <c r="AU385" s="45"/>
      <c r="AV385" s="37">
        <v>0</v>
      </c>
      <c r="AW385" s="37">
        <v>0</v>
      </c>
      <c r="AX385" s="37">
        <v>0</v>
      </c>
      <c r="AY385" s="37">
        <v>0</v>
      </c>
      <c r="AZ385" s="37">
        <v>0</v>
      </c>
      <c r="BA385" s="37">
        <v>0</v>
      </c>
      <c r="BB385" s="37">
        <v>0</v>
      </c>
      <c r="BC385" s="37">
        <v>0</v>
      </c>
      <c r="BD385" s="37">
        <v>0</v>
      </c>
      <c r="BE385" s="37">
        <v>0</v>
      </c>
      <c r="BF385" s="37">
        <v>0</v>
      </c>
      <c r="BG385" s="37">
        <v>0</v>
      </c>
      <c r="BH385" s="37">
        <v>0</v>
      </c>
      <c r="BI385" s="37">
        <v>0</v>
      </c>
      <c r="BJ385" s="37">
        <v>0</v>
      </c>
      <c r="BK385" s="59">
        <v>0</v>
      </c>
      <c r="BL385" s="37">
        <v>0</v>
      </c>
      <c r="BM385" s="37">
        <v>0</v>
      </c>
      <c r="BN385" s="37">
        <v>0</v>
      </c>
      <c r="BO385" s="37">
        <v>0</v>
      </c>
      <c r="BP385" s="37">
        <v>0</v>
      </c>
      <c r="BQ385" s="37">
        <v>0</v>
      </c>
      <c r="BR385" s="37">
        <v>0</v>
      </c>
      <c r="BS385" s="37">
        <v>0</v>
      </c>
      <c r="BT385" s="37">
        <v>0</v>
      </c>
      <c r="BU385" s="37">
        <v>0</v>
      </c>
      <c r="BV385" s="37">
        <v>0</v>
      </c>
      <c r="BW385" s="59">
        <v>0</v>
      </c>
      <c r="BX385" s="59">
        <v>0</v>
      </c>
      <c r="BZ385" s="37">
        <v>0</v>
      </c>
      <c r="CA385" s="37">
        <v>1000000</v>
      </c>
      <c r="CB385" s="37">
        <v>0</v>
      </c>
      <c r="CC385" s="37">
        <v>120000</v>
      </c>
      <c r="CD385" s="37">
        <v>30000</v>
      </c>
      <c r="CE385" s="37">
        <v>20000</v>
      </c>
      <c r="CF385" s="37">
        <v>0</v>
      </c>
      <c r="CG385" s="59">
        <v>1170000</v>
      </c>
      <c r="CH385" s="37">
        <v>0</v>
      </c>
      <c r="CI385" s="37">
        <v>1250</v>
      </c>
      <c r="CJ385" s="37">
        <v>200</v>
      </c>
      <c r="CK385" s="37">
        <v>100</v>
      </c>
      <c r="CL385" s="37">
        <v>0</v>
      </c>
      <c r="CM385" s="37">
        <v>0</v>
      </c>
      <c r="CN385" s="59">
        <v>1550</v>
      </c>
      <c r="CO385" s="59">
        <v>1171550</v>
      </c>
      <c r="CP385" s="58"/>
      <c r="CQ385" s="3">
        <v>1171550</v>
      </c>
    </row>
    <row r="386" spans="1:95" customFormat="1" x14ac:dyDescent="0.2">
      <c r="A386" s="209">
        <v>43343</v>
      </c>
      <c r="B386" s="33" t="s">
        <v>127</v>
      </c>
      <c r="C386" s="33" t="s">
        <v>87</v>
      </c>
      <c r="D386" s="43">
        <v>0</v>
      </c>
      <c r="E386" s="43">
        <v>0</v>
      </c>
      <c r="F386" s="43">
        <v>0</v>
      </c>
      <c r="G386" s="43">
        <v>0</v>
      </c>
      <c r="H386" s="43">
        <v>0</v>
      </c>
      <c r="I386" s="43">
        <v>0</v>
      </c>
      <c r="J386" s="43">
        <v>0</v>
      </c>
      <c r="K386" s="43">
        <v>1</v>
      </c>
      <c r="L386" s="43">
        <v>0</v>
      </c>
      <c r="M386" s="43">
        <v>0</v>
      </c>
      <c r="N386" s="43">
        <v>0</v>
      </c>
      <c r="O386" s="43">
        <v>0</v>
      </c>
      <c r="P386" s="47" t="s">
        <v>45</v>
      </c>
      <c r="R386" s="37">
        <v>0</v>
      </c>
      <c r="S386" s="37">
        <v>0</v>
      </c>
      <c r="T386" s="37">
        <v>0</v>
      </c>
      <c r="U386" s="37">
        <v>0</v>
      </c>
      <c r="V386" s="37">
        <v>200000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37">
        <v>0</v>
      </c>
      <c r="AF386" s="37">
        <v>0</v>
      </c>
      <c r="AG386" s="59">
        <v>200000</v>
      </c>
      <c r="AH386" s="37">
        <v>0</v>
      </c>
      <c r="AI386" s="37">
        <v>0</v>
      </c>
      <c r="AJ386" s="37">
        <v>0</v>
      </c>
      <c r="AK386" s="37">
        <v>0</v>
      </c>
      <c r="AL386" s="37">
        <v>0</v>
      </c>
      <c r="AM386" s="37">
        <v>0</v>
      </c>
      <c r="AN386" s="37">
        <v>0</v>
      </c>
      <c r="AO386" s="37">
        <v>0</v>
      </c>
      <c r="AP386" s="37">
        <v>0</v>
      </c>
      <c r="AQ386" s="37">
        <v>0</v>
      </c>
      <c r="AR386" s="37">
        <v>0</v>
      </c>
      <c r="AS386" s="59">
        <v>0</v>
      </c>
      <c r="AT386" s="59">
        <v>200000</v>
      </c>
      <c r="AU386" s="45"/>
      <c r="AV386" s="37">
        <v>0</v>
      </c>
      <c r="AW386" s="37">
        <v>0</v>
      </c>
      <c r="AX386" s="37">
        <v>0</v>
      </c>
      <c r="AY386" s="37">
        <v>0</v>
      </c>
      <c r="AZ386" s="37">
        <v>0</v>
      </c>
      <c r="BA386" s="37">
        <v>0</v>
      </c>
      <c r="BB386" s="37">
        <v>0</v>
      </c>
      <c r="BC386" s="37">
        <v>0</v>
      </c>
      <c r="BD386" s="37">
        <v>0</v>
      </c>
      <c r="BE386" s="37">
        <v>0</v>
      </c>
      <c r="BF386" s="37">
        <v>0</v>
      </c>
      <c r="BG386" s="37">
        <v>0</v>
      </c>
      <c r="BH386" s="37">
        <v>0</v>
      </c>
      <c r="BI386" s="37">
        <v>0</v>
      </c>
      <c r="BJ386" s="37">
        <v>0</v>
      </c>
      <c r="BK386" s="59">
        <v>0</v>
      </c>
      <c r="BL386" s="37">
        <v>0</v>
      </c>
      <c r="BM386" s="37">
        <v>0</v>
      </c>
      <c r="BN386" s="37">
        <v>0</v>
      </c>
      <c r="BO386" s="37">
        <v>0</v>
      </c>
      <c r="BP386" s="37">
        <v>0</v>
      </c>
      <c r="BQ386" s="37">
        <v>0</v>
      </c>
      <c r="BR386" s="37">
        <v>0</v>
      </c>
      <c r="BS386" s="37">
        <v>0</v>
      </c>
      <c r="BT386" s="37">
        <v>0</v>
      </c>
      <c r="BU386" s="37">
        <v>0</v>
      </c>
      <c r="BV386" s="37">
        <v>0</v>
      </c>
      <c r="BW386" s="59">
        <v>0</v>
      </c>
      <c r="BX386" s="59">
        <v>0</v>
      </c>
      <c r="BZ386" s="37">
        <v>0</v>
      </c>
      <c r="CA386" s="37">
        <v>200000</v>
      </c>
      <c r="CB386" s="37">
        <v>0</v>
      </c>
      <c r="CC386" s="37">
        <v>0</v>
      </c>
      <c r="CD386" s="37">
        <v>0</v>
      </c>
      <c r="CE386" s="37">
        <v>0</v>
      </c>
      <c r="CF386" s="37">
        <v>0</v>
      </c>
      <c r="CG386" s="59">
        <v>200000</v>
      </c>
      <c r="CH386" s="37">
        <v>0</v>
      </c>
      <c r="CI386" s="37">
        <v>0</v>
      </c>
      <c r="CJ386" s="37">
        <v>0</v>
      </c>
      <c r="CK386" s="37">
        <v>0</v>
      </c>
      <c r="CL386" s="37">
        <v>0</v>
      </c>
      <c r="CM386" s="37">
        <v>0</v>
      </c>
      <c r="CN386" s="59">
        <v>0</v>
      </c>
      <c r="CO386" s="59">
        <v>200000</v>
      </c>
      <c r="CP386" s="58"/>
      <c r="CQ386" s="3">
        <v>200000</v>
      </c>
    </row>
    <row r="387" spans="1:95" customFormat="1" x14ac:dyDescent="0.2">
      <c r="A387" s="209">
        <v>43346</v>
      </c>
      <c r="B387" s="33" t="s">
        <v>55</v>
      </c>
      <c r="C387" s="33" t="s">
        <v>56</v>
      </c>
      <c r="D387" s="43">
        <v>0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4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2000</v>
      </c>
      <c r="W387" s="37">
        <v>0</v>
      </c>
      <c r="X387" s="37">
        <v>0</v>
      </c>
      <c r="Y387" s="37">
        <v>0</v>
      </c>
      <c r="Z387" s="37">
        <v>400</v>
      </c>
      <c r="AA387" s="37">
        <v>0</v>
      </c>
      <c r="AB387" s="37">
        <v>200</v>
      </c>
      <c r="AC387" s="37">
        <v>0</v>
      </c>
      <c r="AD387" s="37">
        <v>80</v>
      </c>
      <c r="AE387" s="37">
        <v>0</v>
      </c>
      <c r="AF387" s="37">
        <v>0</v>
      </c>
      <c r="AG387" s="59">
        <v>2680</v>
      </c>
      <c r="AH387" s="37">
        <v>0</v>
      </c>
      <c r="AI387" s="37">
        <v>0</v>
      </c>
      <c r="AJ387" s="37">
        <v>0</v>
      </c>
      <c r="AK387" s="37">
        <v>0</v>
      </c>
      <c r="AL387" s="37">
        <v>0</v>
      </c>
      <c r="AM387" s="37">
        <v>0</v>
      </c>
      <c r="AN387" s="37">
        <v>0</v>
      </c>
      <c r="AO387" s="37">
        <v>0</v>
      </c>
      <c r="AP387" s="37">
        <v>0</v>
      </c>
      <c r="AQ387" s="37">
        <v>0</v>
      </c>
      <c r="AR387" s="37">
        <v>0</v>
      </c>
      <c r="AS387" s="59">
        <v>0</v>
      </c>
      <c r="AT387" s="59">
        <v>2680</v>
      </c>
      <c r="AU387" s="45"/>
      <c r="AV387" s="37">
        <v>0</v>
      </c>
      <c r="AW387" s="37">
        <v>0</v>
      </c>
      <c r="AX387" s="37">
        <v>0</v>
      </c>
      <c r="AY387" s="37">
        <v>0</v>
      </c>
      <c r="AZ387" s="37">
        <v>0</v>
      </c>
      <c r="BA387" s="37">
        <v>0</v>
      </c>
      <c r="BB387" s="37">
        <v>0</v>
      </c>
      <c r="BC387" s="37">
        <v>0</v>
      </c>
      <c r="BD387" s="37">
        <v>0</v>
      </c>
      <c r="BE387" s="37">
        <v>0</v>
      </c>
      <c r="BF387" s="37">
        <v>0</v>
      </c>
      <c r="BG387" s="37">
        <v>0</v>
      </c>
      <c r="BH387" s="37">
        <v>0</v>
      </c>
      <c r="BI387" s="37">
        <v>0</v>
      </c>
      <c r="BJ387" s="37">
        <v>0</v>
      </c>
      <c r="BK387" s="59">
        <v>0</v>
      </c>
      <c r="BL387" s="37">
        <v>0</v>
      </c>
      <c r="BM387" s="37">
        <v>0</v>
      </c>
      <c r="BN387" s="37">
        <v>0</v>
      </c>
      <c r="BO387" s="37">
        <v>0</v>
      </c>
      <c r="BP387" s="37">
        <v>0</v>
      </c>
      <c r="BQ387" s="37">
        <v>0</v>
      </c>
      <c r="BR387" s="37">
        <v>0</v>
      </c>
      <c r="BS387" s="37">
        <v>0</v>
      </c>
      <c r="BT387" s="37">
        <v>0</v>
      </c>
      <c r="BU387" s="37">
        <v>0</v>
      </c>
      <c r="BV387" s="37">
        <v>0</v>
      </c>
      <c r="BW387" s="59">
        <v>0</v>
      </c>
      <c r="BX387" s="59">
        <v>0</v>
      </c>
      <c r="BZ387" s="37">
        <v>0</v>
      </c>
      <c r="CA387" s="37">
        <v>2000</v>
      </c>
      <c r="CB387" s="37">
        <v>0</v>
      </c>
      <c r="CC387" s="37">
        <v>400</v>
      </c>
      <c r="CD387" s="37">
        <v>200</v>
      </c>
      <c r="CE387" s="37">
        <v>80</v>
      </c>
      <c r="CF387" s="37">
        <v>0</v>
      </c>
      <c r="CG387" s="59">
        <v>2680</v>
      </c>
      <c r="CH387" s="37">
        <v>0</v>
      </c>
      <c r="CI387" s="37">
        <v>0</v>
      </c>
      <c r="CJ387" s="37">
        <v>0</v>
      </c>
      <c r="CK387" s="37">
        <v>0</v>
      </c>
      <c r="CL387" s="37">
        <v>0</v>
      </c>
      <c r="CM387" s="37">
        <v>0</v>
      </c>
      <c r="CN387" s="59">
        <v>0</v>
      </c>
      <c r="CO387" s="59">
        <v>2680</v>
      </c>
      <c r="CP387" s="58"/>
      <c r="CQ387" s="3">
        <v>2680</v>
      </c>
    </row>
    <row r="388" spans="1:95" customFormat="1" x14ac:dyDescent="0.2">
      <c r="A388" s="209">
        <v>43347</v>
      </c>
      <c r="B388" s="33" t="s">
        <v>55</v>
      </c>
      <c r="C388" s="33" t="s">
        <v>56</v>
      </c>
      <c r="D388" s="43">
        <v>0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47">
        <v>0</v>
      </c>
      <c r="R388" s="37">
        <v>0</v>
      </c>
      <c r="S388" s="37">
        <v>0</v>
      </c>
      <c r="T388" s="37">
        <v>0</v>
      </c>
      <c r="U388" s="37">
        <v>0</v>
      </c>
      <c r="V388" s="37">
        <v>2000</v>
      </c>
      <c r="W388" s="37">
        <v>0</v>
      </c>
      <c r="X388" s="37">
        <v>0</v>
      </c>
      <c r="Y388" s="37">
        <v>0</v>
      </c>
      <c r="Z388" s="37">
        <v>400</v>
      </c>
      <c r="AA388" s="37">
        <v>0</v>
      </c>
      <c r="AB388" s="37">
        <v>200</v>
      </c>
      <c r="AC388" s="37">
        <v>0</v>
      </c>
      <c r="AD388" s="37">
        <v>80</v>
      </c>
      <c r="AE388" s="37">
        <v>0</v>
      </c>
      <c r="AF388" s="37">
        <v>0</v>
      </c>
      <c r="AG388" s="59">
        <v>2680</v>
      </c>
      <c r="AH388" s="37">
        <v>0</v>
      </c>
      <c r="AI388" s="37">
        <v>0</v>
      </c>
      <c r="AJ388" s="37">
        <v>0</v>
      </c>
      <c r="AK388" s="37">
        <v>0</v>
      </c>
      <c r="AL388" s="37">
        <v>5</v>
      </c>
      <c r="AM388" s="37">
        <v>0</v>
      </c>
      <c r="AN388" s="37">
        <v>4</v>
      </c>
      <c r="AO388" s="37">
        <v>0</v>
      </c>
      <c r="AP388" s="37">
        <v>2</v>
      </c>
      <c r="AQ388" s="37">
        <v>0</v>
      </c>
      <c r="AR388" s="37">
        <v>0</v>
      </c>
      <c r="AS388" s="59">
        <v>11</v>
      </c>
      <c r="AT388" s="59">
        <v>2691</v>
      </c>
      <c r="AU388" s="45"/>
      <c r="AV388" s="37">
        <v>0</v>
      </c>
      <c r="AW388" s="37">
        <v>0</v>
      </c>
      <c r="AX388" s="37">
        <v>0</v>
      </c>
      <c r="AY388" s="37">
        <v>0</v>
      </c>
      <c r="AZ388" s="37">
        <v>0</v>
      </c>
      <c r="BA388" s="37">
        <v>0</v>
      </c>
      <c r="BB388" s="37">
        <v>0</v>
      </c>
      <c r="BC388" s="37">
        <v>0</v>
      </c>
      <c r="BD388" s="37">
        <v>0</v>
      </c>
      <c r="BE388" s="37">
        <v>0</v>
      </c>
      <c r="BF388" s="37">
        <v>0</v>
      </c>
      <c r="BG388" s="37">
        <v>0</v>
      </c>
      <c r="BH388" s="37">
        <v>0</v>
      </c>
      <c r="BI388" s="37">
        <v>0</v>
      </c>
      <c r="BJ388" s="37">
        <v>0</v>
      </c>
      <c r="BK388" s="59">
        <v>0</v>
      </c>
      <c r="BL388" s="37">
        <v>0</v>
      </c>
      <c r="BM388" s="37">
        <v>0</v>
      </c>
      <c r="BN388" s="37">
        <v>0</v>
      </c>
      <c r="BO388" s="37">
        <v>0</v>
      </c>
      <c r="BP388" s="37">
        <v>0</v>
      </c>
      <c r="BQ388" s="37">
        <v>0</v>
      </c>
      <c r="BR388" s="37">
        <v>0</v>
      </c>
      <c r="BS388" s="37">
        <v>0</v>
      </c>
      <c r="BT388" s="37">
        <v>0</v>
      </c>
      <c r="BU388" s="37">
        <v>0</v>
      </c>
      <c r="BV388" s="37">
        <v>0</v>
      </c>
      <c r="BW388" s="59">
        <v>0</v>
      </c>
      <c r="BX388" s="59">
        <v>0</v>
      </c>
      <c r="BZ388" s="37">
        <v>0</v>
      </c>
      <c r="CA388" s="37">
        <v>2000</v>
      </c>
      <c r="CB388" s="37">
        <v>0</v>
      </c>
      <c r="CC388" s="37">
        <v>400</v>
      </c>
      <c r="CD388" s="37">
        <v>200</v>
      </c>
      <c r="CE388" s="37">
        <v>80</v>
      </c>
      <c r="CF388" s="37">
        <v>0</v>
      </c>
      <c r="CG388" s="59">
        <v>2680</v>
      </c>
      <c r="CH388" s="37">
        <v>0</v>
      </c>
      <c r="CI388" s="37">
        <v>5</v>
      </c>
      <c r="CJ388" s="37">
        <v>4</v>
      </c>
      <c r="CK388" s="37">
        <v>2</v>
      </c>
      <c r="CL388" s="37">
        <v>0</v>
      </c>
      <c r="CM388" s="37">
        <v>0</v>
      </c>
      <c r="CN388" s="59">
        <v>11</v>
      </c>
      <c r="CO388" s="59">
        <v>2691</v>
      </c>
      <c r="CP388" s="58"/>
      <c r="CQ388" s="3">
        <v>2691</v>
      </c>
    </row>
    <row r="389" spans="1:95" customFormat="1" x14ac:dyDescent="0.2">
      <c r="A389" s="209">
        <v>43347</v>
      </c>
      <c r="B389" s="33" t="s">
        <v>68</v>
      </c>
      <c r="C389" s="33" t="s">
        <v>146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1</v>
      </c>
      <c r="O389" s="43">
        <v>0</v>
      </c>
      <c r="P389" s="47" t="s">
        <v>45</v>
      </c>
      <c r="R389" s="37">
        <v>0</v>
      </c>
      <c r="S389" s="37">
        <v>0</v>
      </c>
      <c r="T389" s="37">
        <v>0</v>
      </c>
      <c r="U389" s="37">
        <v>0</v>
      </c>
      <c r="V389" s="37">
        <v>1100000</v>
      </c>
      <c r="W389" s="37">
        <v>0</v>
      </c>
      <c r="X389" s="37">
        <v>0</v>
      </c>
      <c r="Y389" s="37">
        <v>0</v>
      </c>
      <c r="Z389" s="37">
        <v>120000</v>
      </c>
      <c r="AA389" s="37">
        <v>0</v>
      </c>
      <c r="AB389" s="37">
        <v>0</v>
      </c>
      <c r="AC389" s="37">
        <v>0</v>
      </c>
      <c r="AD389" s="37">
        <v>0</v>
      </c>
      <c r="AE389" s="37">
        <v>0</v>
      </c>
      <c r="AF389" s="37">
        <v>0</v>
      </c>
      <c r="AG389" s="59">
        <v>1220000</v>
      </c>
      <c r="AH389" s="37">
        <v>0</v>
      </c>
      <c r="AI389" s="37">
        <v>0</v>
      </c>
      <c r="AJ389" s="37">
        <v>2250</v>
      </c>
      <c r="AK389" s="37">
        <v>0</v>
      </c>
      <c r="AL389" s="37">
        <v>0</v>
      </c>
      <c r="AM389" s="37">
        <v>0</v>
      </c>
      <c r="AN389" s="37">
        <v>0</v>
      </c>
      <c r="AO389" s="37">
        <v>0</v>
      </c>
      <c r="AP389" s="37">
        <v>200</v>
      </c>
      <c r="AQ389" s="37">
        <v>0</v>
      </c>
      <c r="AR389" s="37">
        <v>0</v>
      </c>
      <c r="AS389" s="59">
        <v>2450</v>
      </c>
      <c r="AT389" s="59">
        <v>1222450</v>
      </c>
      <c r="AU389" s="45"/>
      <c r="AV389" s="37">
        <v>0</v>
      </c>
      <c r="AW389" s="37">
        <v>0</v>
      </c>
      <c r="AX389" s="37">
        <v>0</v>
      </c>
      <c r="AY389" s="37">
        <v>0</v>
      </c>
      <c r="AZ389" s="37">
        <v>0</v>
      </c>
      <c r="BA389" s="37">
        <v>0</v>
      </c>
      <c r="BB389" s="37">
        <v>0</v>
      </c>
      <c r="BC389" s="37">
        <v>0</v>
      </c>
      <c r="BD389" s="37">
        <v>0</v>
      </c>
      <c r="BE389" s="37">
        <v>0</v>
      </c>
      <c r="BF389" s="37">
        <v>0</v>
      </c>
      <c r="BG389" s="37">
        <v>0</v>
      </c>
      <c r="BH389" s="37">
        <v>0</v>
      </c>
      <c r="BI389" s="37">
        <v>0</v>
      </c>
      <c r="BJ389" s="37">
        <v>0</v>
      </c>
      <c r="BK389" s="59">
        <v>0</v>
      </c>
      <c r="BL389" s="37">
        <v>0</v>
      </c>
      <c r="BM389" s="37">
        <v>0</v>
      </c>
      <c r="BN389" s="37">
        <v>0</v>
      </c>
      <c r="BO389" s="37">
        <v>0</v>
      </c>
      <c r="BP389" s="37">
        <v>0</v>
      </c>
      <c r="BQ389" s="37">
        <v>0</v>
      </c>
      <c r="BR389" s="37">
        <v>0</v>
      </c>
      <c r="BS389" s="37">
        <v>0</v>
      </c>
      <c r="BT389" s="37">
        <v>0</v>
      </c>
      <c r="BU389" s="37">
        <v>0</v>
      </c>
      <c r="BV389" s="37">
        <v>0</v>
      </c>
      <c r="BW389" s="59">
        <v>0</v>
      </c>
      <c r="BX389" s="59">
        <v>0</v>
      </c>
      <c r="BZ389" s="37">
        <v>0</v>
      </c>
      <c r="CA389" s="37">
        <v>1100000</v>
      </c>
      <c r="CB389" s="37">
        <v>0</v>
      </c>
      <c r="CC389" s="37">
        <v>120000</v>
      </c>
      <c r="CD389" s="37">
        <v>0</v>
      </c>
      <c r="CE389" s="37">
        <v>0</v>
      </c>
      <c r="CF389" s="37">
        <v>0</v>
      </c>
      <c r="CG389" s="59">
        <v>1220000</v>
      </c>
      <c r="CH389" s="37">
        <v>0</v>
      </c>
      <c r="CI389" s="37">
        <v>2250</v>
      </c>
      <c r="CJ389" s="37">
        <v>0</v>
      </c>
      <c r="CK389" s="37">
        <v>200</v>
      </c>
      <c r="CL389" s="37">
        <v>0</v>
      </c>
      <c r="CM389" s="37">
        <v>0</v>
      </c>
      <c r="CN389" s="59">
        <v>2450</v>
      </c>
      <c r="CO389" s="59">
        <v>1222450</v>
      </c>
      <c r="CP389" s="58"/>
      <c r="CQ389" s="3">
        <v>1222450</v>
      </c>
    </row>
    <row r="390" spans="1:95" customFormat="1" x14ac:dyDescent="0.2">
      <c r="A390" s="209">
        <v>43348</v>
      </c>
      <c r="B390" s="33" t="s">
        <v>55</v>
      </c>
      <c r="C390" s="33" t="s">
        <v>56</v>
      </c>
      <c r="D390" s="43">
        <v>0</v>
      </c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0</v>
      </c>
      <c r="O390" s="43">
        <v>0</v>
      </c>
      <c r="P390" s="47">
        <v>0</v>
      </c>
      <c r="R390" s="37">
        <v>0</v>
      </c>
      <c r="S390" s="37">
        <v>0</v>
      </c>
      <c r="T390" s="37">
        <v>0</v>
      </c>
      <c r="U390" s="37">
        <v>0</v>
      </c>
      <c r="V390" s="37">
        <v>2000</v>
      </c>
      <c r="W390" s="37">
        <v>0</v>
      </c>
      <c r="X390" s="37">
        <v>800</v>
      </c>
      <c r="Y390" s="37">
        <v>0</v>
      </c>
      <c r="Z390" s="37">
        <v>400</v>
      </c>
      <c r="AA390" s="37">
        <v>0</v>
      </c>
      <c r="AB390" s="37">
        <v>200</v>
      </c>
      <c r="AC390" s="37">
        <v>0</v>
      </c>
      <c r="AD390" s="37">
        <v>80</v>
      </c>
      <c r="AE390" s="37">
        <v>0</v>
      </c>
      <c r="AF390" s="37">
        <v>0</v>
      </c>
      <c r="AG390" s="59">
        <v>3480</v>
      </c>
      <c r="AH390" s="37">
        <v>0</v>
      </c>
      <c r="AI390" s="37">
        <v>0</v>
      </c>
      <c r="AJ390" s="37">
        <v>0</v>
      </c>
      <c r="AK390" s="37">
        <v>0</v>
      </c>
      <c r="AL390" s="37">
        <v>0</v>
      </c>
      <c r="AM390" s="37">
        <v>0</v>
      </c>
      <c r="AN390" s="37">
        <v>0</v>
      </c>
      <c r="AO390" s="37">
        <v>0</v>
      </c>
      <c r="AP390" s="37">
        <v>0</v>
      </c>
      <c r="AQ390" s="37">
        <v>0</v>
      </c>
      <c r="AR390" s="37">
        <v>0</v>
      </c>
      <c r="AS390" s="59">
        <v>0</v>
      </c>
      <c r="AT390" s="59">
        <v>3480</v>
      </c>
      <c r="AU390" s="45"/>
      <c r="AV390" s="37">
        <v>0</v>
      </c>
      <c r="AW390" s="37">
        <v>0</v>
      </c>
      <c r="AX390" s="37">
        <v>0</v>
      </c>
      <c r="AY390" s="37">
        <v>0</v>
      </c>
      <c r="AZ390" s="37">
        <v>0</v>
      </c>
      <c r="BA390" s="37">
        <v>0</v>
      </c>
      <c r="BB390" s="37">
        <v>0</v>
      </c>
      <c r="BC390" s="37">
        <v>0</v>
      </c>
      <c r="BD390" s="37">
        <v>0</v>
      </c>
      <c r="BE390" s="37">
        <v>0</v>
      </c>
      <c r="BF390" s="37">
        <v>0</v>
      </c>
      <c r="BG390" s="37">
        <v>0</v>
      </c>
      <c r="BH390" s="37">
        <v>0</v>
      </c>
      <c r="BI390" s="37">
        <v>0</v>
      </c>
      <c r="BJ390" s="37">
        <v>0</v>
      </c>
      <c r="BK390" s="59">
        <v>0</v>
      </c>
      <c r="BL390" s="37">
        <v>0</v>
      </c>
      <c r="BM390" s="37">
        <v>0</v>
      </c>
      <c r="BN390" s="37">
        <v>0</v>
      </c>
      <c r="BO390" s="37">
        <v>0</v>
      </c>
      <c r="BP390" s="37">
        <v>0</v>
      </c>
      <c r="BQ390" s="37">
        <v>0</v>
      </c>
      <c r="BR390" s="37">
        <v>0</v>
      </c>
      <c r="BS390" s="37">
        <v>0</v>
      </c>
      <c r="BT390" s="37">
        <v>0</v>
      </c>
      <c r="BU390" s="37">
        <v>0</v>
      </c>
      <c r="BV390" s="37">
        <v>0</v>
      </c>
      <c r="BW390" s="59">
        <v>0</v>
      </c>
      <c r="BX390" s="59">
        <v>0</v>
      </c>
      <c r="BZ390" s="37">
        <v>0</v>
      </c>
      <c r="CA390" s="37">
        <v>2000</v>
      </c>
      <c r="CB390" s="37">
        <v>800</v>
      </c>
      <c r="CC390" s="37">
        <v>400</v>
      </c>
      <c r="CD390" s="37">
        <v>200</v>
      </c>
      <c r="CE390" s="37">
        <v>80</v>
      </c>
      <c r="CF390" s="37">
        <v>0</v>
      </c>
      <c r="CG390" s="59">
        <v>3480</v>
      </c>
      <c r="CH390" s="37">
        <v>0</v>
      </c>
      <c r="CI390" s="37">
        <v>0</v>
      </c>
      <c r="CJ390" s="37">
        <v>0</v>
      </c>
      <c r="CK390" s="37">
        <v>0</v>
      </c>
      <c r="CL390" s="37">
        <v>0</v>
      </c>
      <c r="CM390" s="37">
        <v>0</v>
      </c>
      <c r="CN390" s="59">
        <v>0</v>
      </c>
      <c r="CO390" s="59">
        <v>3480</v>
      </c>
      <c r="CP390" s="58"/>
      <c r="CQ390" s="3">
        <v>3480</v>
      </c>
    </row>
    <row r="391" spans="1:95" customFormat="1" x14ac:dyDescent="0.2">
      <c r="A391" s="209">
        <v>43348</v>
      </c>
      <c r="B391" s="33" t="s">
        <v>53</v>
      </c>
      <c r="C391" s="33" t="s">
        <v>54</v>
      </c>
      <c r="D391" s="43">
        <v>1</v>
      </c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0</v>
      </c>
      <c r="O391" s="43">
        <v>0</v>
      </c>
      <c r="P391" s="47" t="s">
        <v>45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37">
        <v>0</v>
      </c>
      <c r="AF391" s="37">
        <v>0</v>
      </c>
      <c r="AG391" s="59">
        <v>0</v>
      </c>
      <c r="AH391" s="37">
        <v>0</v>
      </c>
      <c r="AI391" s="37">
        <v>0</v>
      </c>
      <c r="AJ391" s="37">
        <v>0</v>
      </c>
      <c r="AK391" s="37">
        <v>0</v>
      </c>
      <c r="AL391" s="37">
        <v>0</v>
      </c>
      <c r="AM391" s="37">
        <v>0</v>
      </c>
      <c r="AN391" s="37">
        <v>0</v>
      </c>
      <c r="AO391" s="37">
        <v>0</v>
      </c>
      <c r="AP391" s="37">
        <v>400</v>
      </c>
      <c r="AQ391" s="37">
        <v>0</v>
      </c>
      <c r="AR391" s="37">
        <v>0</v>
      </c>
      <c r="AS391" s="59">
        <v>400</v>
      </c>
      <c r="AT391" s="59">
        <v>400</v>
      </c>
      <c r="AU391" s="45"/>
      <c r="AV391" s="37">
        <v>0</v>
      </c>
      <c r="AW391" s="37">
        <v>0</v>
      </c>
      <c r="AX391" s="37">
        <v>0</v>
      </c>
      <c r="AY391" s="37">
        <v>0</v>
      </c>
      <c r="AZ391" s="37">
        <v>0</v>
      </c>
      <c r="BA391" s="37">
        <v>0</v>
      </c>
      <c r="BB391" s="37">
        <v>0</v>
      </c>
      <c r="BC391" s="37">
        <v>0</v>
      </c>
      <c r="BD391" s="37">
        <v>0</v>
      </c>
      <c r="BE391" s="37">
        <v>0</v>
      </c>
      <c r="BF391" s="37">
        <v>0</v>
      </c>
      <c r="BG391" s="37">
        <v>0</v>
      </c>
      <c r="BH391" s="37">
        <v>0</v>
      </c>
      <c r="BI391" s="37">
        <v>0</v>
      </c>
      <c r="BJ391" s="37">
        <v>0</v>
      </c>
      <c r="BK391" s="59">
        <v>0</v>
      </c>
      <c r="BL391" s="37">
        <v>0</v>
      </c>
      <c r="BM391" s="37">
        <v>0</v>
      </c>
      <c r="BN391" s="37">
        <v>0</v>
      </c>
      <c r="BO391" s="37">
        <v>0</v>
      </c>
      <c r="BP391" s="37">
        <v>0</v>
      </c>
      <c r="BQ391" s="37">
        <v>0</v>
      </c>
      <c r="BR391" s="37">
        <v>0</v>
      </c>
      <c r="BS391" s="37">
        <v>0</v>
      </c>
      <c r="BT391" s="37">
        <v>0</v>
      </c>
      <c r="BU391" s="37">
        <v>0</v>
      </c>
      <c r="BV391" s="37">
        <v>0</v>
      </c>
      <c r="BW391" s="59">
        <v>0</v>
      </c>
      <c r="BX391" s="59">
        <v>0</v>
      </c>
      <c r="BZ391" s="37">
        <v>0</v>
      </c>
      <c r="CA391" s="37">
        <v>0</v>
      </c>
      <c r="CB391" s="37">
        <v>0</v>
      </c>
      <c r="CC391" s="37">
        <v>0</v>
      </c>
      <c r="CD391" s="37">
        <v>0</v>
      </c>
      <c r="CE391" s="37">
        <v>0</v>
      </c>
      <c r="CF391" s="37">
        <v>0</v>
      </c>
      <c r="CG391" s="59">
        <v>0</v>
      </c>
      <c r="CH391" s="37">
        <v>0</v>
      </c>
      <c r="CI391" s="37">
        <v>0</v>
      </c>
      <c r="CJ391" s="37">
        <v>0</v>
      </c>
      <c r="CK391" s="37">
        <v>400</v>
      </c>
      <c r="CL391" s="37">
        <v>0</v>
      </c>
      <c r="CM391" s="37">
        <v>0</v>
      </c>
      <c r="CN391" s="59">
        <v>400</v>
      </c>
      <c r="CO391" s="59">
        <v>400</v>
      </c>
      <c r="CP391" s="58"/>
      <c r="CQ391" s="3">
        <v>400</v>
      </c>
    </row>
    <row r="392" spans="1:95" customFormat="1" x14ac:dyDescent="0.2">
      <c r="A392" s="209">
        <v>43349</v>
      </c>
      <c r="B392" s="33" t="s">
        <v>55</v>
      </c>
      <c r="C392" s="33" t="s">
        <v>56</v>
      </c>
      <c r="D392" s="43">
        <v>0</v>
      </c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2000</v>
      </c>
      <c r="W392" s="37">
        <v>0</v>
      </c>
      <c r="X392" s="37">
        <v>800</v>
      </c>
      <c r="Y392" s="37">
        <v>0</v>
      </c>
      <c r="Z392" s="37">
        <v>400</v>
      </c>
      <c r="AA392" s="37">
        <v>0</v>
      </c>
      <c r="AB392" s="37">
        <v>200</v>
      </c>
      <c r="AC392" s="37">
        <v>0</v>
      </c>
      <c r="AD392" s="37">
        <v>80</v>
      </c>
      <c r="AE392" s="37">
        <v>0</v>
      </c>
      <c r="AF392" s="37">
        <v>0</v>
      </c>
      <c r="AG392" s="59">
        <v>3480</v>
      </c>
      <c r="AH392" s="37">
        <v>0</v>
      </c>
      <c r="AI392" s="37">
        <v>0</v>
      </c>
      <c r="AJ392" s="37">
        <v>0</v>
      </c>
      <c r="AK392" s="37">
        <v>0</v>
      </c>
      <c r="AL392" s="37">
        <v>0</v>
      </c>
      <c r="AM392" s="37">
        <v>0</v>
      </c>
      <c r="AN392" s="37">
        <v>0</v>
      </c>
      <c r="AO392" s="37">
        <v>0</v>
      </c>
      <c r="AP392" s="37">
        <v>0</v>
      </c>
      <c r="AQ392" s="37">
        <v>0</v>
      </c>
      <c r="AR392" s="37">
        <v>0</v>
      </c>
      <c r="AS392" s="59">
        <v>0</v>
      </c>
      <c r="AT392" s="59">
        <v>3480</v>
      </c>
      <c r="AU392" s="45"/>
      <c r="AV392" s="37">
        <v>0</v>
      </c>
      <c r="AW392" s="37">
        <v>0</v>
      </c>
      <c r="AX392" s="37">
        <v>0</v>
      </c>
      <c r="AY392" s="37">
        <v>0</v>
      </c>
      <c r="AZ392" s="37">
        <v>0</v>
      </c>
      <c r="BA392" s="37">
        <v>0</v>
      </c>
      <c r="BB392" s="37">
        <v>0</v>
      </c>
      <c r="BC392" s="37">
        <v>0</v>
      </c>
      <c r="BD392" s="37">
        <v>0</v>
      </c>
      <c r="BE392" s="37">
        <v>0</v>
      </c>
      <c r="BF392" s="37">
        <v>0</v>
      </c>
      <c r="BG392" s="37">
        <v>0</v>
      </c>
      <c r="BH392" s="37">
        <v>0</v>
      </c>
      <c r="BI392" s="37">
        <v>0</v>
      </c>
      <c r="BJ392" s="37">
        <v>0</v>
      </c>
      <c r="BK392" s="59">
        <v>0</v>
      </c>
      <c r="BL392" s="37">
        <v>0</v>
      </c>
      <c r="BM392" s="37">
        <v>0</v>
      </c>
      <c r="BN392" s="37">
        <v>0</v>
      </c>
      <c r="BO392" s="37">
        <v>0</v>
      </c>
      <c r="BP392" s="37">
        <v>0</v>
      </c>
      <c r="BQ392" s="37">
        <v>0</v>
      </c>
      <c r="BR392" s="37">
        <v>0</v>
      </c>
      <c r="BS392" s="37">
        <v>0</v>
      </c>
      <c r="BT392" s="37">
        <v>0</v>
      </c>
      <c r="BU392" s="37">
        <v>0</v>
      </c>
      <c r="BV392" s="37">
        <v>0</v>
      </c>
      <c r="BW392" s="59">
        <v>0</v>
      </c>
      <c r="BX392" s="59">
        <v>0</v>
      </c>
      <c r="BZ392" s="37">
        <v>0</v>
      </c>
      <c r="CA392" s="37">
        <v>2000</v>
      </c>
      <c r="CB392" s="37">
        <v>800</v>
      </c>
      <c r="CC392" s="37">
        <v>400</v>
      </c>
      <c r="CD392" s="37">
        <v>200</v>
      </c>
      <c r="CE392" s="37">
        <v>80</v>
      </c>
      <c r="CF392" s="37">
        <v>0</v>
      </c>
      <c r="CG392" s="59">
        <v>3480</v>
      </c>
      <c r="CH392" s="37">
        <v>0</v>
      </c>
      <c r="CI392" s="37">
        <v>0</v>
      </c>
      <c r="CJ392" s="37">
        <v>0</v>
      </c>
      <c r="CK392" s="37">
        <v>0</v>
      </c>
      <c r="CL392" s="37">
        <v>0</v>
      </c>
      <c r="CM392" s="37">
        <v>0</v>
      </c>
      <c r="CN392" s="59">
        <v>0</v>
      </c>
      <c r="CO392" s="59">
        <v>3480</v>
      </c>
      <c r="CP392" s="58"/>
      <c r="CQ392" s="3">
        <v>3480</v>
      </c>
    </row>
    <row r="393" spans="1:95" customFormat="1" x14ac:dyDescent="0.2">
      <c r="A393" s="209">
        <v>43349</v>
      </c>
      <c r="B393" s="33" t="s">
        <v>66</v>
      </c>
      <c r="C393" s="33" t="s">
        <v>65</v>
      </c>
      <c r="D393" s="43">
        <v>0</v>
      </c>
      <c r="E393" s="43">
        <v>0</v>
      </c>
      <c r="F393" s="43">
        <v>0</v>
      </c>
      <c r="G393" s="43">
        <v>0</v>
      </c>
      <c r="H393" s="43">
        <v>0</v>
      </c>
      <c r="I393" s="43">
        <v>1</v>
      </c>
      <c r="J393" s="43">
        <v>0</v>
      </c>
      <c r="K393" s="43">
        <v>0</v>
      </c>
      <c r="L393" s="43">
        <v>0</v>
      </c>
      <c r="M393" s="43">
        <v>0</v>
      </c>
      <c r="N393" s="43">
        <v>0</v>
      </c>
      <c r="O393" s="43">
        <v>0</v>
      </c>
      <c r="P393" s="47" t="s">
        <v>45</v>
      </c>
      <c r="R393" s="37">
        <v>0</v>
      </c>
      <c r="S393" s="37">
        <v>0</v>
      </c>
      <c r="T393" s="37">
        <v>0</v>
      </c>
      <c r="U393" s="37">
        <v>0</v>
      </c>
      <c r="V393" s="37">
        <v>1000000</v>
      </c>
      <c r="W393" s="37">
        <v>0</v>
      </c>
      <c r="X393" s="37">
        <v>0</v>
      </c>
      <c r="Y393" s="37">
        <v>0</v>
      </c>
      <c r="Z393" s="37">
        <v>140000</v>
      </c>
      <c r="AA393" s="37">
        <v>0</v>
      </c>
      <c r="AB393" s="37">
        <v>60000</v>
      </c>
      <c r="AC393" s="37">
        <v>0</v>
      </c>
      <c r="AD393" s="37">
        <v>0</v>
      </c>
      <c r="AE393" s="37">
        <v>0</v>
      </c>
      <c r="AF393" s="37">
        <v>0</v>
      </c>
      <c r="AG393" s="59">
        <v>1200000</v>
      </c>
      <c r="AH393" s="37">
        <v>2500</v>
      </c>
      <c r="AI393" s="37">
        <v>0</v>
      </c>
      <c r="AJ393" s="37">
        <v>1250</v>
      </c>
      <c r="AK393" s="37">
        <v>0</v>
      </c>
      <c r="AL393" s="37">
        <v>0</v>
      </c>
      <c r="AM393" s="37">
        <v>0</v>
      </c>
      <c r="AN393" s="37">
        <v>0</v>
      </c>
      <c r="AO393" s="37">
        <v>0</v>
      </c>
      <c r="AP393" s="37">
        <v>0</v>
      </c>
      <c r="AQ393" s="37">
        <v>0</v>
      </c>
      <c r="AR393" s="37">
        <v>0</v>
      </c>
      <c r="AS393" s="59">
        <v>3750</v>
      </c>
      <c r="AT393" s="59">
        <v>1203750</v>
      </c>
      <c r="AU393" s="45"/>
      <c r="AV393" s="37">
        <v>0</v>
      </c>
      <c r="AW393" s="37">
        <v>0</v>
      </c>
      <c r="AX393" s="37">
        <v>0</v>
      </c>
      <c r="AY393" s="37">
        <v>0</v>
      </c>
      <c r="AZ393" s="37">
        <v>0</v>
      </c>
      <c r="BA393" s="37">
        <v>0</v>
      </c>
      <c r="BB393" s="37">
        <v>0</v>
      </c>
      <c r="BC393" s="37">
        <v>0</v>
      </c>
      <c r="BD393" s="37">
        <v>0</v>
      </c>
      <c r="BE393" s="37">
        <v>0</v>
      </c>
      <c r="BF393" s="37">
        <v>0</v>
      </c>
      <c r="BG393" s="37">
        <v>0</v>
      </c>
      <c r="BH393" s="37">
        <v>0</v>
      </c>
      <c r="BI393" s="37">
        <v>0</v>
      </c>
      <c r="BJ393" s="37">
        <v>0</v>
      </c>
      <c r="BK393" s="59">
        <v>0</v>
      </c>
      <c r="BL393" s="37">
        <v>0</v>
      </c>
      <c r="BM393" s="37">
        <v>0</v>
      </c>
      <c r="BN393" s="37">
        <v>0</v>
      </c>
      <c r="BO393" s="37">
        <v>0</v>
      </c>
      <c r="BP393" s="37">
        <v>0</v>
      </c>
      <c r="BQ393" s="37">
        <v>0</v>
      </c>
      <c r="BR393" s="37">
        <v>0</v>
      </c>
      <c r="BS393" s="37">
        <v>0</v>
      </c>
      <c r="BT393" s="37">
        <v>0</v>
      </c>
      <c r="BU393" s="37">
        <v>0</v>
      </c>
      <c r="BV393" s="37">
        <v>0</v>
      </c>
      <c r="BW393" s="59">
        <v>0</v>
      </c>
      <c r="BX393" s="59">
        <v>0</v>
      </c>
      <c r="BZ393" s="37">
        <v>0</v>
      </c>
      <c r="CA393" s="37">
        <v>1000000</v>
      </c>
      <c r="CB393" s="37">
        <v>0</v>
      </c>
      <c r="CC393" s="37">
        <v>140000</v>
      </c>
      <c r="CD393" s="37">
        <v>60000</v>
      </c>
      <c r="CE393" s="37">
        <v>0</v>
      </c>
      <c r="CF393" s="37">
        <v>0</v>
      </c>
      <c r="CG393" s="59">
        <v>1200000</v>
      </c>
      <c r="CH393" s="37">
        <v>2500</v>
      </c>
      <c r="CI393" s="37">
        <v>1250</v>
      </c>
      <c r="CJ393" s="37">
        <v>0</v>
      </c>
      <c r="CK393" s="37">
        <v>0</v>
      </c>
      <c r="CL393" s="37">
        <v>0</v>
      </c>
      <c r="CM393" s="37">
        <v>0</v>
      </c>
      <c r="CN393" s="59">
        <v>3750</v>
      </c>
      <c r="CO393" s="59">
        <v>1203750</v>
      </c>
      <c r="CP393" s="58"/>
      <c r="CQ393" s="3">
        <v>1203750</v>
      </c>
    </row>
    <row r="394" spans="1:95" customFormat="1" x14ac:dyDescent="0.2">
      <c r="A394" s="209">
        <v>43350</v>
      </c>
      <c r="B394" s="33" t="s">
        <v>55</v>
      </c>
      <c r="C394" s="33" t="s">
        <v>56</v>
      </c>
      <c r="D394" s="43">
        <v>0</v>
      </c>
      <c r="E394" s="43">
        <v>0</v>
      </c>
      <c r="F394" s="43">
        <v>0</v>
      </c>
      <c r="G394" s="43">
        <v>0</v>
      </c>
      <c r="H394" s="43">
        <v>0</v>
      </c>
      <c r="I394" s="43">
        <v>0</v>
      </c>
      <c r="J394" s="43">
        <v>0</v>
      </c>
      <c r="K394" s="43">
        <v>0</v>
      </c>
      <c r="L394" s="43">
        <v>0</v>
      </c>
      <c r="M394" s="43">
        <v>0</v>
      </c>
      <c r="N394" s="43">
        <v>0</v>
      </c>
      <c r="O394" s="43">
        <v>0</v>
      </c>
      <c r="P394" s="47">
        <v>0</v>
      </c>
      <c r="R394" s="37">
        <v>0</v>
      </c>
      <c r="S394" s="37">
        <v>0</v>
      </c>
      <c r="T394" s="37">
        <v>0</v>
      </c>
      <c r="U394" s="37">
        <v>0</v>
      </c>
      <c r="V394" s="37">
        <v>2000</v>
      </c>
      <c r="W394" s="37">
        <v>0</v>
      </c>
      <c r="X394" s="37">
        <v>800</v>
      </c>
      <c r="Y394" s="37">
        <v>0</v>
      </c>
      <c r="Z394" s="37">
        <v>400</v>
      </c>
      <c r="AA394" s="37">
        <v>0</v>
      </c>
      <c r="AB394" s="37">
        <v>200</v>
      </c>
      <c r="AC394" s="37">
        <v>0</v>
      </c>
      <c r="AD394" s="37">
        <v>80</v>
      </c>
      <c r="AE394" s="37">
        <v>0</v>
      </c>
      <c r="AF394" s="37">
        <v>0</v>
      </c>
      <c r="AG394" s="59">
        <v>3480</v>
      </c>
      <c r="AH394" s="37">
        <v>0</v>
      </c>
      <c r="AI394" s="37">
        <v>0</v>
      </c>
      <c r="AJ394" s="37">
        <v>0</v>
      </c>
      <c r="AK394" s="37">
        <v>0</v>
      </c>
      <c r="AL394" s="37">
        <v>5</v>
      </c>
      <c r="AM394" s="37">
        <v>0</v>
      </c>
      <c r="AN394" s="37">
        <v>4</v>
      </c>
      <c r="AO394" s="37">
        <v>0</v>
      </c>
      <c r="AP394" s="37">
        <v>2</v>
      </c>
      <c r="AQ394" s="37">
        <v>0</v>
      </c>
      <c r="AR394" s="37">
        <v>0</v>
      </c>
      <c r="AS394" s="59">
        <v>11</v>
      </c>
      <c r="AT394" s="59">
        <v>3491</v>
      </c>
      <c r="AU394" s="45"/>
      <c r="AV394" s="37">
        <v>0</v>
      </c>
      <c r="AW394" s="37">
        <v>0</v>
      </c>
      <c r="AX394" s="37">
        <v>0</v>
      </c>
      <c r="AY394" s="37">
        <v>0</v>
      </c>
      <c r="AZ394" s="37">
        <v>0</v>
      </c>
      <c r="BA394" s="37">
        <v>0</v>
      </c>
      <c r="BB394" s="37">
        <v>0</v>
      </c>
      <c r="BC394" s="37">
        <v>0</v>
      </c>
      <c r="BD394" s="37">
        <v>0</v>
      </c>
      <c r="BE394" s="37">
        <v>0</v>
      </c>
      <c r="BF394" s="37">
        <v>0</v>
      </c>
      <c r="BG394" s="37">
        <v>0</v>
      </c>
      <c r="BH394" s="37">
        <v>0</v>
      </c>
      <c r="BI394" s="37">
        <v>0</v>
      </c>
      <c r="BJ394" s="37">
        <v>0</v>
      </c>
      <c r="BK394" s="59">
        <v>0</v>
      </c>
      <c r="BL394" s="37">
        <v>0</v>
      </c>
      <c r="BM394" s="37">
        <v>0</v>
      </c>
      <c r="BN394" s="37">
        <v>0</v>
      </c>
      <c r="BO394" s="37">
        <v>0</v>
      </c>
      <c r="BP394" s="37">
        <v>0</v>
      </c>
      <c r="BQ394" s="37">
        <v>0</v>
      </c>
      <c r="BR394" s="37">
        <v>0</v>
      </c>
      <c r="BS394" s="37">
        <v>0</v>
      </c>
      <c r="BT394" s="37">
        <v>0</v>
      </c>
      <c r="BU394" s="37">
        <v>0</v>
      </c>
      <c r="BV394" s="37">
        <v>0</v>
      </c>
      <c r="BW394" s="59">
        <v>0</v>
      </c>
      <c r="BX394" s="59">
        <v>0</v>
      </c>
      <c r="BZ394" s="37">
        <v>0</v>
      </c>
      <c r="CA394" s="37">
        <v>2000</v>
      </c>
      <c r="CB394" s="37">
        <v>800</v>
      </c>
      <c r="CC394" s="37">
        <v>400</v>
      </c>
      <c r="CD394" s="37">
        <v>200</v>
      </c>
      <c r="CE394" s="37">
        <v>80</v>
      </c>
      <c r="CF394" s="37">
        <v>0</v>
      </c>
      <c r="CG394" s="59">
        <v>3480</v>
      </c>
      <c r="CH394" s="37">
        <v>0</v>
      </c>
      <c r="CI394" s="37">
        <v>5</v>
      </c>
      <c r="CJ394" s="37">
        <v>4</v>
      </c>
      <c r="CK394" s="37">
        <v>2</v>
      </c>
      <c r="CL394" s="37">
        <v>0</v>
      </c>
      <c r="CM394" s="37">
        <v>0</v>
      </c>
      <c r="CN394" s="59">
        <v>11</v>
      </c>
      <c r="CO394" s="59">
        <v>3491</v>
      </c>
      <c r="CP394" s="58"/>
      <c r="CQ394" s="3">
        <v>3491</v>
      </c>
    </row>
    <row r="395" spans="1:95" customFormat="1" x14ac:dyDescent="0.2">
      <c r="A395" s="209">
        <v>43350</v>
      </c>
      <c r="B395" s="33" t="s">
        <v>72</v>
      </c>
      <c r="C395" s="33" t="s">
        <v>137</v>
      </c>
      <c r="D395" s="43">
        <v>0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1</v>
      </c>
      <c r="L395" s="43">
        <v>0</v>
      </c>
      <c r="M395" s="43">
        <v>0</v>
      </c>
      <c r="N395" s="43">
        <v>0</v>
      </c>
      <c r="O395" s="43">
        <v>0</v>
      </c>
      <c r="P395" s="47" t="s">
        <v>45</v>
      </c>
      <c r="R395" s="37">
        <v>0</v>
      </c>
      <c r="S395" s="37">
        <v>0</v>
      </c>
      <c r="T395" s="37">
        <v>0</v>
      </c>
      <c r="U395" s="37">
        <v>0</v>
      </c>
      <c r="V395" s="37">
        <v>2200000</v>
      </c>
      <c r="W395" s="37">
        <v>0</v>
      </c>
      <c r="X395" s="37">
        <v>0</v>
      </c>
      <c r="Y395" s="37">
        <v>0</v>
      </c>
      <c r="Z395" s="37">
        <v>100000</v>
      </c>
      <c r="AA395" s="37">
        <v>0</v>
      </c>
      <c r="AB395" s="37">
        <v>0</v>
      </c>
      <c r="AC395" s="37">
        <v>0</v>
      </c>
      <c r="AD395" s="37">
        <v>0</v>
      </c>
      <c r="AE395" s="37">
        <v>0</v>
      </c>
      <c r="AF395" s="37">
        <v>0</v>
      </c>
      <c r="AG395" s="59">
        <v>2300000</v>
      </c>
      <c r="AH395" s="37">
        <v>1500</v>
      </c>
      <c r="AI395" s="37">
        <v>0</v>
      </c>
      <c r="AJ395" s="37">
        <v>0</v>
      </c>
      <c r="AK395" s="37">
        <v>0</v>
      </c>
      <c r="AL395" s="37">
        <v>0</v>
      </c>
      <c r="AM395" s="37">
        <v>0</v>
      </c>
      <c r="AN395" s="37">
        <v>400</v>
      </c>
      <c r="AO395" s="37">
        <v>0</v>
      </c>
      <c r="AP395" s="37">
        <v>100</v>
      </c>
      <c r="AQ395" s="37">
        <v>0</v>
      </c>
      <c r="AR395" s="37">
        <v>0</v>
      </c>
      <c r="AS395" s="59">
        <v>2000</v>
      </c>
      <c r="AT395" s="59">
        <v>2302000</v>
      </c>
      <c r="AU395" s="45"/>
      <c r="AV395" s="37">
        <v>0</v>
      </c>
      <c r="AW395" s="37">
        <v>0</v>
      </c>
      <c r="AX395" s="37">
        <v>0</v>
      </c>
      <c r="AY395" s="37">
        <v>0</v>
      </c>
      <c r="AZ395" s="37">
        <v>0</v>
      </c>
      <c r="BA395" s="37">
        <v>0</v>
      </c>
      <c r="BB395" s="37">
        <v>0</v>
      </c>
      <c r="BC395" s="37">
        <v>0</v>
      </c>
      <c r="BD395" s="37">
        <v>0</v>
      </c>
      <c r="BE395" s="37">
        <v>0</v>
      </c>
      <c r="BF395" s="37">
        <v>0</v>
      </c>
      <c r="BG395" s="37">
        <v>0</v>
      </c>
      <c r="BH395" s="37">
        <v>0</v>
      </c>
      <c r="BI395" s="37">
        <v>0</v>
      </c>
      <c r="BJ395" s="37">
        <v>0</v>
      </c>
      <c r="BK395" s="59">
        <v>0</v>
      </c>
      <c r="BL395" s="37">
        <v>0</v>
      </c>
      <c r="BM395" s="37">
        <v>0</v>
      </c>
      <c r="BN395" s="37">
        <v>0</v>
      </c>
      <c r="BO395" s="37">
        <v>0</v>
      </c>
      <c r="BP395" s="37">
        <v>0</v>
      </c>
      <c r="BQ395" s="37">
        <v>0</v>
      </c>
      <c r="BR395" s="37">
        <v>0</v>
      </c>
      <c r="BS395" s="37">
        <v>0</v>
      </c>
      <c r="BT395" s="37">
        <v>0</v>
      </c>
      <c r="BU395" s="37">
        <v>0</v>
      </c>
      <c r="BV395" s="37">
        <v>0</v>
      </c>
      <c r="BW395" s="59">
        <v>0</v>
      </c>
      <c r="BX395" s="59">
        <v>0</v>
      </c>
      <c r="BZ395" s="37">
        <v>0</v>
      </c>
      <c r="CA395" s="37">
        <v>2200000</v>
      </c>
      <c r="CB395" s="37">
        <v>0</v>
      </c>
      <c r="CC395" s="37">
        <v>100000</v>
      </c>
      <c r="CD395" s="37">
        <v>0</v>
      </c>
      <c r="CE395" s="37">
        <v>0</v>
      </c>
      <c r="CF395" s="37">
        <v>0</v>
      </c>
      <c r="CG395" s="59">
        <v>2300000</v>
      </c>
      <c r="CH395" s="37">
        <v>1500</v>
      </c>
      <c r="CI395" s="37">
        <v>0</v>
      </c>
      <c r="CJ395" s="37">
        <v>400</v>
      </c>
      <c r="CK395" s="37">
        <v>100</v>
      </c>
      <c r="CL395" s="37">
        <v>0</v>
      </c>
      <c r="CM395" s="37">
        <v>0</v>
      </c>
      <c r="CN395" s="59">
        <v>2000</v>
      </c>
      <c r="CO395" s="59">
        <v>2302000</v>
      </c>
      <c r="CP395" s="58"/>
      <c r="CQ395" s="3">
        <v>2302000</v>
      </c>
    </row>
    <row r="396" spans="1:95" customFormat="1" x14ac:dyDescent="0.2">
      <c r="A396" s="209">
        <v>43350</v>
      </c>
      <c r="B396" s="33" t="s">
        <v>62</v>
      </c>
      <c r="C396" s="33" t="s">
        <v>144</v>
      </c>
      <c r="D396" s="43">
        <v>0</v>
      </c>
      <c r="E396" s="43">
        <v>0</v>
      </c>
      <c r="F396" s="43">
        <v>0</v>
      </c>
      <c r="G396" s="43">
        <v>0</v>
      </c>
      <c r="H396" s="43">
        <v>0</v>
      </c>
      <c r="I396" s="43">
        <v>1</v>
      </c>
      <c r="J396" s="43">
        <v>0</v>
      </c>
      <c r="K396" s="43">
        <v>0</v>
      </c>
      <c r="L396" s="43">
        <v>0</v>
      </c>
      <c r="M396" s="43">
        <v>0</v>
      </c>
      <c r="N396" s="43">
        <v>0</v>
      </c>
      <c r="O396" s="43">
        <v>0</v>
      </c>
      <c r="P396" s="47" t="s">
        <v>67</v>
      </c>
      <c r="R396" s="37">
        <v>500000</v>
      </c>
      <c r="S396" s="37">
        <v>0</v>
      </c>
      <c r="T396" s="37">
        <v>1700000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59">
        <v>2200000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59">
        <v>0</v>
      </c>
      <c r="AT396" s="59">
        <v>2200000</v>
      </c>
      <c r="AU396" s="45"/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>
        <v>0</v>
      </c>
      <c r="BB396" s="37">
        <v>0</v>
      </c>
      <c r="BC396" s="37">
        <v>0</v>
      </c>
      <c r="BD396" s="37">
        <v>0</v>
      </c>
      <c r="BE396" s="37">
        <v>0</v>
      </c>
      <c r="BF396" s="37">
        <v>0</v>
      </c>
      <c r="BG396" s="37">
        <v>0</v>
      </c>
      <c r="BH396" s="37">
        <v>0</v>
      </c>
      <c r="BI396" s="37">
        <v>0</v>
      </c>
      <c r="BJ396" s="37">
        <v>0</v>
      </c>
      <c r="BK396" s="59">
        <v>0</v>
      </c>
      <c r="BL396" s="37">
        <v>0</v>
      </c>
      <c r="BM396" s="37">
        <v>0</v>
      </c>
      <c r="BN396" s="37">
        <v>0</v>
      </c>
      <c r="BO396" s="37">
        <v>0</v>
      </c>
      <c r="BP396" s="37">
        <v>0</v>
      </c>
      <c r="BQ396" s="37">
        <v>0</v>
      </c>
      <c r="BR396" s="37">
        <v>0</v>
      </c>
      <c r="BS396" s="37">
        <v>0</v>
      </c>
      <c r="BT396" s="37">
        <v>0</v>
      </c>
      <c r="BU396" s="37">
        <v>0</v>
      </c>
      <c r="BV396" s="37">
        <v>0</v>
      </c>
      <c r="BW396" s="59">
        <v>0</v>
      </c>
      <c r="BX396" s="59">
        <v>0</v>
      </c>
      <c r="BZ396" s="37">
        <v>2200000</v>
      </c>
      <c r="CA396" s="37">
        <v>0</v>
      </c>
      <c r="CB396" s="37">
        <v>0</v>
      </c>
      <c r="CC396" s="37">
        <v>0</v>
      </c>
      <c r="CD396" s="37">
        <v>0</v>
      </c>
      <c r="CE396" s="37">
        <v>0</v>
      </c>
      <c r="CF396" s="37">
        <v>0</v>
      </c>
      <c r="CG396" s="59">
        <v>2200000</v>
      </c>
      <c r="CH396" s="37">
        <v>0</v>
      </c>
      <c r="CI396" s="37">
        <v>0</v>
      </c>
      <c r="CJ396" s="37">
        <v>0</v>
      </c>
      <c r="CK396" s="37">
        <v>0</v>
      </c>
      <c r="CL396" s="37">
        <v>0</v>
      </c>
      <c r="CM396" s="37">
        <v>0</v>
      </c>
      <c r="CN396" s="59">
        <v>0</v>
      </c>
      <c r="CO396" s="59">
        <v>2200000</v>
      </c>
      <c r="CP396" s="58"/>
      <c r="CQ396" s="3">
        <v>2200000</v>
      </c>
    </row>
    <row r="397" spans="1:95" customFormat="1" x14ac:dyDescent="0.2">
      <c r="A397" s="209">
        <v>43353</v>
      </c>
      <c r="B397" s="33" t="s">
        <v>55</v>
      </c>
      <c r="C397" s="33" t="s">
        <v>56</v>
      </c>
      <c r="D397" s="43">
        <v>0</v>
      </c>
      <c r="E397" s="43">
        <v>0</v>
      </c>
      <c r="F397" s="43">
        <v>0</v>
      </c>
      <c r="G397" s="43">
        <v>0</v>
      </c>
      <c r="H397" s="43">
        <v>0</v>
      </c>
      <c r="I397" s="43">
        <v>0</v>
      </c>
      <c r="J397" s="43">
        <v>0</v>
      </c>
      <c r="K397" s="43">
        <v>0</v>
      </c>
      <c r="L397" s="43">
        <v>0</v>
      </c>
      <c r="M397" s="43">
        <v>0</v>
      </c>
      <c r="N397" s="43">
        <v>0</v>
      </c>
      <c r="O397" s="43">
        <v>0</v>
      </c>
      <c r="P397" s="47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2000</v>
      </c>
      <c r="W397" s="37">
        <v>0</v>
      </c>
      <c r="X397" s="37">
        <v>800</v>
      </c>
      <c r="Y397" s="37">
        <v>0</v>
      </c>
      <c r="Z397" s="37">
        <v>400</v>
      </c>
      <c r="AA397" s="37">
        <v>0</v>
      </c>
      <c r="AB397" s="37">
        <v>200</v>
      </c>
      <c r="AC397" s="37">
        <v>0</v>
      </c>
      <c r="AD397" s="37">
        <v>80</v>
      </c>
      <c r="AE397" s="37">
        <v>0</v>
      </c>
      <c r="AF397" s="37">
        <v>0</v>
      </c>
      <c r="AG397" s="59">
        <v>3480</v>
      </c>
      <c r="AH397" s="37">
        <v>0</v>
      </c>
      <c r="AI397" s="37">
        <v>0</v>
      </c>
      <c r="AJ397" s="37">
        <v>0</v>
      </c>
      <c r="AK397" s="37">
        <v>0</v>
      </c>
      <c r="AL397" s="37">
        <v>0</v>
      </c>
      <c r="AM397" s="37">
        <v>0</v>
      </c>
      <c r="AN397" s="37">
        <v>0</v>
      </c>
      <c r="AO397" s="37">
        <v>0</v>
      </c>
      <c r="AP397" s="37">
        <v>0</v>
      </c>
      <c r="AQ397" s="37">
        <v>0</v>
      </c>
      <c r="AR397" s="37">
        <v>0</v>
      </c>
      <c r="AS397" s="59">
        <v>0</v>
      </c>
      <c r="AT397" s="59">
        <v>3480</v>
      </c>
      <c r="AU397" s="45"/>
      <c r="AV397" s="37">
        <v>0</v>
      </c>
      <c r="AW397" s="37">
        <v>0</v>
      </c>
      <c r="AX397" s="37">
        <v>0</v>
      </c>
      <c r="AY397" s="37">
        <v>0</v>
      </c>
      <c r="AZ397" s="37">
        <v>0</v>
      </c>
      <c r="BA397" s="37">
        <v>0</v>
      </c>
      <c r="BB397" s="37">
        <v>0</v>
      </c>
      <c r="BC397" s="37">
        <v>0</v>
      </c>
      <c r="BD397" s="37">
        <v>0</v>
      </c>
      <c r="BE397" s="37">
        <v>0</v>
      </c>
      <c r="BF397" s="37">
        <v>0</v>
      </c>
      <c r="BG397" s="37">
        <v>0</v>
      </c>
      <c r="BH397" s="37">
        <v>0</v>
      </c>
      <c r="BI397" s="37">
        <v>0</v>
      </c>
      <c r="BJ397" s="37">
        <v>0</v>
      </c>
      <c r="BK397" s="59">
        <v>0</v>
      </c>
      <c r="BL397" s="37">
        <v>0</v>
      </c>
      <c r="BM397" s="37">
        <v>0</v>
      </c>
      <c r="BN397" s="37">
        <v>0</v>
      </c>
      <c r="BO397" s="37">
        <v>0</v>
      </c>
      <c r="BP397" s="37">
        <v>0</v>
      </c>
      <c r="BQ397" s="37">
        <v>0</v>
      </c>
      <c r="BR397" s="37">
        <v>0</v>
      </c>
      <c r="BS397" s="37">
        <v>0</v>
      </c>
      <c r="BT397" s="37">
        <v>0</v>
      </c>
      <c r="BU397" s="37">
        <v>0</v>
      </c>
      <c r="BV397" s="37">
        <v>0</v>
      </c>
      <c r="BW397" s="59">
        <v>0</v>
      </c>
      <c r="BX397" s="59">
        <v>0</v>
      </c>
      <c r="BZ397" s="37">
        <v>0</v>
      </c>
      <c r="CA397" s="37">
        <v>2000</v>
      </c>
      <c r="CB397" s="37">
        <v>800</v>
      </c>
      <c r="CC397" s="37">
        <v>400</v>
      </c>
      <c r="CD397" s="37">
        <v>200</v>
      </c>
      <c r="CE397" s="37">
        <v>80</v>
      </c>
      <c r="CF397" s="37">
        <v>0</v>
      </c>
      <c r="CG397" s="59">
        <v>3480</v>
      </c>
      <c r="CH397" s="37">
        <v>0</v>
      </c>
      <c r="CI397" s="37">
        <v>0</v>
      </c>
      <c r="CJ397" s="37">
        <v>0</v>
      </c>
      <c r="CK397" s="37">
        <v>0</v>
      </c>
      <c r="CL397" s="37">
        <v>0</v>
      </c>
      <c r="CM397" s="37">
        <v>0</v>
      </c>
      <c r="CN397" s="59">
        <v>0</v>
      </c>
      <c r="CO397" s="59">
        <v>3480</v>
      </c>
      <c r="CP397" s="58"/>
      <c r="CQ397" s="3">
        <v>3480</v>
      </c>
    </row>
    <row r="398" spans="1:95" customFormat="1" x14ac:dyDescent="0.2">
      <c r="A398" s="209">
        <v>43355</v>
      </c>
      <c r="B398" s="33" t="s">
        <v>55</v>
      </c>
      <c r="C398" s="33" t="s">
        <v>56</v>
      </c>
      <c r="D398" s="43">
        <v>0</v>
      </c>
      <c r="E398" s="43">
        <v>0</v>
      </c>
      <c r="F398" s="43">
        <v>0</v>
      </c>
      <c r="G398" s="43">
        <v>0</v>
      </c>
      <c r="H398" s="43">
        <v>0</v>
      </c>
      <c r="I398" s="43">
        <v>0</v>
      </c>
      <c r="J398" s="43">
        <v>0</v>
      </c>
      <c r="K398" s="43">
        <v>0</v>
      </c>
      <c r="L398" s="43">
        <v>0</v>
      </c>
      <c r="M398" s="43">
        <v>0</v>
      </c>
      <c r="N398" s="43">
        <v>0</v>
      </c>
      <c r="O398" s="43">
        <v>0</v>
      </c>
      <c r="P398" s="47">
        <v>0</v>
      </c>
      <c r="R398" s="37">
        <v>0</v>
      </c>
      <c r="S398" s="37">
        <v>0</v>
      </c>
      <c r="T398" s="37">
        <v>0</v>
      </c>
      <c r="U398" s="37">
        <v>0</v>
      </c>
      <c r="V398" s="37">
        <v>2000</v>
      </c>
      <c r="W398" s="37">
        <v>0</v>
      </c>
      <c r="X398" s="37">
        <v>800</v>
      </c>
      <c r="Y398" s="37">
        <v>0</v>
      </c>
      <c r="Z398" s="37">
        <v>400</v>
      </c>
      <c r="AA398" s="37">
        <v>0</v>
      </c>
      <c r="AB398" s="37">
        <v>200</v>
      </c>
      <c r="AC398" s="37">
        <v>0</v>
      </c>
      <c r="AD398" s="37">
        <v>80</v>
      </c>
      <c r="AE398" s="37">
        <v>0</v>
      </c>
      <c r="AF398" s="37">
        <v>0</v>
      </c>
      <c r="AG398" s="59">
        <v>3480</v>
      </c>
      <c r="AH398" s="37">
        <v>0</v>
      </c>
      <c r="AI398" s="37">
        <v>0</v>
      </c>
      <c r="AJ398" s="37">
        <v>0</v>
      </c>
      <c r="AK398" s="37">
        <v>0</v>
      </c>
      <c r="AL398" s="37">
        <v>5</v>
      </c>
      <c r="AM398" s="37">
        <v>0</v>
      </c>
      <c r="AN398" s="37">
        <v>4</v>
      </c>
      <c r="AO398" s="37">
        <v>0</v>
      </c>
      <c r="AP398" s="37">
        <v>2</v>
      </c>
      <c r="AQ398" s="37">
        <v>0</v>
      </c>
      <c r="AR398" s="37">
        <v>0</v>
      </c>
      <c r="AS398" s="59">
        <v>11</v>
      </c>
      <c r="AT398" s="59">
        <v>3491</v>
      </c>
      <c r="AU398" s="45"/>
      <c r="AV398" s="37">
        <v>0</v>
      </c>
      <c r="AW398" s="37">
        <v>0</v>
      </c>
      <c r="AX398" s="37">
        <v>0</v>
      </c>
      <c r="AY398" s="37">
        <v>0</v>
      </c>
      <c r="AZ398" s="37">
        <v>0</v>
      </c>
      <c r="BA398" s="37">
        <v>0</v>
      </c>
      <c r="BB398" s="37">
        <v>0</v>
      </c>
      <c r="BC398" s="37">
        <v>0</v>
      </c>
      <c r="BD398" s="37">
        <v>0</v>
      </c>
      <c r="BE398" s="37">
        <v>0</v>
      </c>
      <c r="BF398" s="37">
        <v>0</v>
      </c>
      <c r="BG398" s="37">
        <v>0</v>
      </c>
      <c r="BH398" s="37">
        <v>0</v>
      </c>
      <c r="BI398" s="37">
        <v>0</v>
      </c>
      <c r="BJ398" s="37">
        <v>0</v>
      </c>
      <c r="BK398" s="59">
        <v>0</v>
      </c>
      <c r="BL398" s="37">
        <v>0</v>
      </c>
      <c r="BM398" s="37">
        <v>0</v>
      </c>
      <c r="BN398" s="37">
        <v>0</v>
      </c>
      <c r="BO398" s="37">
        <v>0</v>
      </c>
      <c r="BP398" s="37">
        <v>0</v>
      </c>
      <c r="BQ398" s="37">
        <v>0</v>
      </c>
      <c r="BR398" s="37">
        <v>0</v>
      </c>
      <c r="BS398" s="37">
        <v>0</v>
      </c>
      <c r="BT398" s="37">
        <v>0</v>
      </c>
      <c r="BU398" s="37">
        <v>0</v>
      </c>
      <c r="BV398" s="37">
        <v>0</v>
      </c>
      <c r="BW398" s="59">
        <v>0</v>
      </c>
      <c r="BX398" s="59">
        <v>0</v>
      </c>
      <c r="BZ398" s="37">
        <v>0</v>
      </c>
      <c r="CA398" s="37">
        <v>2000</v>
      </c>
      <c r="CB398" s="37">
        <v>800</v>
      </c>
      <c r="CC398" s="37">
        <v>400</v>
      </c>
      <c r="CD398" s="37">
        <v>200</v>
      </c>
      <c r="CE398" s="37">
        <v>80</v>
      </c>
      <c r="CF398" s="37">
        <v>0</v>
      </c>
      <c r="CG398" s="59">
        <v>3480</v>
      </c>
      <c r="CH398" s="37">
        <v>0</v>
      </c>
      <c r="CI398" s="37">
        <v>5</v>
      </c>
      <c r="CJ398" s="37">
        <v>4</v>
      </c>
      <c r="CK398" s="37">
        <v>2</v>
      </c>
      <c r="CL398" s="37">
        <v>0</v>
      </c>
      <c r="CM398" s="37">
        <v>0</v>
      </c>
      <c r="CN398" s="59">
        <v>11</v>
      </c>
      <c r="CO398" s="59">
        <v>3491</v>
      </c>
      <c r="CP398" s="58"/>
      <c r="CQ398" s="3">
        <v>3491</v>
      </c>
    </row>
    <row r="399" spans="1:95" customFormat="1" x14ac:dyDescent="0.2">
      <c r="A399" s="209">
        <v>43355</v>
      </c>
      <c r="B399" s="33" t="s">
        <v>53</v>
      </c>
      <c r="C399" s="33" t="s">
        <v>57</v>
      </c>
      <c r="D399" s="43">
        <v>1</v>
      </c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0</v>
      </c>
      <c r="M399" s="43">
        <v>0</v>
      </c>
      <c r="N399" s="43">
        <v>0</v>
      </c>
      <c r="O399" s="43">
        <v>0</v>
      </c>
      <c r="P399" s="47" t="s">
        <v>45</v>
      </c>
      <c r="R399" s="37">
        <v>0</v>
      </c>
      <c r="S399" s="37">
        <v>0</v>
      </c>
      <c r="T399" s="37">
        <v>4000</v>
      </c>
      <c r="U399" s="37">
        <v>0</v>
      </c>
      <c r="V399" s="37">
        <v>18000</v>
      </c>
      <c r="W399" s="37">
        <v>0</v>
      </c>
      <c r="X399" s="37">
        <v>4000</v>
      </c>
      <c r="Y399" s="37">
        <v>0</v>
      </c>
      <c r="Z399" s="37">
        <v>3600</v>
      </c>
      <c r="AA399" s="37">
        <v>0</v>
      </c>
      <c r="AB399" s="37">
        <v>1800</v>
      </c>
      <c r="AC399" s="37">
        <v>0</v>
      </c>
      <c r="AD399" s="37">
        <v>720</v>
      </c>
      <c r="AE399" s="37">
        <v>0</v>
      </c>
      <c r="AF399" s="37">
        <v>0</v>
      </c>
      <c r="AG399" s="59">
        <v>32120</v>
      </c>
      <c r="AH399" s="37">
        <v>0</v>
      </c>
      <c r="AI399" s="37">
        <v>0</v>
      </c>
      <c r="AJ399" s="37">
        <v>0</v>
      </c>
      <c r="AK399" s="37">
        <v>0</v>
      </c>
      <c r="AL399" s="37">
        <v>15</v>
      </c>
      <c r="AM399" s="37">
        <v>0</v>
      </c>
      <c r="AN399" s="37">
        <v>16</v>
      </c>
      <c r="AO399" s="37">
        <v>0</v>
      </c>
      <c r="AP399" s="37">
        <v>8</v>
      </c>
      <c r="AQ399" s="37">
        <v>0</v>
      </c>
      <c r="AR399" s="37">
        <v>0</v>
      </c>
      <c r="AS399" s="59">
        <v>39</v>
      </c>
      <c r="AT399" s="59">
        <v>32159</v>
      </c>
      <c r="AU399" s="45"/>
      <c r="AV399" s="37">
        <v>0</v>
      </c>
      <c r="AW399" s="37">
        <v>0</v>
      </c>
      <c r="AX399" s="37">
        <v>0</v>
      </c>
      <c r="AY399" s="37">
        <v>0</v>
      </c>
      <c r="AZ399" s="37">
        <v>0</v>
      </c>
      <c r="BA399" s="37">
        <v>0</v>
      </c>
      <c r="BB399" s="37">
        <v>0</v>
      </c>
      <c r="BC399" s="37">
        <v>0</v>
      </c>
      <c r="BD399" s="37">
        <v>0</v>
      </c>
      <c r="BE399" s="37">
        <v>0</v>
      </c>
      <c r="BF399" s="37">
        <v>0</v>
      </c>
      <c r="BG399" s="37">
        <v>0</v>
      </c>
      <c r="BH399" s="37">
        <v>0</v>
      </c>
      <c r="BI399" s="37">
        <v>0</v>
      </c>
      <c r="BJ399" s="37">
        <v>0</v>
      </c>
      <c r="BK399" s="59">
        <v>0</v>
      </c>
      <c r="BL399" s="37">
        <v>0</v>
      </c>
      <c r="BM399" s="37">
        <v>0</v>
      </c>
      <c r="BN399" s="37">
        <v>0</v>
      </c>
      <c r="BO399" s="37">
        <v>0</v>
      </c>
      <c r="BP399" s="37">
        <v>0</v>
      </c>
      <c r="BQ399" s="37">
        <v>0</v>
      </c>
      <c r="BR399" s="37">
        <v>0</v>
      </c>
      <c r="BS399" s="37">
        <v>0</v>
      </c>
      <c r="BT399" s="37">
        <v>0</v>
      </c>
      <c r="BU399" s="37">
        <v>0</v>
      </c>
      <c r="BV399" s="37">
        <v>0</v>
      </c>
      <c r="BW399" s="59">
        <v>0</v>
      </c>
      <c r="BX399" s="59">
        <v>0</v>
      </c>
      <c r="BZ399" s="37">
        <v>4000</v>
      </c>
      <c r="CA399" s="37">
        <v>18000</v>
      </c>
      <c r="CB399" s="37">
        <v>4000</v>
      </c>
      <c r="CC399" s="37">
        <v>3600</v>
      </c>
      <c r="CD399" s="37">
        <v>1800</v>
      </c>
      <c r="CE399" s="37">
        <v>720</v>
      </c>
      <c r="CF399" s="37">
        <v>0</v>
      </c>
      <c r="CG399" s="59">
        <v>32120</v>
      </c>
      <c r="CH399" s="37">
        <v>0</v>
      </c>
      <c r="CI399" s="37">
        <v>15</v>
      </c>
      <c r="CJ399" s="37">
        <v>16</v>
      </c>
      <c r="CK399" s="37">
        <v>8</v>
      </c>
      <c r="CL399" s="37">
        <v>0</v>
      </c>
      <c r="CM399" s="37">
        <v>0</v>
      </c>
      <c r="CN399" s="59">
        <v>39</v>
      </c>
      <c r="CO399" s="59">
        <v>32159</v>
      </c>
      <c r="CP399" s="58"/>
      <c r="CQ399" s="3">
        <v>32159</v>
      </c>
    </row>
    <row r="400" spans="1:95" customFormat="1" x14ac:dyDescent="0.2">
      <c r="A400" s="209">
        <v>43355</v>
      </c>
      <c r="B400" s="33" t="s">
        <v>53</v>
      </c>
      <c r="C400" s="33" t="s">
        <v>84</v>
      </c>
      <c r="D400" s="43">
        <v>0</v>
      </c>
      <c r="E400" s="43">
        <v>1</v>
      </c>
      <c r="F400" s="43">
        <v>0</v>
      </c>
      <c r="G400" s="43">
        <v>0</v>
      </c>
      <c r="H400" s="43">
        <v>0</v>
      </c>
      <c r="I400" s="43">
        <v>0</v>
      </c>
      <c r="J400" s="43">
        <v>0</v>
      </c>
      <c r="K400" s="43">
        <v>0</v>
      </c>
      <c r="L400" s="43">
        <v>0</v>
      </c>
      <c r="M400" s="43">
        <v>0</v>
      </c>
      <c r="N400" s="43">
        <v>0</v>
      </c>
      <c r="O400" s="43">
        <v>0</v>
      </c>
      <c r="P400" s="47" t="s">
        <v>45</v>
      </c>
      <c r="R400" s="3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37">
        <v>0</v>
      </c>
      <c r="AC400" s="37">
        <v>0</v>
      </c>
      <c r="AD400" s="37">
        <v>0</v>
      </c>
      <c r="AE400" s="37">
        <v>0</v>
      </c>
      <c r="AF400" s="37">
        <v>0</v>
      </c>
      <c r="AG400" s="59">
        <v>0</v>
      </c>
      <c r="AH400" s="37">
        <v>2500</v>
      </c>
      <c r="AI400" s="37">
        <v>0</v>
      </c>
      <c r="AJ400" s="37">
        <v>1875</v>
      </c>
      <c r="AK400" s="37">
        <v>0</v>
      </c>
      <c r="AL400" s="37">
        <v>0</v>
      </c>
      <c r="AM400" s="37">
        <v>0</v>
      </c>
      <c r="AN400" s="37">
        <v>0</v>
      </c>
      <c r="AO400" s="37">
        <v>0</v>
      </c>
      <c r="AP400" s="37">
        <v>0</v>
      </c>
      <c r="AQ400" s="37">
        <v>0</v>
      </c>
      <c r="AR400" s="37">
        <v>0</v>
      </c>
      <c r="AS400" s="59">
        <v>4375</v>
      </c>
      <c r="AT400" s="59">
        <v>4375</v>
      </c>
      <c r="AU400" s="45"/>
      <c r="AV400" s="37">
        <v>0</v>
      </c>
      <c r="AW400" s="37">
        <v>0</v>
      </c>
      <c r="AX400" s="37">
        <v>0</v>
      </c>
      <c r="AY400" s="37">
        <v>0</v>
      </c>
      <c r="AZ400" s="37">
        <v>0</v>
      </c>
      <c r="BA400" s="37">
        <v>0</v>
      </c>
      <c r="BB400" s="37">
        <v>0</v>
      </c>
      <c r="BC400" s="37">
        <v>0</v>
      </c>
      <c r="BD400" s="37">
        <v>0</v>
      </c>
      <c r="BE400" s="37">
        <v>0</v>
      </c>
      <c r="BF400" s="37">
        <v>0</v>
      </c>
      <c r="BG400" s="37">
        <v>0</v>
      </c>
      <c r="BH400" s="37">
        <v>0</v>
      </c>
      <c r="BI400" s="37">
        <v>0</v>
      </c>
      <c r="BJ400" s="37">
        <v>0</v>
      </c>
      <c r="BK400" s="59">
        <v>0</v>
      </c>
      <c r="BL400" s="37">
        <v>0</v>
      </c>
      <c r="BM400" s="37">
        <v>0</v>
      </c>
      <c r="BN400" s="37">
        <v>0</v>
      </c>
      <c r="BO400" s="37">
        <v>0</v>
      </c>
      <c r="BP400" s="37">
        <v>0</v>
      </c>
      <c r="BQ400" s="37">
        <v>0</v>
      </c>
      <c r="BR400" s="37">
        <v>0</v>
      </c>
      <c r="BS400" s="37">
        <v>0</v>
      </c>
      <c r="BT400" s="37">
        <v>0</v>
      </c>
      <c r="BU400" s="37">
        <v>0</v>
      </c>
      <c r="BV400" s="37">
        <v>0</v>
      </c>
      <c r="BW400" s="59">
        <v>0</v>
      </c>
      <c r="BX400" s="59">
        <v>0</v>
      </c>
      <c r="BZ400" s="37">
        <v>0</v>
      </c>
      <c r="CA400" s="37">
        <v>0</v>
      </c>
      <c r="CB400" s="37">
        <v>0</v>
      </c>
      <c r="CC400" s="37">
        <v>0</v>
      </c>
      <c r="CD400" s="37">
        <v>0</v>
      </c>
      <c r="CE400" s="37">
        <v>0</v>
      </c>
      <c r="CF400" s="37">
        <v>0</v>
      </c>
      <c r="CG400" s="59">
        <v>0</v>
      </c>
      <c r="CH400" s="37">
        <v>2500</v>
      </c>
      <c r="CI400" s="37">
        <v>1875</v>
      </c>
      <c r="CJ400" s="37">
        <v>0</v>
      </c>
      <c r="CK400" s="37">
        <v>0</v>
      </c>
      <c r="CL400" s="37">
        <v>0</v>
      </c>
      <c r="CM400" s="37">
        <v>0</v>
      </c>
      <c r="CN400" s="59">
        <v>4375</v>
      </c>
      <c r="CO400" s="59">
        <v>4375</v>
      </c>
      <c r="CP400" s="58"/>
      <c r="CQ400" s="3">
        <v>4375</v>
      </c>
    </row>
    <row r="401" spans="1:95" customFormat="1" x14ac:dyDescent="0.2">
      <c r="A401" s="209">
        <v>43356</v>
      </c>
      <c r="B401" s="33" t="s">
        <v>55</v>
      </c>
      <c r="C401" s="33" t="s">
        <v>56</v>
      </c>
      <c r="D401" s="43">
        <v>0</v>
      </c>
      <c r="E401" s="43">
        <v>0</v>
      </c>
      <c r="F401" s="43">
        <v>0</v>
      </c>
      <c r="G401" s="43">
        <v>0</v>
      </c>
      <c r="H401" s="43">
        <v>0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2000</v>
      </c>
      <c r="W401" s="37">
        <v>0</v>
      </c>
      <c r="X401" s="37">
        <v>800</v>
      </c>
      <c r="Y401" s="37">
        <v>0</v>
      </c>
      <c r="Z401" s="37">
        <v>400</v>
      </c>
      <c r="AA401" s="37">
        <v>0</v>
      </c>
      <c r="AB401" s="37">
        <v>200</v>
      </c>
      <c r="AC401" s="37">
        <v>0</v>
      </c>
      <c r="AD401" s="37">
        <v>80</v>
      </c>
      <c r="AE401" s="37">
        <v>0</v>
      </c>
      <c r="AF401" s="37">
        <v>0</v>
      </c>
      <c r="AG401" s="59">
        <v>3480</v>
      </c>
      <c r="AH401" s="37">
        <v>0</v>
      </c>
      <c r="AI401" s="37">
        <v>0</v>
      </c>
      <c r="AJ401" s="37">
        <v>0</v>
      </c>
      <c r="AK401" s="37">
        <v>0</v>
      </c>
      <c r="AL401" s="37">
        <v>0</v>
      </c>
      <c r="AM401" s="37">
        <v>0</v>
      </c>
      <c r="AN401" s="37">
        <v>0</v>
      </c>
      <c r="AO401" s="37">
        <v>0</v>
      </c>
      <c r="AP401" s="37">
        <v>0</v>
      </c>
      <c r="AQ401" s="37">
        <v>0</v>
      </c>
      <c r="AR401" s="37">
        <v>0</v>
      </c>
      <c r="AS401" s="59">
        <v>0</v>
      </c>
      <c r="AT401" s="59">
        <v>3480</v>
      </c>
      <c r="AU401" s="45"/>
      <c r="AV401" s="37">
        <v>0</v>
      </c>
      <c r="AW401" s="37">
        <v>0</v>
      </c>
      <c r="AX401" s="37">
        <v>0</v>
      </c>
      <c r="AY401" s="37">
        <v>0</v>
      </c>
      <c r="AZ401" s="37">
        <v>0</v>
      </c>
      <c r="BA401" s="37">
        <v>0</v>
      </c>
      <c r="BB401" s="37">
        <v>0</v>
      </c>
      <c r="BC401" s="37">
        <v>0</v>
      </c>
      <c r="BD401" s="37">
        <v>0</v>
      </c>
      <c r="BE401" s="37">
        <v>0</v>
      </c>
      <c r="BF401" s="37">
        <v>0</v>
      </c>
      <c r="BG401" s="37">
        <v>0</v>
      </c>
      <c r="BH401" s="37">
        <v>0</v>
      </c>
      <c r="BI401" s="37">
        <v>0</v>
      </c>
      <c r="BJ401" s="37">
        <v>0</v>
      </c>
      <c r="BK401" s="59">
        <v>0</v>
      </c>
      <c r="BL401" s="37">
        <v>0</v>
      </c>
      <c r="BM401" s="37">
        <v>0</v>
      </c>
      <c r="BN401" s="37">
        <v>0</v>
      </c>
      <c r="BO401" s="37">
        <v>0</v>
      </c>
      <c r="BP401" s="37">
        <v>0</v>
      </c>
      <c r="BQ401" s="37">
        <v>0</v>
      </c>
      <c r="BR401" s="37">
        <v>0</v>
      </c>
      <c r="BS401" s="37">
        <v>0</v>
      </c>
      <c r="BT401" s="37">
        <v>0</v>
      </c>
      <c r="BU401" s="37">
        <v>0</v>
      </c>
      <c r="BV401" s="37">
        <v>0</v>
      </c>
      <c r="BW401" s="59">
        <v>0</v>
      </c>
      <c r="BX401" s="59">
        <v>0</v>
      </c>
      <c r="BZ401" s="37">
        <v>0</v>
      </c>
      <c r="CA401" s="37">
        <v>2000</v>
      </c>
      <c r="CB401" s="37">
        <v>800</v>
      </c>
      <c r="CC401" s="37">
        <v>400</v>
      </c>
      <c r="CD401" s="37">
        <v>200</v>
      </c>
      <c r="CE401" s="37">
        <v>80</v>
      </c>
      <c r="CF401" s="37">
        <v>0</v>
      </c>
      <c r="CG401" s="59">
        <v>3480</v>
      </c>
      <c r="CH401" s="37">
        <v>0</v>
      </c>
      <c r="CI401" s="37">
        <v>0</v>
      </c>
      <c r="CJ401" s="37">
        <v>0</v>
      </c>
      <c r="CK401" s="37">
        <v>0</v>
      </c>
      <c r="CL401" s="37">
        <v>0</v>
      </c>
      <c r="CM401" s="37">
        <v>0</v>
      </c>
      <c r="CN401" s="59">
        <v>0</v>
      </c>
      <c r="CO401" s="59">
        <v>3480</v>
      </c>
      <c r="CP401" s="58"/>
      <c r="CQ401" s="3">
        <v>3480</v>
      </c>
    </row>
    <row r="402" spans="1:95" customFormat="1" x14ac:dyDescent="0.2">
      <c r="A402" s="209">
        <v>43356</v>
      </c>
      <c r="B402" s="33" t="s">
        <v>64</v>
      </c>
      <c r="C402" s="33" t="s">
        <v>65</v>
      </c>
      <c r="D402" s="43">
        <v>0</v>
      </c>
      <c r="E402" s="43">
        <v>0</v>
      </c>
      <c r="F402" s="43">
        <v>0</v>
      </c>
      <c r="G402" s="43">
        <v>0</v>
      </c>
      <c r="H402" s="43">
        <v>0</v>
      </c>
      <c r="I402" s="43">
        <v>1</v>
      </c>
      <c r="J402" s="43">
        <v>0</v>
      </c>
      <c r="K402" s="43">
        <v>0</v>
      </c>
      <c r="L402" s="43">
        <v>0</v>
      </c>
      <c r="M402" s="43">
        <v>0</v>
      </c>
      <c r="N402" s="43">
        <v>0</v>
      </c>
      <c r="O402" s="43">
        <v>0</v>
      </c>
      <c r="P402" s="47" t="s">
        <v>45</v>
      </c>
      <c r="R402" s="37">
        <v>0</v>
      </c>
      <c r="S402" s="37">
        <v>0</v>
      </c>
      <c r="T402" s="37">
        <v>200000</v>
      </c>
      <c r="U402" s="37">
        <v>0</v>
      </c>
      <c r="V402" s="37">
        <v>0</v>
      </c>
      <c r="W402" s="37">
        <v>0</v>
      </c>
      <c r="X402" s="37">
        <v>20000</v>
      </c>
      <c r="Y402" s="37">
        <v>0</v>
      </c>
      <c r="Z402" s="37">
        <v>0</v>
      </c>
      <c r="AA402" s="37">
        <v>0</v>
      </c>
      <c r="AB402" s="37">
        <v>0</v>
      </c>
      <c r="AC402" s="37">
        <v>0</v>
      </c>
      <c r="AD402" s="37">
        <v>0</v>
      </c>
      <c r="AE402" s="37">
        <v>0</v>
      </c>
      <c r="AF402" s="37">
        <v>0</v>
      </c>
      <c r="AG402" s="59">
        <v>220000</v>
      </c>
      <c r="AH402" s="37">
        <v>500</v>
      </c>
      <c r="AI402" s="37">
        <v>0</v>
      </c>
      <c r="AJ402" s="37">
        <v>500</v>
      </c>
      <c r="AK402" s="37">
        <v>0</v>
      </c>
      <c r="AL402" s="37">
        <v>0</v>
      </c>
      <c r="AM402" s="37">
        <v>0</v>
      </c>
      <c r="AN402" s="37">
        <v>0</v>
      </c>
      <c r="AO402" s="37">
        <v>0</v>
      </c>
      <c r="AP402" s="37">
        <v>100</v>
      </c>
      <c r="AQ402" s="37">
        <v>0</v>
      </c>
      <c r="AR402" s="37">
        <v>0</v>
      </c>
      <c r="AS402" s="59">
        <v>1100</v>
      </c>
      <c r="AT402" s="59">
        <v>221100</v>
      </c>
      <c r="AU402" s="45"/>
      <c r="AV402" s="37">
        <v>0</v>
      </c>
      <c r="AW402" s="37">
        <v>0</v>
      </c>
      <c r="AX402" s="37">
        <v>0</v>
      </c>
      <c r="AY402" s="37">
        <v>0</v>
      </c>
      <c r="AZ402" s="37">
        <v>0</v>
      </c>
      <c r="BA402" s="37">
        <v>0</v>
      </c>
      <c r="BB402" s="37">
        <v>0</v>
      </c>
      <c r="BC402" s="37">
        <v>0</v>
      </c>
      <c r="BD402" s="37">
        <v>0</v>
      </c>
      <c r="BE402" s="37">
        <v>0</v>
      </c>
      <c r="BF402" s="37">
        <v>0</v>
      </c>
      <c r="BG402" s="37">
        <v>0</v>
      </c>
      <c r="BH402" s="37">
        <v>0</v>
      </c>
      <c r="BI402" s="37">
        <v>0</v>
      </c>
      <c r="BJ402" s="37">
        <v>0</v>
      </c>
      <c r="BK402" s="59">
        <v>0</v>
      </c>
      <c r="BL402" s="37">
        <v>0</v>
      </c>
      <c r="BM402" s="37">
        <v>0</v>
      </c>
      <c r="BN402" s="37">
        <v>0</v>
      </c>
      <c r="BO402" s="37">
        <v>0</v>
      </c>
      <c r="BP402" s="37">
        <v>0</v>
      </c>
      <c r="BQ402" s="37">
        <v>0</v>
      </c>
      <c r="BR402" s="37">
        <v>0</v>
      </c>
      <c r="BS402" s="37">
        <v>0</v>
      </c>
      <c r="BT402" s="37">
        <v>0</v>
      </c>
      <c r="BU402" s="37">
        <v>0</v>
      </c>
      <c r="BV402" s="37">
        <v>0</v>
      </c>
      <c r="BW402" s="59">
        <v>0</v>
      </c>
      <c r="BX402" s="59">
        <v>0</v>
      </c>
      <c r="BZ402" s="37">
        <v>200000</v>
      </c>
      <c r="CA402" s="37">
        <v>0</v>
      </c>
      <c r="CB402" s="37">
        <v>20000</v>
      </c>
      <c r="CC402" s="37">
        <v>0</v>
      </c>
      <c r="CD402" s="37">
        <v>0</v>
      </c>
      <c r="CE402" s="37">
        <v>0</v>
      </c>
      <c r="CF402" s="37">
        <v>0</v>
      </c>
      <c r="CG402" s="59">
        <v>220000</v>
      </c>
      <c r="CH402" s="37">
        <v>500</v>
      </c>
      <c r="CI402" s="37">
        <v>500</v>
      </c>
      <c r="CJ402" s="37">
        <v>0</v>
      </c>
      <c r="CK402" s="37">
        <v>100</v>
      </c>
      <c r="CL402" s="37">
        <v>0</v>
      </c>
      <c r="CM402" s="37">
        <v>0</v>
      </c>
      <c r="CN402" s="59">
        <v>1100</v>
      </c>
      <c r="CO402" s="59">
        <v>221100</v>
      </c>
      <c r="CP402" s="58"/>
      <c r="CQ402" s="3">
        <v>221100</v>
      </c>
    </row>
    <row r="403" spans="1:95" customFormat="1" x14ac:dyDescent="0.2">
      <c r="A403" s="209">
        <v>43356</v>
      </c>
      <c r="B403" s="33" t="s">
        <v>64</v>
      </c>
      <c r="C403" s="33" t="s">
        <v>141</v>
      </c>
      <c r="D403" s="43">
        <v>0</v>
      </c>
      <c r="E403" s="43">
        <v>0</v>
      </c>
      <c r="F403" s="43">
        <v>0</v>
      </c>
      <c r="G403" s="43">
        <v>0</v>
      </c>
      <c r="H403" s="43">
        <v>0</v>
      </c>
      <c r="I403" s="43">
        <v>1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7" t="s">
        <v>45</v>
      </c>
      <c r="R403" s="37">
        <v>0</v>
      </c>
      <c r="S403" s="37">
        <v>924000</v>
      </c>
      <c r="T403" s="37">
        <v>76000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v>0</v>
      </c>
      <c r="AD403" s="37">
        <v>0</v>
      </c>
      <c r="AE403" s="37">
        <v>0</v>
      </c>
      <c r="AF403" s="37">
        <v>0</v>
      </c>
      <c r="AG403" s="59">
        <v>1000000</v>
      </c>
      <c r="AH403" s="37">
        <v>0</v>
      </c>
      <c r="AI403" s="37">
        <v>0</v>
      </c>
      <c r="AJ403" s="37">
        <v>0</v>
      </c>
      <c r="AK403" s="37">
        <v>0</v>
      </c>
      <c r="AL403" s="37">
        <v>0</v>
      </c>
      <c r="AM403" s="37">
        <v>0</v>
      </c>
      <c r="AN403" s="37">
        <v>0</v>
      </c>
      <c r="AO403" s="37">
        <v>0</v>
      </c>
      <c r="AP403" s="37">
        <v>0</v>
      </c>
      <c r="AQ403" s="37">
        <v>0</v>
      </c>
      <c r="AR403" s="37">
        <v>0</v>
      </c>
      <c r="AS403" s="59">
        <v>0</v>
      </c>
      <c r="AT403" s="59">
        <v>1000000</v>
      </c>
      <c r="AU403" s="45"/>
      <c r="AV403" s="37">
        <v>0</v>
      </c>
      <c r="AW403" s="37">
        <v>0</v>
      </c>
      <c r="AX403" s="37">
        <v>0</v>
      </c>
      <c r="AY403" s="37">
        <v>0</v>
      </c>
      <c r="AZ403" s="37">
        <v>0</v>
      </c>
      <c r="BA403" s="37">
        <v>0</v>
      </c>
      <c r="BB403" s="37">
        <v>0</v>
      </c>
      <c r="BC403" s="37">
        <v>0</v>
      </c>
      <c r="BD403" s="37">
        <v>0</v>
      </c>
      <c r="BE403" s="37">
        <v>0</v>
      </c>
      <c r="BF403" s="37">
        <v>0</v>
      </c>
      <c r="BG403" s="37">
        <v>0</v>
      </c>
      <c r="BH403" s="37">
        <v>0</v>
      </c>
      <c r="BI403" s="37">
        <v>0</v>
      </c>
      <c r="BJ403" s="37">
        <v>0</v>
      </c>
      <c r="BK403" s="59">
        <v>0</v>
      </c>
      <c r="BL403" s="37">
        <v>0</v>
      </c>
      <c r="BM403" s="37">
        <v>0</v>
      </c>
      <c r="BN403" s="37">
        <v>0</v>
      </c>
      <c r="BO403" s="37">
        <v>0</v>
      </c>
      <c r="BP403" s="37">
        <v>0</v>
      </c>
      <c r="BQ403" s="37">
        <v>0</v>
      </c>
      <c r="BR403" s="37">
        <v>0</v>
      </c>
      <c r="BS403" s="37">
        <v>0</v>
      </c>
      <c r="BT403" s="37">
        <v>0</v>
      </c>
      <c r="BU403" s="37">
        <v>0</v>
      </c>
      <c r="BV403" s="37">
        <v>0</v>
      </c>
      <c r="BW403" s="59">
        <v>0</v>
      </c>
      <c r="BX403" s="59">
        <v>0</v>
      </c>
      <c r="BZ403" s="37">
        <v>1000000</v>
      </c>
      <c r="CA403" s="37">
        <v>0</v>
      </c>
      <c r="CB403" s="37">
        <v>0</v>
      </c>
      <c r="CC403" s="37">
        <v>0</v>
      </c>
      <c r="CD403" s="37">
        <v>0</v>
      </c>
      <c r="CE403" s="37">
        <v>0</v>
      </c>
      <c r="CF403" s="37">
        <v>0</v>
      </c>
      <c r="CG403" s="59">
        <v>1000000</v>
      </c>
      <c r="CH403" s="37">
        <v>0</v>
      </c>
      <c r="CI403" s="37">
        <v>0</v>
      </c>
      <c r="CJ403" s="37">
        <v>0</v>
      </c>
      <c r="CK403" s="37">
        <v>0</v>
      </c>
      <c r="CL403" s="37">
        <v>0</v>
      </c>
      <c r="CM403" s="37">
        <v>0</v>
      </c>
      <c r="CN403" s="59">
        <v>0</v>
      </c>
      <c r="CO403" s="59">
        <v>1000000</v>
      </c>
      <c r="CP403" s="58"/>
      <c r="CQ403" s="3">
        <v>1000000</v>
      </c>
    </row>
    <row r="404" spans="1:95" customFormat="1" x14ac:dyDescent="0.2">
      <c r="A404" s="209">
        <v>43357</v>
      </c>
      <c r="B404" s="33" t="s">
        <v>55</v>
      </c>
      <c r="C404" s="33" t="s">
        <v>56</v>
      </c>
      <c r="D404" s="43">
        <v>0</v>
      </c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/>
      <c r="M404" s="43"/>
      <c r="N404" s="43">
        <v>0</v>
      </c>
      <c r="O404" s="43">
        <v>0</v>
      </c>
      <c r="P404" s="47">
        <v>0</v>
      </c>
      <c r="R404" s="37">
        <v>0</v>
      </c>
      <c r="S404" s="37">
        <v>0</v>
      </c>
      <c r="T404" s="37">
        <v>4000</v>
      </c>
      <c r="U404" s="37">
        <v>0</v>
      </c>
      <c r="V404" s="37">
        <v>2000</v>
      </c>
      <c r="W404" s="37">
        <v>0</v>
      </c>
      <c r="X404" s="37">
        <v>800</v>
      </c>
      <c r="Y404" s="37">
        <v>0</v>
      </c>
      <c r="Z404" s="37">
        <v>400</v>
      </c>
      <c r="AA404" s="37">
        <v>0</v>
      </c>
      <c r="AB404" s="37">
        <v>200</v>
      </c>
      <c r="AC404" s="37">
        <v>0</v>
      </c>
      <c r="AD404" s="37">
        <v>80</v>
      </c>
      <c r="AE404" s="37">
        <v>0</v>
      </c>
      <c r="AF404" s="37">
        <v>0</v>
      </c>
      <c r="AG404" s="59">
        <v>7480</v>
      </c>
      <c r="AH404" s="37">
        <v>0</v>
      </c>
      <c r="AI404" s="37">
        <v>0</v>
      </c>
      <c r="AJ404" s="37">
        <v>0</v>
      </c>
      <c r="AK404" s="37">
        <v>0</v>
      </c>
      <c r="AL404" s="37">
        <v>5</v>
      </c>
      <c r="AM404" s="37">
        <v>0</v>
      </c>
      <c r="AN404" s="37">
        <v>4</v>
      </c>
      <c r="AO404" s="37">
        <v>0</v>
      </c>
      <c r="AP404" s="37">
        <v>2</v>
      </c>
      <c r="AQ404" s="37">
        <v>0</v>
      </c>
      <c r="AR404" s="37">
        <v>0</v>
      </c>
      <c r="AS404" s="59">
        <v>11</v>
      </c>
      <c r="AT404" s="59">
        <v>7491</v>
      </c>
      <c r="AU404" s="45"/>
      <c r="AV404" s="37">
        <v>0</v>
      </c>
      <c r="AW404" s="37">
        <v>0</v>
      </c>
      <c r="AX404" s="37">
        <v>0</v>
      </c>
      <c r="AY404" s="37">
        <v>0</v>
      </c>
      <c r="AZ404" s="37">
        <v>0</v>
      </c>
      <c r="BA404" s="37">
        <v>0</v>
      </c>
      <c r="BB404" s="37">
        <v>0</v>
      </c>
      <c r="BC404" s="37">
        <v>0</v>
      </c>
      <c r="BD404" s="37">
        <v>0</v>
      </c>
      <c r="BE404" s="37">
        <v>0</v>
      </c>
      <c r="BF404" s="37">
        <v>0</v>
      </c>
      <c r="BG404" s="37">
        <v>0</v>
      </c>
      <c r="BH404" s="37">
        <v>0</v>
      </c>
      <c r="BI404" s="37">
        <v>0</v>
      </c>
      <c r="BJ404" s="37">
        <v>0</v>
      </c>
      <c r="BK404" s="59">
        <v>0</v>
      </c>
      <c r="BL404" s="37">
        <v>0</v>
      </c>
      <c r="BM404" s="37">
        <v>0</v>
      </c>
      <c r="BN404" s="37">
        <v>0</v>
      </c>
      <c r="BO404" s="37">
        <v>0</v>
      </c>
      <c r="BP404" s="37">
        <v>0</v>
      </c>
      <c r="BQ404" s="37">
        <v>0</v>
      </c>
      <c r="BR404" s="37">
        <v>0</v>
      </c>
      <c r="BS404" s="37">
        <v>0</v>
      </c>
      <c r="BT404" s="37">
        <v>0</v>
      </c>
      <c r="BU404" s="37">
        <v>0</v>
      </c>
      <c r="BV404" s="37">
        <v>0</v>
      </c>
      <c r="BW404" s="59">
        <v>0</v>
      </c>
      <c r="BX404" s="59">
        <v>0</v>
      </c>
      <c r="BZ404" s="37">
        <v>4000</v>
      </c>
      <c r="CA404" s="37">
        <v>2000</v>
      </c>
      <c r="CB404" s="37">
        <v>800</v>
      </c>
      <c r="CC404" s="37">
        <v>400</v>
      </c>
      <c r="CD404" s="37">
        <v>200</v>
      </c>
      <c r="CE404" s="37">
        <v>80</v>
      </c>
      <c r="CF404" s="37">
        <v>0</v>
      </c>
      <c r="CG404" s="59">
        <v>7480</v>
      </c>
      <c r="CH404" s="37">
        <v>0</v>
      </c>
      <c r="CI404" s="37">
        <v>5</v>
      </c>
      <c r="CJ404" s="37">
        <v>4</v>
      </c>
      <c r="CK404" s="37">
        <v>2</v>
      </c>
      <c r="CL404" s="37">
        <v>0</v>
      </c>
      <c r="CM404" s="37">
        <v>0</v>
      </c>
      <c r="CN404" s="59">
        <v>11</v>
      </c>
      <c r="CO404" s="59">
        <v>7491</v>
      </c>
      <c r="CP404" s="58"/>
      <c r="CQ404" s="3">
        <v>7491</v>
      </c>
    </row>
    <row r="405" spans="1:95" customFormat="1" x14ac:dyDescent="0.2">
      <c r="A405" s="209">
        <v>43357</v>
      </c>
      <c r="B405" s="33" t="s">
        <v>70</v>
      </c>
      <c r="C405" s="33" t="s">
        <v>63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1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7" t="s">
        <v>45</v>
      </c>
      <c r="R405" s="37">
        <v>0</v>
      </c>
      <c r="S405" s="37">
        <v>0</v>
      </c>
      <c r="T405" s="37">
        <v>0</v>
      </c>
      <c r="U405" s="37">
        <v>0</v>
      </c>
      <c r="V405" s="37">
        <v>500000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v>0</v>
      </c>
      <c r="AD405" s="37">
        <v>0</v>
      </c>
      <c r="AE405" s="37">
        <v>0</v>
      </c>
      <c r="AF405" s="37">
        <v>0</v>
      </c>
      <c r="AG405" s="59">
        <v>500000</v>
      </c>
      <c r="AH405" s="37">
        <v>2250</v>
      </c>
      <c r="AI405" s="37">
        <v>0</v>
      </c>
      <c r="AJ405" s="37">
        <v>0</v>
      </c>
      <c r="AK405" s="37">
        <v>0</v>
      </c>
      <c r="AL405" s="37">
        <v>1500</v>
      </c>
      <c r="AM405" s="37">
        <v>0</v>
      </c>
      <c r="AN405" s="37">
        <v>600</v>
      </c>
      <c r="AO405" s="37">
        <v>0</v>
      </c>
      <c r="AP405" s="37">
        <v>200</v>
      </c>
      <c r="AQ405" s="37">
        <v>0</v>
      </c>
      <c r="AR405" s="37">
        <v>0</v>
      </c>
      <c r="AS405" s="59">
        <v>4550</v>
      </c>
      <c r="AT405" s="59">
        <v>504550</v>
      </c>
      <c r="AU405" s="45"/>
      <c r="AV405" s="37">
        <v>0</v>
      </c>
      <c r="AW405" s="37">
        <v>0</v>
      </c>
      <c r="AX405" s="37">
        <v>0</v>
      </c>
      <c r="AY405" s="37">
        <v>0</v>
      </c>
      <c r="AZ405" s="37">
        <v>0</v>
      </c>
      <c r="BA405" s="37">
        <v>0</v>
      </c>
      <c r="BB405" s="37">
        <v>0</v>
      </c>
      <c r="BC405" s="37">
        <v>0</v>
      </c>
      <c r="BD405" s="37">
        <v>0</v>
      </c>
      <c r="BE405" s="37">
        <v>0</v>
      </c>
      <c r="BF405" s="37">
        <v>0</v>
      </c>
      <c r="BG405" s="37">
        <v>0</v>
      </c>
      <c r="BH405" s="37">
        <v>0</v>
      </c>
      <c r="BI405" s="37">
        <v>0</v>
      </c>
      <c r="BJ405" s="37">
        <v>0</v>
      </c>
      <c r="BK405" s="59">
        <v>0</v>
      </c>
      <c r="BL405" s="37">
        <v>0</v>
      </c>
      <c r="BM405" s="37">
        <v>0</v>
      </c>
      <c r="BN405" s="37">
        <v>0</v>
      </c>
      <c r="BO405" s="37">
        <v>0</v>
      </c>
      <c r="BP405" s="37">
        <v>0</v>
      </c>
      <c r="BQ405" s="37">
        <v>0</v>
      </c>
      <c r="BR405" s="37">
        <v>0</v>
      </c>
      <c r="BS405" s="37">
        <v>0</v>
      </c>
      <c r="BT405" s="37">
        <v>0</v>
      </c>
      <c r="BU405" s="37">
        <v>0</v>
      </c>
      <c r="BV405" s="37">
        <v>0</v>
      </c>
      <c r="BW405" s="59">
        <v>0</v>
      </c>
      <c r="BX405" s="59">
        <v>0</v>
      </c>
      <c r="BZ405" s="37">
        <v>0</v>
      </c>
      <c r="CA405" s="37">
        <v>500000</v>
      </c>
      <c r="CB405" s="37">
        <v>0</v>
      </c>
      <c r="CC405" s="37">
        <v>0</v>
      </c>
      <c r="CD405" s="37">
        <v>0</v>
      </c>
      <c r="CE405" s="37">
        <v>0</v>
      </c>
      <c r="CF405" s="37">
        <v>0</v>
      </c>
      <c r="CG405" s="59">
        <v>500000</v>
      </c>
      <c r="CH405" s="37">
        <v>2250</v>
      </c>
      <c r="CI405" s="37">
        <v>1500</v>
      </c>
      <c r="CJ405" s="37">
        <v>600</v>
      </c>
      <c r="CK405" s="37">
        <v>200</v>
      </c>
      <c r="CL405" s="37">
        <v>0</v>
      </c>
      <c r="CM405" s="37">
        <v>0</v>
      </c>
      <c r="CN405" s="59">
        <v>4550</v>
      </c>
      <c r="CO405" s="59">
        <v>504550</v>
      </c>
      <c r="CP405" s="58"/>
      <c r="CQ405" s="3">
        <v>504550</v>
      </c>
    </row>
    <row r="406" spans="1:95" customFormat="1" x14ac:dyDescent="0.2">
      <c r="A406" s="209">
        <v>43360</v>
      </c>
      <c r="B406" s="33" t="s">
        <v>55</v>
      </c>
      <c r="C406" s="33" t="s">
        <v>56</v>
      </c>
      <c r="D406" s="43">
        <v>0</v>
      </c>
      <c r="E406" s="43">
        <v>0</v>
      </c>
      <c r="F406" s="43">
        <v>0</v>
      </c>
      <c r="G406" s="43">
        <v>0</v>
      </c>
      <c r="H406" s="43">
        <v>0</v>
      </c>
      <c r="I406" s="43">
        <v>0</v>
      </c>
      <c r="J406" s="43">
        <v>0</v>
      </c>
      <c r="K406" s="43">
        <v>0</v>
      </c>
      <c r="L406" s="43">
        <v>0</v>
      </c>
      <c r="M406" s="43">
        <v>0</v>
      </c>
      <c r="N406" s="43">
        <v>0</v>
      </c>
      <c r="O406" s="43">
        <v>0</v>
      </c>
      <c r="P406" s="47">
        <v>0</v>
      </c>
      <c r="R406" s="37">
        <v>0</v>
      </c>
      <c r="S406" s="37">
        <v>0</v>
      </c>
      <c r="T406" s="37">
        <v>4000</v>
      </c>
      <c r="U406" s="37">
        <v>0</v>
      </c>
      <c r="V406" s="37">
        <v>2000</v>
      </c>
      <c r="W406" s="37">
        <v>0</v>
      </c>
      <c r="X406" s="37">
        <v>0</v>
      </c>
      <c r="Y406" s="37">
        <v>0</v>
      </c>
      <c r="Z406" s="37">
        <v>400</v>
      </c>
      <c r="AA406" s="37">
        <v>0</v>
      </c>
      <c r="AB406" s="37">
        <v>200</v>
      </c>
      <c r="AC406" s="37">
        <v>0</v>
      </c>
      <c r="AD406" s="37">
        <v>80</v>
      </c>
      <c r="AE406" s="37">
        <v>0</v>
      </c>
      <c r="AF406" s="37">
        <v>0</v>
      </c>
      <c r="AG406" s="59">
        <v>6680</v>
      </c>
      <c r="AH406" s="37">
        <v>0</v>
      </c>
      <c r="AI406" s="37">
        <v>0</v>
      </c>
      <c r="AJ406" s="37">
        <v>0</v>
      </c>
      <c r="AK406" s="37">
        <v>0</v>
      </c>
      <c r="AL406" s="37">
        <v>0</v>
      </c>
      <c r="AM406" s="37">
        <v>0</v>
      </c>
      <c r="AN406" s="37">
        <v>0</v>
      </c>
      <c r="AO406" s="37">
        <v>0</v>
      </c>
      <c r="AP406" s="37">
        <v>0</v>
      </c>
      <c r="AQ406" s="37">
        <v>0</v>
      </c>
      <c r="AR406" s="37">
        <v>0</v>
      </c>
      <c r="AS406" s="59">
        <v>0</v>
      </c>
      <c r="AT406" s="59">
        <v>6680</v>
      </c>
      <c r="AU406" s="45"/>
      <c r="AV406" s="37">
        <v>0</v>
      </c>
      <c r="AW406" s="37">
        <v>0</v>
      </c>
      <c r="AX406" s="37">
        <v>0</v>
      </c>
      <c r="AY406" s="37">
        <v>0</v>
      </c>
      <c r="AZ406" s="37">
        <v>0</v>
      </c>
      <c r="BA406" s="37">
        <v>0</v>
      </c>
      <c r="BB406" s="37">
        <v>0</v>
      </c>
      <c r="BC406" s="37">
        <v>0</v>
      </c>
      <c r="BD406" s="37">
        <v>0</v>
      </c>
      <c r="BE406" s="37">
        <v>0</v>
      </c>
      <c r="BF406" s="37">
        <v>0</v>
      </c>
      <c r="BG406" s="37">
        <v>0</v>
      </c>
      <c r="BH406" s="37">
        <v>0</v>
      </c>
      <c r="BI406" s="37">
        <v>0</v>
      </c>
      <c r="BJ406" s="37">
        <v>0</v>
      </c>
      <c r="BK406" s="59">
        <v>0</v>
      </c>
      <c r="BL406" s="37">
        <v>0</v>
      </c>
      <c r="BM406" s="37">
        <v>0</v>
      </c>
      <c r="BN406" s="37">
        <v>0</v>
      </c>
      <c r="BO406" s="37">
        <v>0</v>
      </c>
      <c r="BP406" s="37">
        <v>0</v>
      </c>
      <c r="BQ406" s="37">
        <v>0</v>
      </c>
      <c r="BR406" s="37">
        <v>0</v>
      </c>
      <c r="BS406" s="37">
        <v>0</v>
      </c>
      <c r="BT406" s="37">
        <v>0</v>
      </c>
      <c r="BU406" s="37">
        <v>0</v>
      </c>
      <c r="BV406" s="37">
        <v>0</v>
      </c>
      <c r="BW406" s="59">
        <v>0</v>
      </c>
      <c r="BX406" s="59">
        <v>0</v>
      </c>
      <c r="BZ406" s="37">
        <v>4000</v>
      </c>
      <c r="CA406" s="37">
        <v>2000</v>
      </c>
      <c r="CB406" s="37">
        <v>0</v>
      </c>
      <c r="CC406" s="37">
        <v>400</v>
      </c>
      <c r="CD406" s="37">
        <v>200</v>
      </c>
      <c r="CE406" s="37">
        <v>80</v>
      </c>
      <c r="CF406" s="37">
        <v>0</v>
      </c>
      <c r="CG406" s="59">
        <v>6680</v>
      </c>
      <c r="CH406" s="37">
        <v>0</v>
      </c>
      <c r="CI406" s="37">
        <v>0</v>
      </c>
      <c r="CJ406" s="37">
        <v>0</v>
      </c>
      <c r="CK406" s="37">
        <v>0</v>
      </c>
      <c r="CL406" s="37">
        <v>0</v>
      </c>
      <c r="CM406" s="37">
        <v>0</v>
      </c>
      <c r="CN406" s="59">
        <v>0</v>
      </c>
      <c r="CO406" s="59">
        <v>6680</v>
      </c>
      <c r="CP406" s="58"/>
      <c r="CQ406" s="3">
        <v>6680</v>
      </c>
    </row>
    <row r="407" spans="1:95" customFormat="1" x14ac:dyDescent="0.2">
      <c r="A407" s="209">
        <v>43361</v>
      </c>
      <c r="B407" s="33" t="s">
        <v>55</v>
      </c>
      <c r="C407" s="33" t="s">
        <v>56</v>
      </c>
      <c r="D407" s="43">
        <v>0</v>
      </c>
      <c r="E407" s="43">
        <v>0</v>
      </c>
      <c r="F407" s="43">
        <v>0</v>
      </c>
      <c r="G407" s="43">
        <v>0</v>
      </c>
      <c r="H407" s="43">
        <v>0</v>
      </c>
      <c r="I407" s="43">
        <v>0</v>
      </c>
      <c r="J407" s="43">
        <v>0</v>
      </c>
      <c r="K407" s="43">
        <v>0</v>
      </c>
      <c r="L407" s="43">
        <v>0</v>
      </c>
      <c r="M407" s="43">
        <v>0</v>
      </c>
      <c r="N407" s="43">
        <v>0</v>
      </c>
      <c r="O407" s="43">
        <v>0</v>
      </c>
      <c r="P407" s="47">
        <v>0</v>
      </c>
      <c r="R407" s="37">
        <v>0</v>
      </c>
      <c r="S407" s="37">
        <v>0</v>
      </c>
      <c r="T407" s="37">
        <v>4000</v>
      </c>
      <c r="U407" s="37">
        <v>0</v>
      </c>
      <c r="V407" s="37">
        <v>2000</v>
      </c>
      <c r="W407" s="37">
        <v>0</v>
      </c>
      <c r="X407" s="37">
        <v>800</v>
      </c>
      <c r="Y407" s="37">
        <v>0</v>
      </c>
      <c r="Z407" s="37">
        <v>400</v>
      </c>
      <c r="AA407" s="37">
        <v>0</v>
      </c>
      <c r="AB407" s="37">
        <v>200</v>
      </c>
      <c r="AC407" s="37">
        <v>0</v>
      </c>
      <c r="AD407" s="37">
        <v>80</v>
      </c>
      <c r="AE407" s="37">
        <v>0</v>
      </c>
      <c r="AF407" s="37">
        <v>0</v>
      </c>
      <c r="AG407" s="59">
        <v>7480</v>
      </c>
      <c r="AH407" s="37">
        <v>0</v>
      </c>
      <c r="AI407" s="37">
        <v>0</v>
      </c>
      <c r="AJ407" s="37">
        <v>0</v>
      </c>
      <c r="AK407" s="37">
        <v>0</v>
      </c>
      <c r="AL407" s="37">
        <v>5</v>
      </c>
      <c r="AM407" s="37">
        <v>0</v>
      </c>
      <c r="AN407" s="37">
        <v>4</v>
      </c>
      <c r="AO407" s="37">
        <v>0</v>
      </c>
      <c r="AP407" s="37">
        <v>2</v>
      </c>
      <c r="AQ407" s="37">
        <v>0</v>
      </c>
      <c r="AR407" s="37">
        <v>0</v>
      </c>
      <c r="AS407" s="59">
        <v>11</v>
      </c>
      <c r="AT407" s="59">
        <v>7491</v>
      </c>
      <c r="AU407" s="45"/>
      <c r="AV407" s="37">
        <v>0</v>
      </c>
      <c r="AW407" s="37">
        <v>0</v>
      </c>
      <c r="AX407" s="37">
        <v>0</v>
      </c>
      <c r="AY407" s="37">
        <v>0</v>
      </c>
      <c r="AZ407" s="37">
        <v>0</v>
      </c>
      <c r="BA407" s="37">
        <v>0</v>
      </c>
      <c r="BB407" s="37">
        <v>0</v>
      </c>
      <c r="BC407" s="37">
        <v>0</v>
      </c>
      <c r="BD407" s="37">
        <v>0</v>
      </c>
      <c r="BE407" s="37">
        <v>0</v>
      </c>
      <c r="BF407" s="37">
        <v>0</v>
      </c>
      <c r="BG407" s="37">
        <v>0</v>
      </c>
      <c r="BH407" s="37">
        <v>0</v>
      </c>
      <c r="BI407" s="37">
        <v>0</v>
      </c>
      <c r="BJ407" s="37">
        <v>0</v>
      </c>
      <c r="BK407" s="59">
        <v>0</v>
      </c>
      <c r="BL407" s="37">
        <v>0</v>
      </c>
      <c r="BM407" s="37">
        <v>0</v>
      </c>
      <c r="BN407" s="37">
        <v>0</v>
      </c>
      <c r="BO407" s="37">
        <v>0</v>
      </c>
      <c r="BP407" s="37">
        <v>0</v>
      </c>
      <c r="BQ407" s="37">
        <v>0</v>
      </c>
      <c r="BR407" s="37">
        <v>0</v>
      </c>
      <c r="BS407" s="37">
        <v>0</v>
      </c>
      <c r="BT407" s="37">
        <v>0</v>
      </c>
      <c r="BU407" s="37">
        <v>0</v>
      </c>
      <c r="BV407" s="37">
        <v>0</v>
      </c>
      <c r="BW407" s="59">
        <v>0</v>
      </c>
      <c r="BX407" s="59">
        <v>0</v>
      </c>
      <c r="BZ407" s="37">
        <v>4000</v>
      </c>
      <c r="CA407" s="37">
        <v>2000</v>
      </c>
      <c r="CB407" s="37">
        <v>800</v>
      </c>
      <c r="CC407" s="37">
        <v>400</v>
      </c>
      <c r="CD407" s="37">
        <v>200</v>
      </c>
      <c r="CE407" s="37">
        <v>80</v>
      </c>
      <c r="CF407" s="37">
        <v>0</v>
      </c>
      <c r="CG407" s="59">
        <v>7480</v>
      </c>
      <c r="CH407" s="37">
        <v>0</v>
      </c>
      <c r="CI407" s="37">
        <v>5</v>
      </c>
      <c r="CJ407" s="37">
        <v>4</v>
      </c>
      <c r="CK407" s="37">
        <v>2</v>
      </c>
      <c r="CL407" s="37">
        <v>0</v>
      </c>
      <c r="CM407" s="37">
        <v>0</v>
      </c>
      <c r="CN407" s="59">
        <v>11</v>
      </c>
      <c r="CO407" s="59">
        <v>7491</v>
      </c>
      <c r="CP407" s="58"/>
      <c r="CQ407" s="3">
        <v>7491</v>
      </c>
    </row>
    <row r="408" spans="1:95" customFormat="1" x14ac:dyDescent="0.2">
      <c r="A408" s="209">
        <v>43361</v>
      </c>
      <c r="B408" s="33" t="s">
        <v>60</v>
      </c>
      <c r="C408" s="33" t="s">
        <v>61</v>
      </c>
      <c r="D408" s="43">
        <v>0</v>
      </c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1</v>
      </c>
      <c r="O408" s="43">
        <v>0</v>
      </c>
      <c r="P408" s="47" t="s">
        <v>45</v>
      </c>
      <c r="R408" s="37">
        <v>0</v>
      </c>
      <c r="S408" s="37">
        <v>0</v>
      </c>
      <c r="T408" s="37">
        <v>0</v>
      </c>
      <c r="U408" s="37">
        <v>0</v>
      </c>
      <c r="V408" s="37">
        <v>500000</v>
      </c>
      <c r="W408" s="37">
        <v>0</v>
      </c>
      <c r="X408" s="37">
        <v>0</v>
      </c>
      <c r="Y408" s="37">
        <v>0</v>
      </c>
      <c r="Z408" s="37">
        <v>60000</v>
      </c>
      <c r="AA408" s="37">
        <v>0</v>
      </c>
      <c r="AB408" s="37">
        <v>20000</v>
      </c>
      <c r="AC408" s="37">
        <v>0</v>
      </c>
      <c r="AD408" s="37">
        <v>0</v>
      </c>
      <c r="AE408" s="37">
        <v>0</v>
      </c>
      <c r="AF408" s="37">
        <v>0</v>
      </c>
      <c r="AG408" s="59">
        <v>580000</v>
      </c>
      <c r="AH408" s="37">
        <v>0</v>
      </c>
      <c r="AI408" s="37">
        <v>0</v>
      </c>
      <c r="AJ408" s="37">
        <v>1250</v>
      </c>
      <c r="AK408" s="37">
        <v>0</v>
      </c>
      <c r="AL408" s="37">
        <v>0</v>
      </c>
      <c r="AM408" s="37">
        <v>0</v>
      </c>
      <c r="AN408" s="37">
        <v>300</v>
      </c>
      <c r="AO408" s="37">
        <v>0</v>
      </c>
      <c r="AP408" s="37">
        <v>150</v>
      </c>
      <c r="AQ408" s="37">
        <v>0</v>
      </c>
      <c r="AR408" s="37">
        <v>0</v>
      </c>
      <c r="AS408" s="59">
        <v>1700</v>
      </c>
      <c r="AT408" s="59">
        <v>581700</v>
      </c>
      <c r="AU408" s="45"/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>
        <v>0</v>
      </c>
      <c r="BB408" s="37">
        <v>0</v>
      </c>
      <c r="BC408" s="37">
        <v>0</v>
      </c>
      <c r="BD408" s="37">
        <v>0</v>
      </c>
      <c r="BE408" s="37">
        <v>0</v>
      </c>
      <c r="BF408" s="37">
        <v>0</v>
      </c>
      <c r="BG408" s="37">
        <v>0</v>
      </c>
      <c r="BH408" s="37">
        <v>0</v>
      </c>
      <c r="BI408" s="37">
        <v>0</v>
      </c>
      <c r="BJ408" s="37">
        <v>0</v>
      </c>
      <c r="BK408" s="59">
        <v>0</v>
      </c>
      <c r="BL408" s="37">
        <v>0</v>
      </c>
      <c r="BM408" s="37">
        <v>0</v>
      </c>
      <c r="BN408" s="37">
        <v>0</v>
      </c>
      <c r="BO408" s="37">
        <v>0</v>
      </c>
      <c r="BP408" s="37">
        <v>0</v>
      </c>
      <c r="BQ408" s="37">
        <v>0</v>
      </c>
      <c r="BR408" s="37">
        <v>0</v>
      </c>
      <c r="BS408" s="37">
        <v>0</v>
      </c>
      <c r="BT408" s="37">
        <v>0</v>
      </c>
      <c r="BU408" s="37">
        <v>0</v>
      </c>
      <c r="BV408" s="37">
        <v>0</v>
      </c>
      <c r="BW408" s="59">
        <v>0</v>
      </c>
      <c r="BX408" s="59">
        <v>0</v>
      </c>
      <c r="BZ408" s="37">
        <v>0</v>
      </c>
      <c r="CA408" s="37">
        <v>500000</v>
      </c>
      <c r="CB408" s="37">
        <v>0</v>
      </c>
      <c r="CC408" s="37">
        <v>60000</v>
      </c>
      <c r="CD408" s="37">
        <v>20000</v>
      </c>
      <c r="CE408" s="37">
        <v>0</v>
      </c>
      <c r="CF408" s="37">
        <v>0</v>
      </c>
      <c r="CG408" s="59">
        <v>580000</v>
      </c>
      <c r="CH408" s="37">
        <v>0</v>
      </c>
      <c r="CI408" s="37">
        <v>1250</v>
      </c>
      <c r="CJ408" s="37">
        <v>300</v>
      </c>
      <c r="CK408" s="37">
        <v>150</v>
      </c>
      <c r="CL408" s="37">
        <v>0</v>
      </c>
      <c r="CM408" s="37">
        <v>0</v>
      </c>
      <c r="CN408" s="59">
        <v>1700</v>
      </c>
      <c r="CO408" s="59">
        <v>581700</v>
      </c>
      <c r="CP408" s="58"/>
      <c r="CQ408" s="3">
        <v>581700</v>
      </c>
    </row>
    <row r="409" spans="1:95" customFormat="1" x14ac:dyDescent="0.2">
      <c r="A409" s="209">
        <v>43361</v>
      </c>
      <c r="B409" s="33" t="s">
        <v>53</v>
      </c>
      <c r="C409" s="33" t="s">
        <v>54</v>
      </c>
      <c r="D409" s="43">
        <v>1</v>
      </c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0</v>
      </c>
      <c r="L409" s="43">
        <v>0</v>
      </c>
      <c r="M409" s="43">
        <v>0</v>
      </c>
      <c r="N409" s="43">
        <v>0</v>
      </c>
      <c r="O409" s="43">
        <v>0</v>
      </c>
      <c r="P409" s="47" t="s">
        <v>45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37">
        <v>0</v>
      </c>
      <c r="AF409" s="37">
        <v>0</v>
      </c>
      <c r="AG409" s="59">
        <v>0</v>
      </c>
      <c r="AH409" s="37">
        <v>0</v>
      </c>
      <c r="AI409" s="37">
        <v>0</v>
      </c>
      <c r="AJ409" s="37">
        <v>1250</v>
      </c>
      <c r="AK409" s="37">
        <v>0</v>
      </c>
      <c r="AL409" s="37">
        <v>0</v>
      </c>
      <c r="AM409" s="37">
        <v>0</v>
      </c>
      <c r="AN409" s="37">
        <v>0</v>
      </c>
      <c r="AO409" s="37">
        <v>0</v>
      </c>
      <c r="AP409" s="37">
        <v>0</v>
      </c>
      <c r="AQ409" s="37">
        <v>50</v>
      </c>
      <c r="AR409" s="37">
        <v>0</v>
      </c>
      <c r="AS409" s="59">
        <v>1300</v>
      </c>
      <c r="AT409" s="59">
        <v>1300</v>
      </c>
      <c r="AU409" s="45"/>
      <c r="AV409" s="37">
        <v>0</v>
      </c>
      <c r="AW409" s="37">
        <v>0</v>
      </c>
      <c r="AX409" s="37">
        <v>0</v>
      </c>
      <c r="AY409" s="37">
        <v>0</v>
      </c>
      <c r="AZ409" s="37">
        <v>0</v>
      </c>
      <c r="BA409" s="37">
        <v>0</v>
      </c>
      <c r="BB409" s="37">
        <v>0</v>
      </c>
      <c r="BC409" s="37">
        <v>0</v>
      </c>
      <c r="BD409" s="37">
        <v>0</v>
      </c>
      <c r="BE409" s="37">
        <v>0</v>
      </c>
      <c r="BF409" s="37">
        <v>0</v>
      </c>
      <c r="BG409" s="37">
        <v>0</v>
      </c>
      <c r="BH409" s="37">
        <v>0</v>
      </c>
      <c r="BI409" s="37">
        <v>0</v>
      </c>
      <c r="BJ409" s="37">
        <v>0</v>
      </c>
      <c r="BK409" s="59">
        <v>0</v>
      </c>
      <c r="BL409" s="37">
        <v>0</v>
      </c>
      <c r="BM409" s="37">
        <v>0</v>
      </c>
      <c r="BN409" s="37">
        <v>0</v>
      </c>
      <c r="BO409" s="37">
        <v>0</v>
      </c>
      <c r="BP409" s="37">
        <v>0</v>
      </c>
      <c r="BQ409" s="37">
        <v>0</v>
      </c>
      <c r="BR409" s="37">
        <v>0</v>
      </c>
      <c r="BS409" s="37">
        <v>0</v>
      </c>
      <c r="BT409" s="37">
        <v>0</v>
      </c>
      <c r="BU409" s="37">
        <v>0</v>
      </c>
      <c r="BV409" s="37">
        <v>0</v>
      </c>
      <c r="BW409" s="59">
        <v>0</v>
      </c>
      <c r="BX409" s="59">
        <v>0</v>
      </c>
      <c r="BZ409" s="37">
        <v>0</v>
      </c>
      <c r="CA409" s="37">
        <v>0</v>
      </c>
      <c r="CB409" s="37">
        <v>0</v>
      </c>
      <c r="CC409" s="37">
        <v>0</v>
      </c>
      <c r="CD409" s="37">
        <v>0</v>
      </c>
      <c r="CE409" s="37">
        <v>0</v>
      </c>
      <c r="CF409" s="37">
        <v>0</v>
      </c>
      <c r="CG409" s="59">
        <v>0</v>
      </c>
      <c r="CH409" s="37">
        <v>0</v>
      </c>
      <c r="CI409" s="37">
        <v>1250</v>
      </c>
      <c r="CJ409" s="37">
        <v>0</v>
      </c>
      <c r="CK409" s="37">
        <v>0</v>
      </c>
      <c r="CL409" s="37">
        <v>50</v>
      </c>
      <c r="CM409" s="37">
        <v>0</v>
      </c>
      <c r="CN409" s="59">
        <v>1300</v>
      </c>
      <c r="CO409" s="59">
        <v>1300</v>
      </c>
      <c r="CP409" s="58"/>
      <c r="CQ409" s="3">
        <v>1300</v>
      </c>
    </row>
    <row r="410" spans="1:95" customFormat="1" x14ac:dyDescent="0.2">
      <c r="A410" s="209">
        <v>43361</v>
      </c>
      <c r="B410" s="33" t="s">
        <v>53</v>
      </c>
      <c r="C410" s="33" t="s">
        <v>84</v>
      </c>
      <c r="D410" s="43">
        <v>0</v>
      </c>
      <c r="E410" s="43">
        <v>1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0</v>
      </c>
      <c r="M410" s="43">
        <v>0</v>
      </c>
      <c r="N410" s="43">
        <v>0</v>
      </c>
      <c r="O410" s="43">
        <v>0</v>
      </c>
      <c r="P410" s="47" t="s">
        <v>45</v>
      </c>
      <c r="R410" s="37">
        <v>0</v>
      </c>
      <c r="S410" s="37">
        <v>0</v>
      </c>
      <c r="T410" s="37">
        <v>0</v>
      </c>
      <c r="U410" s="37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7">
        <v>0</v>
      </c>
      <c r="AB410" s="37">
        <v>0</v>
      </c>
      <c r="AC410" s="37">
        <v>0</v>
      </c>
      <c r="AD410" s="37">
        <v>0</v>
      </c>
      <c r="AE410" s="37">
        <v>0</v>
      </c>
      <c r="AF410" s="37">
        <v>0</v>
      </c>
      <c r="AG410" s="59">
        <v>0</v>
      </c>
      <c r="AH410" s="37">
        <v>3750</v>
      </c>
      <c r="AI410" s="37">
        <v>0</v>
      </c>
      <c r="AJ410" s="37">
        <v>1250</v>
      </c>
      <c r="AK410" s="37">
        <v>0</v>
      </c>
      <c r="AL410" s="37">
        <v>0</v>
      </c>
      <c r="AM410" s="37">
        <v>0</v>
      </c>
      <c r="AN410" s="37">
        <v>0</v>
      </c>
      <c r="AO410" s="37">
        <v>0</v>
      </c>
      <c r="AP410" s="37">
        <v>0</v>
      </c>
      <c r="AQ410" s="37">
        <v>0</v>
      </c>
      <c r="AR410" s="37">
        <v>0</v>
      </c>
      <c r="AS410" s="59">
        <v>5000</v>
      </c>
      <c r="AT410" s="59">
        <v>5000</v>
      </c>
      <c r="AU410" s="45"/>
      <c r="AV410" s="37">
        <v>0</v>
      </c>
      <c r="AW410" s="37">
        <v>0</v>
      </c>
      <c r="AX410" s="37">
        <v>0</v>
      </c>
      <c r="AY410" s="37">
        <v>0</v>
      </c>
      <c r="AZ410" s="37">
        <v>0</v>
      </c>
      <c r="BA410" s="37">
        <v>0</v>
      </c>
      <c r="BB410" s="37">
        <v>0</v>
      </c>
      <c r="BC410" s="37">
        <v>0</v>
      </c>
      <c r="BD410" s="37">
        <v>0</v>
      </c>
      <c r="BE410" s="37">
        <v>0</v>
      </c>
      <c r="BF410" s="37">
        <v>0</v>
      </c>
      <c r="BG410" s="37">
        <v>0</v>
      </c>
      <c r="BH410" s="37">
        <v>0</v>
      </c>
      <c r="BI410" s="37">
        <v>0</v>
      </c>
      <c r="BJ410" s="37">
        <v>0</v>
      </c>
      <c r="BK410" s="59">
        <v>0</v>
      </c>
      <c r="BL410" s="37">
        <v>0</v>
      </c>
      <c r="BM410" s="37">
        <v>0</v>
      </c>
      <c r="BN410" s="37">
        <v>0</v>
      </c>
      <c r="BO410" s="37">
        <v>0</v>
      </c>
      <c r="BP410" s="37">
        <v>0</v>
      </c>
      <c r="BQ410" s="37">
        <v>0</v>
      </c>
      <c r="BR410" s="37">
        <v>0</v>
      </c>
      <c r="BS410" s="37">
        <v>0</v>
      </c>
      <c r="BT410" s="37">
        <v>0</v>
      </c>
      <c r="BU410" s="37">
        <v>0</v>
      </c>
      <c r="BV410" s="37">
        <v>0</v>
      </c>
      <c r="BW410" s="59">
        <v>0</v>
      </c>
      <c r="BX410" s="59">
        <v>0</v>
      </c>
      <c r="BZ410" s="37">
        <v>0</v>
      </c>
      <c r="CA410" s="37">
        <v>0</v>
      </c>
      <c r="CB410" s="37">
        <v>0</v>
      </c>
      <c r="CC410" s="37">
        <v>0</v>
      </c>
      <c r="CD410" s="37">
        <v>0</v>
      </c>
      <c r="CE410" s="37">
        <v>0</v>
      </c>
      <c r="CF410" s="37">
        <v>0</v>
      </c>
      <c r="CG410" s="59">
        <v>0</v>
      </c>
      <c r="CH410" s="37">
        <v>3750</v>
      </c>
      <c r="CI410" s="37">
        <v>1250</v>
      </c>
      <c r="CJ410" s="37">
        <v>0</v>
      </c>
      <c r="CK410" s="37">
        <v>0</v>
      </c>
      <c r="CL410" s="37">
        <v>0</v>
      </c>
      <c r="CM410" s="37">
        <v>0</v>
      </c>
      <c r="CN410" s="59">
        <v>5000</v>
      </c>
      <c r="CO410" s="59">
        <v>5000</v>
      </c>
      <c r="CP410" s="58"/>
      <c r="CQ410" s="3">
        <v>5000</v>
      </c>
    </row>
    <row r="411" spans="1:95" customFormat="1" x14ac:dyDescent="0.2">
      <c r="A411" s="209">
        <v>43361</v>
      </c>
      <c r="B411" s="33" t="s">
        <v>53</v>
      </c>
      <c r="C411" s="33" t="s">
        <v>54</v>
      </c>
      <c r="D411" s="43">
        <v>1</v>
      </c>
      <c r="E411" s="43">
        <v>0</v>
      </c>
      <c r="F411" s="43">
        <v>0</v>
      </c>
      <c r="G411" s="43">
        <v>0</v>
      </c>
      <c r="H411" s="43">
        <v>0</v>
      </c>
      <c r="I411" s="43">
        <v>0</v>
      </c>
      <c r="J411" s="43">
        <v>0</v>
      </c>
      <c r="K411" s="43">
        <v>0</v>
      </c>
      <c r="L411" s="43">
        <v>0</v>
      </c>
      <c r="M411" s="43">
        <v>0</v>
      </c>
      <c r="N411" s="43">
        <v>0</v>
      </c>
      <c r="O411" s="43">
        <v>0</v>
      </c>
      <c r="P411" s="47" t="s">
        <v>45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37">
        <v>0</v>
      </c>
      <c r="AF411" s="37">
        <v>0</v>
      </c>
      <c r="AG411" s="59">
        <v>0</v>
      </c>
      <c r="AH411" s="37">
        <v>0</v>
      </c>
      <c r="AI411" s="37">
        <v>0</v>
      </c>
      <c r="AJ411" s="37">
        <v>0</v>
      </c>
      <c r="AK411" s="37">
        <v>0</v>
      </c>
      <c r="AL411" s="37">
        <v>0</v>
      </c>
      <c r="AM411" s="37">
        <v>0</v>
      </c>
      <c r="AN411" s="37">
        <v>0</v>
      </c>
      <c r="AO411" s="37">
        <v>0</v>
      </c>
      <c r="AP411" s="37">
        <v>150</v>
      </c>
      <c r="AQ411" s="37">
        <v>0</v>
      </c>
      <c r="AR411" s="37">
        <v>0</v>
      </c>
      <c r="AS411" s="59">
        <v>150</v>
      </c>
      <c r="AT411" s="59">
        <v>150</v>
      </c>
      <c r="AU411" s="45"/>
      <c r="AV411" s="37">
        <v>0</v>
      </c>
      <c r="AW411" s="37">
        <v>0</v>
      </c>
      <c r="AX411" s="37">
        <v>0</v>
      </c>
      <c r="AY411" s="37">
        <v>0</v>
      </c>
      <c r="AZ411" s="37">
        <v>0</v>
      </c>
      <c r="BA411" s="37">
        <v>0</v>
      </c>
      <c r="BB411" s="37">
        <v>0</v>
      </c>
      <c r="BC411" s="37">
        <v>0</v>
      </c>
      <c r="BD411" s="37">
        <v>0</v>
      </c>
      <c r="BE411" s="37">
        <v>0</v>
      </c>
      <c r="BF411" s="37">
        <v>0</v>
      </c>
      <c r="BG411" s="37">
        <v>0</v>
      </c>
      <c r="BH411" s="37">
        <v>0</v>
      </c>
      <c r="BI411" s="37">
        <v>0</v>
      </c>
      <c r="BJ411" s="37">
        <v>0</v>
      </c>
      <c r="BK411" s="59">
        <v>0</v>
      </c>
      <c r="BL411" s="37">
        <v>0</v>
      </c>
      <c r="BM411" s="37">
        <v>0</v>
      </c>
      <c r="BN411" s="37">
        <v>0</v>
      </c>
      <c r="BO411" s="37">
        <v>0</v>
      </c>
      <c r="BP411" s="37">
        <v>0</v>
      </c>
      <c r="BQ411" s="37">
        <v>0</v>
      </c>
      <c r="BR411" s="37">
        <v>0</v>
      </c>
      <c r="BS411" s="37">
        <v>0</v>
      </c>
      <c r="BT411" s="37">
        <v>0</v>
      </c>
      <c r="BU411" s="37">
        <v>0</v>
      </c>
      <c r="BV411" s="37">
        <v>0</v>
      </c>
      <c r="BW411" s="59">
        <v>0</v>
      </c>
      <c r="BX411" s="59">
        <v>0</v>
      </c>
      <c r="BZ411" s="37">
        <v>0</v>
      </c>
      <c r="CA411" s="37">
        <v>0</v>
      </c>
      <c r="CB411" s="37">
        <v>0</v>
      </c>
      <c r="CC411" s="37">
        <v>0</v>
      </c>
      <c r="CD411" s="37">
        <v>0</v>
      </c>
      <c r="CE411" s="37">
        <v>0</v>
      </c>
      <c r="CF411" s="37">
        <v>0</v>
      </c>
      <c r="CG411" s="59">
        <v>0</v>
      </c>
      <c r="CH411" s="37">
        <v>0</v>
      </c>
      <c r="CI411" s="37">
        <v>0</v>
      </c>
      <c r="CJ411" s="37">
        <v>0</v>
      </c>
      <c r="CK411" s="37">
        <v>150</v>
      </c>
      <c r="CL411" s="37">
        <v>0</v>
      </c>
      <c r="CM411" s="37">
        <v>0</v>
      </c>
      <c r="CN411" s="59">
        <v>150</v>
      </c>
      <c r="CO411" s="59">
        <v>150</v>
      </c>
      <c r="CP411" s="58"/>
      <c r="CQ411" s="3">
        <v>150</v>
      </c>
    </row>
    <row r="412" spans="1:95" customFormat="1" x14ac:dyDescent="0.2">
      <c r="A412" s="209">
        <v>43362</v>
      </c>
      <c r="B412" s="33" t="s">
        <v>55</v>
      </c>
      <c r="C412" s="33" t="s">
        <v>56</v>
      </c>
      <c r="D412" s="43">
        <v>0</v>
      </c>
      <c r="E412" s="43">
        <v>0</v>
      </c>
      <c r="F412" s="43">
        <v>0</v>
      </c>
      <c r="G412" s="43">
        <v>0</v>
      </c>
      <c r="H412" s="43">
        <v>0</v>
      </c>
      <c r="I412" s="43">
        <v>0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  <c r="P412" s="47">
        <v>0</v>
      </c>
      <c r="R412" s="37">
        <v>0</v>
      </c>
      <c r="S412" s="37">
        <v>0</v>
      </c>
      <c r="T412" s="37">
        <v>4000</v>
      </c>
      <c r="U412" s="37">
        <v>0</v>
      </c>
      <c r="V412" s="37">
        <v>2000</v>
      </c>
      <c r="W412" s="37">
        <v>0</v>
      </c>
      <c r="X412" s="37">
        <v>800</v>
      </c>
      <c r="Y412" s="37">
        <v>0</v>
      </c>
      <c r="Z412" s="37">
        <v>400</v>
      </c>
      <c r="AA412" s="37">
        <v>0</v>
      </c>
      <c r="AB412" s="37">
        <v>200</v>
      </c>
      <c r="AC412" s="37">
        <v>0</v>
      </c>
      <c r="AD412" s="37">
        <v>80</v>
      </c>
      <c r="AE412" s="37">
        <v>0</v>
      </c>
      <c r="AF412" s="37">
        <v>0</v>
      </c>
      <c r="AG412" s="59">
        <v>7480</v>
      </c>
      <c r="AH412" s="37">
        <v>0</v>
      </c>
      <c r="AI412" s="37">
        <v>0</v>
      </c>
      <c r="AJ412" s="37">
        <v>0</v>
      </c>
      <c r="AK412" s="37">
        <v>0</v>
      </c>
      <c r="AL412" s="37">
        <v>0</v>
      </c>
      <c r="AM412" s="37">
        <v>0</v>
      </c>
      <c r="AN412" s="37">
        <v>0</v>
      </c>
      <c r="AO412" s="37">
        <v>0</v>
      </c>
      <c r="AP412" s="37">
        <v>0</v>
      </c>
      <c r="AQ412" s="37">
        <v>0</v>
      </c>
      <c r="AR412" s="37">
        <v>0</v>
      </c>
      <c r="AS412" s="59">
        <v>0</v>
      </c>
      <c r="AT412" s="59">
        <v>7480</v>
      </c>
      <c r="AU412" s="45"/>
      <c r="AV412" s="37">
        <v>0</v>
      </c>
      <c r="AW412" s="37">
        <v>0</v>
      </c>
      <c r="AX412" s="37">
        <v>0</v>
      </c>
      <c r="AY412" s="37">
        <v>0</v>
      </c>
      <c r="AZ412" s="37">
        <v>0</v>
      </c>
      <c r="BA412" s="37">
        <v>0</v>
      </c>
      <c r="BB412" s="37">
        <v>0</v>
      </c>
      <c r="BC412" s="37">
        <v>0</v>
      </c>
      <c r="BD412" s="37">
        <v>0</v>
      </c>
      <c r="BE412" s="37">
        <v>0</v>
      </c>
      <c r="BF412" s="37">
        <v>0</v>
      </c>
      <c r="BG412" s="37">
        <v>0</v>
      </c>
      <c r="BH412" s="37">
        <v>0</v>
      </c>
      <c r="BI412" s="37">
        <v>0</v>
      </c>
      <c r="BJ412" s="37">
        <v>0</v>
      </c>
      <c r="BK412" s="59">
        <v>0</v>
      </c>
      <c r="BL412" s="37">
        <v>0</v>
      </c>
      <c r="BM412" s="37">
        <v>0</v>
      </c>
      <c r="BN412" s="37">
        <v>0</v>
      </c>
      <c r="BO412" s="37">
        <v>0</v>
      </c>
      <c r="BP412" s="37">
        <v>0</v>
      </c>
      <c r="BQ412" s="37">
        <v>0</v>
      </c>
      <c r="BR412" s="37">
        <v>0</v>
      </c>
      <c r="BS412" s="37">
        <v>0</v>
      </c>
      <c r="BT412" s="37">
        <v>0</v>
      </c>
      <c r="BU412" s="37">
        <v>0</v>
      </c>
      <c r="BV412" s="37">
        <v>0</v>
      </c>
      <c r="BW412" s="59">
        <v>0</v>
      </c>
      <c r="BX412" s="59">
        <v>0</v>
      </c>
      <c r="BZ412" s="37">
        <v>4000</v>
      </c>
      <c r="CA412" s="37">
        <v>2000</v>
      </c>
      <c r="CB412" s="37">
        <v>800</v>
      </c>
      <c r="CC412" s="37">
        <v>400</v>
      </c>
      <c r="CD412" s="37">
        <v>200</v>
      </c>
      <c r="CE412" s="37">
        <v>80</v>
      </c>
      <c r="CF412" s="37">
        <v>0</v>
      </c>
      <c r="CG412" s="59">
        <v>7480</v>
      </c>
      <c r="CH412" s="37">
        <v>0</v>
      </c>
      <c r="CI412" s="37">
        <v>0</v>
      </c>
      <c r="CJ412" s="37">
        <v>0</v>
      </c>
      <c r="CK412" s="37">
        <v>0</v>
      </c>
      <c r="CL412" s="37">
        <v>0</v>
      </c>
      <c r="CM412" s="37">
        <v>0</v>
      </c>
      <c r="CN412" s="59">
        <v>0</v>
      </c>
      <c r="CO412" s="59">
        <v>7480</v>
      </c>
      <c r="CP412" s="58"/>
      <c r="CQ412" s="3">
        <v>7480</v>
      </c>
    </row>
    <row r="413" spans="1:95" customFormat="1" x14ac:dyDescent="0.2">
      <c r="A413" s="209">
        <v>43363</v>
      </c>
      <c r="B413" s="33" t="s">
        <v>55</v>
      </c>
      <c r="C413" s="33" t="s">
        <v>56</v>
      </c>
      <c r="D413" s="43">
        <v>0</v>
      </c>
      <c r="E413" s="43">
        <v>0</v>
      </c>
      <c r="F413" s="43">
        <v>0</v>
      </c>
      <c r="G413" s="43">
        <v>0</v>
      </c>
      <c r="H413" s="43">
        <v>0</v>
      </c>
      <c r="I413" s="43">
        <v>0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7">
        <v>0</v>
      </c>
      <c r="R413" s="37">
        <v>0</v>
      </c>
      <c r="S413" s="37">
        <v>0</v>
      </c>
      <c r="T413" s="37">
        <v>4000</v>
      </c>
      <c r="U413" s="37">
        <v>0</v>
      </c>
      <c r="V413" s="37">
        <v>2000</v>
      </c>
      <c r="W413" s="37">
        <v>0</v>
      </c>
      <c r="X413" s="37">
        <v>800</v>
      </c>
      <c r="Y413" s="37">
        <v>0</v>
      </c>
      <c r="Z413" s="37">
        <v>400</v>
      </c>
      <c r="AA413" s="37">
        <v>0</v>
      </c>
      <c r="AB413" s="37">
        <v>200</v>
      </c>
      <c r="AC413" s="37">
        <v>0</v>
      </c>
      <c r="AD413" s="37">
        <v>80</v>
      </c>
      <c r="AE413" s="37">
        <v>0</v>
      </c>
      <c r="AF413" s="37">
        <v>0</v>
      </c>
      <c r="AG413" s="59">
        <v>7480</v>
      </c>
      <c r="AH413" s="37">
        <v>0</v>
      </c>
      <c r="AI413" s="37">
        <v>0</v>
      </c>
      <c r="AJ413" s="37">
        <v>0</v>
      </c>
      <c r="AK413" s="37">
        <v>0</v>
      </c>
      <c r="AL413" s="37">
        <v>5</v>
      </c>
      <c r="AM413" s="37">
        <v>0</v>
      </c>
      <c r="AN413" s="37">
        <v>4</v>
      </c>
      <c r="AO413" s="37">
        <v>0</v>
      </c>
      <c r="AP413" s="37">
        <v>2</v>
      </c>
      <c r="AQ413" s="37">
        <v>0</v>
      </c>
      <c r="AR413" s="37">
        <v>0</v>
      </c>
      <c r="AS413" s="59">
        <v>11</v>
      </c>
      <c r="AT413" s="59">
        <v>7491</v>
      </c>
      <c r="AU413" s="45"/>
      <c r="AV413" s="37">
        <v>0</v>
      </c>
      <c r="AW413" s="37">
        <v>0</v>
      </c>
      <c r="AX413" s="37">
        <v>0</v>
      </c>
      <c r="AY413" s="37">
        <v>0</v>
      </c>
      <c r="AZ413" s="37">
        <v>0</v>
      </c>
      <c r="BA413" s="37">
        <v>0</v>
      </c>
      <c r="BB413" s="37">
        <v>0</v>
      </c>
      <c r="BC413" s="37">
        <v>0</v>
      </c>
      <c r="BD413" s="37">
        <v>0</v>
      </c>
      <c r="BE413" s="37">
        <v>0</v>
      </c>
      <c r="BF413" s="37">
        <v>0</v>
      </c>
      <c r="BG413" s="37">
        <v>0</v>
      </c>
      <c r="BH413" s="37">
        <v>0</v>
      </c>
      <c r="BI413" s="37">
        <v>0</v>
      </c>
      <c r="BJ413" s="37">
        <v>0</v>
      </c>
      <c r="BK413" s="59">
        <v>0</v>
      </c>
      <c r="BL413" s="37">
        <v>0</v>
      </c>
      <c r="BM413" s="37">
        <v>0</v>
      </c>
      <c r="BN413" s="37">
        <v>0</v>
      </c>
      <c r="BO413" s="37">
        <v>0</v>
      </c>
      <c r="BP413" s="37">
        <v>0</v>
      </c>
      <c r="BQ413" s="37">
        <v>0</v>
      </c>
      <c r="BR413" s="37">
        <v>0</v>
      </c>
      <c r="BS413" s="37">
        <v>0</v>
      </c>
      <c r="BT413" s="37">
        <v>0</v>
      </c>
      <c r="BU413" s="37">
        <v>0</v>
      </c>
      <c r="BV413" s="37">
        <v>0</v>
      </c>
      <c r="BW413" s="59">
        <v>0</v>
      </c>
      <c r="BX413" s="59">
        <v>0</v>
      </c>
      <c r="BZ413" s="37">
        <v>4000</v>
      </c>
      <c r="CA413" s="37">
        <v>2000</v>
      </c>
      <c r="CB413" s="37">
        <v>800</v>
      </c>
      <c r="CC413" s="37">
        <v>400</v>
      </c>
      <c r="CD413" s="37">
        <v>200</v>
      </c>
      <c r="CE413" s="37">
        <v>80</v>
      </c>
      <c r="CF413" s="37">
        <v>0</v>
      </c>
      <c r="CG413" s="59">
        <v>7480</v>
      </c>
      <c r="CH413" s="37">
        <v>0</v>
      </c>
      <c r="CI413" s="37">
        <v>5</v>
      </c>
      <c r="CJ413" s="37">
        <v>4</v>
      </c>
      <c r="CK413" s="37">
        <v>2</v>
      </c>
      <c r="CL413" s="37">
        <v>0</v>
      </c>
      <c r="CM413" s="37">
        <v>0</v>
      </c>
      <c r="CN413" s="59">
        <v>11</v>
      </c>
      <c r="CO413" s="59">
        <v>7491</v>
      </c>
      <c r="CP413" s="58"/>
      <c r="CQ413" s="3">
        <v>7491</v>
      </c>
    </row>
    <row r="414" spans="1:95" customFormat="1" x14ac:dyDescent="0.2">
      <c r="A414" s="209">
        <v>43363</v>
      </c>
      <c r="B414" s="33" t="s">
        <v>53</v>
      </c>
      <c r="C414" s="33" t="s">
        <v>54</v>
      </c>
      <c r="D414" s="43">
        <v>1</v>
      </c>
      <c r="E414" s="43">
        <v>0</v>
      </c>
      <c r="F414" s="43">
        <v>0</v>
      </c>
      <c r="G414" s="43">
        <v>0</v>
      </c>
      <c r="H414" s="43">
        <v>0</v>
      </c>
      <c r="I414" s="43">
        <v>0</v>
      </c>
      <c r="J414" s="43">
        <v>0</v>
      </c>
      <c r="K414" s="43">
        <v>0</v>
      </c>
      <c r="L414" s="43">
        <v>0</v>
      </c>
      <c r="M414" s="43">
        <v>0</v>
      </c>
      <c r="N414" s="43">
        <v>0</v>
      </c>
      <c r="O414" s="43">
        <v>0</v>
      </c>
      <c r="P414" s="47" t="s">
        <v>45</v>
      </c>
      <c r="R414" s="37"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>
        <v>0</v>
      </c>
      <c r="AG414" s="59">
        <v>0</v>
      </c>
      <c r="AH414" s="37">
        <v>0</v>
      </c>
      <c r="AI414" s="37">
        <v>0</v>
      </c>
      <c r="AJ414" s="37">
        <v>0</v>
      </c>
      <c r="AK414" s="37">
        <v>0</v>
      </c>
      <c r="AL414" s="37">
        <v>0</v>
      </c>
      <c r="AM414" s="37">
        <v>0</v>
      </c>
      <c r="AN414" s="37">
        <v>0</v>
      </c>
      <c r="AO414" s="37">
        <v>0</v>
      </c>
      <c r="AP414" s="37">
        <v>100</v>
      </c>
      <c r="AQ414" s="37">
        <v>0</v>
      </c>
      <c r="AR414" s="37">
        <v>0</v>
      </c>
      <c r="AS414" s="59">
        <v>100</v>
      </c>
      <c r="AT414" s="59">
        <v>100</v>
      </c>
      <c r="AU414" s="45"/>
      <c r="AV414" s="37">
        <v>0</v>
      </c>
      <c r="AW414" s="37">
        <v>0</v>
      </c>
      <c r="AX414" s="37">
        <v>0</v>
      </c>
      <c r="AY414" s="37">
        <v>0</v>
      </c>
      <c r="AZ414" s="37">
        <v>0</v>
      </c>
      <c r="BA414" s="37">
        <v>0</v>
      </c>
      <c r="BB414" s="37">
        <v>0</v>
      </c>
      <c r="BC414" s="37">
        <v>0</v>
      </c>
      <c r="BD414" s="37">
        <v>0</v>
      </c>
      <c r="BE414" s="37">
        <v>0</v>
      </c>
      <c r="BF414" s="37">
        <v>0</v>
      </c>
      <c r="BG414" s="37">
        <v>0</v>
      </c>
      <c r="BH414" s="37">
        <v>0</v>
      </c>
      <c r="BI414" s="37">
        <v>0</v>
      </c>
      <c r="BJ414" s="37">
        <v>0</v>
      </c>
      <c r="BK414" s="59">
        <v>0</v>
      </c>
      <c r="BL414" s="37">
        <v>0</v>
      </c>
      <c r="BM414" s="37">
        <v>0</v>
      </c>
      <c r="BN414" s="37">
        <v>0</v>
      </c>
      <c r="BO414" s="37">
        <v>0</v>
      </c>
      <c r="BP414" s="37">
        <v>0</v>
      </c>
      <c r="BQ414" s="37">
        <v>0</v>
      </c>
      <c r="BR414" s="37">
        <v>0</v>
      </c>
      <c r="BS414" s="37">
        <v>0</v>
      </c>
      <c r="BT414" s="37">
        <v>0</v>
      </c>
      <c r="BU414" s="37">
        <v>0</v>
      </c>
      <c r="BV414" s="37">
        <v>0</v>
      </c>
      <c r="BW414" s="59">
        <v>0</v>
      </c>
      <c r="BX414" s="59">
        <v>0</v>
      </c>
      <c r="BZ414" s="37">
        <v>0</v>
      </c>
      <c r="CA414" s="37">
        <v>0</v>
      </c>
      <c r="CB414" s="37">
        <v>0</v>
      </c>
      <c r="CC414" s="37">
        <v>0</v>
      </c>
      <c r="CD414" s="37">
        <v>0</v>
      </c>
      <c r="CE414" s="37">
        <v>0</v>
      </c>
      <c r="CF414" s="37">
        <v>0</v>
      </c>
      <c r="CG414" s="59">
        <v>0</v>
      </c>
      <c r="CH414" s="37">
        <v>0</v>
      </c>
      <c r="CI414" s="37">
        <v>0</v>
      </c>
      <c r="CJ414" s="37">
        <v>0</v>
      </c>
      <c r="CK414" s="37">
        <v>100</v>
      </c>
      <c r="CL414" s="37">
        <v>0</v>
      </c>
      <c r="CM414" s="37">
        <v>0</v>
      </c>
      <c r="CN414" s="59">
        <v>100</v>
      </c>
      <c r="CO414" s="59">
        <v>100</v>
      </c>
      <c r="CP414" s="58"/>
      <c r="CQ414" s="3">
        <v>100</v>
      </c>
    </row>
    <row r="415" spans="1:95" customFormat="1" x14ac:dyDescent="0.2">
      <c r="A415" s="209">
        <v>43363</v>
      </c>
      <c r="B415" s="33" t="s">
        <v>53</v>
      </c>
      <c r="C415" s="33" t="s">
        <v>57</v>
      </c>
      <c r="D415" s="43">
        <v>0</v>
      </c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0</v>
      </c>
      <c r="L415" s="43">
        <v>0</v>
      </c>
      <c r="M415" s="43">
        <v>0</v>
      </c>
      <c r="N415" s="43">
        <v>0</v>
      </c>
      <c r="O415" s="43">
        <v>0</v>
      </c>
      <c r="P415" s="47">
        <v>0</v>
      </c>
      <c r="R415" s="37">
        <v>0</v>
      </c>
      <c r="S415" s="37">
        <v>0</v>
      </c>
      <c r="T415" s="37">
        <v>4000</v>
      </c>
      <c r="U415" s="37">
        <v>0</v>
      </c>
      <c r="V415" s="37">
        <v>18000</v>
      </c>
      <c r="W415" s="37">
        <v>0</v>
      </c>
      <c r="X415" s="37">
        <v>5600</v>
      </c>
      <c r="Y415" s="37">
        <v>0</v>
      </c>
      <c r="Z415" s="37">
        <v>3600</v>
      </c>
      <c r="AA415" s="37">
        <v>0</v>
      </c>
      <c r="AB415" s="37">
        <v>1700</v>
      </c>
      <c r="AC415" s="37">
        <v>0</v>
      </c>
      <c r="AD415" s="37">
        <v>720</v>
      </c>
      <c r="AE415" s="37">
        <v>0</v>
      </c>
      <c r="AF415" s="37">
        <v>0</v>
      </c>
      <c r="AG415" s="59">
        <v>33620</v>
      </c>
      <c r="AH415" s="37">
        <v>0</v>
      </c>
      <c r="AI415" s="37">
        <v>0</v>
      </c>
      <c r="AJ415" s="37">
        <v>0</v>
      </c>
      <c r="AK415" s="37">
        <v>0</v>
      </c>
      <c r="AL415" s="37">
        <v>20</v>
      </c>
      <c r="AM415" s="37">
        <v>0</v>
      </c>
      <c r="AN415" s="37">
        <v>16</v>
      </c>
      <c r="AO415" s="37">
        <v>0</v>
      </c>
      <c r="AP415" s="37">
        <v>8</v>
      </c>
      <c r="AQ415" s="37">
        <v>0</v>
      </c>
      <c r="AR415" s="37">
        <v>0</v>
      </c>
      <c r="AS415" s="59">
        <v>44</v>
      </c>
      <c r="AT415" s="59">
        <v>33664</v>
      </c>
      <c r="AU415" s="45"/>
      <c r="AV415" s="37">
        <v>0</v>
      </c>
      <c r="AW415" s="37">
        <v>0</v>
      </c>
      <c r="AX415" s="37">
        <v>0</v>
      </c>
      <c r="AY415" s="37">
        <v>0</v>
      </c>
      <c r="AZ415" s="37">
        <v>0</v>
      </c>
      <c r="BA415" s="37">
        <v>0</v>
      </c>
      <c r="BB415" s="37">
        <v>0</v>
      </c>
      <c r="BC415" s="37">
        <v>0</v>
      </c>
      <c r="BD415" s="37">
        <v>0</v>
      </c>
      <c r="BE415" s="37">
        <v>0</v>
      </c>
      <c r="BF415" s="37">
        <v>0</v>
      </c>
      <c r="BG415" s="37">
        <v>0</v>
      </c>
      <c r="BH415" s="37">
        <v>0</v>
      </c>
      <c r="BI415" s="37">
        <v>0</v>
      </c>
      <c r="BJ415" s="37">
        <v>0</v>
      </c>
      <c r="BK415" s="59">
        <v>0</v>
      </c>
      <c r="BL415" s="37">
        <v>0</v>
      </c>
      <c r="BM415" s="37">
        <v>0</v>
      </c>
      <c r="BN415" s="37">
        <v>0</v>
      </c>
      <c r="BO415" s="37">
        <v>0</v>
      </c>
      <c r="BP415" s="37">
        <v>0</v>
      </c>
      <c r="BQ415" s="37">
        <v>0</v>
      </c>
      <c r="BR415" s="37">
        <v>0</v>
      </c>
      <c r="BS415" s="37">
        <v>0</v>
      </c>
      <c r="BT415" s="37">
        <v>0</v>
      </c>
      <c r="BU415" s="37">
        <v>0</v>
      </c>
      <c r="BV415" s="37">
        <v>0</v>
      </c>
      <c r="BW415" s="59">
        <v>0</v>
      </c>
      <c r="BX415" s="59">
        <v>0</v>
      </c>
      <c r="BZ415" s="37">
        <v>4000</v>
      </c>
      <c r="CA415" s="37">
        <v>18000</v>
      </c>
      <c r="CB415" s="37">
        <v>5600</v>
      </c>
      <c r="CC415" s="37">
        <v>3600</v>
      </c>
      <c r="CD415" s="37">
        <v>1700</v>
      </c>
      <c r="CE415" s="37">
        <v>720</v>
      </c>
      <c r="CF415" s="37">
        <v>0</v>
      </c>
      <c r="CG415" s="59">
        <v>33620</v>
      </c>
      <c r="CH415" s="37">
        <v>0</v>
      </c>
      <c r="CI415" s="37">
        <v>20</v>
      </c>
      <c r="CJ415" s="37">
        <v>16</v>
      </c>
      <c r="CK415" s="37">
        <v>8</v>
      </c>
      <c r="CL415" s="37">
        <v>0</v>
      </c>
      <c r="CM415" s="37">
        <v>0</v>
      </c>
      <c r="CN415" s="59">
        <v>44</v>
      </c>
      <c r="CO415" s="59">
        <v>33664</v>
      </c>
      <c r="CP415" s="58"/>
      <c r="CQ415" s="3">
        <v>33664</v>
      </c>
    </row>
    <row r="416" spans="1:95" customFormat="1" x14ac:dyDescent="0.2">
      <c r="A416" s="209">
        <v>43364</v>
      </c>
      <c r="B416" s="33" t="s">
        <v>55</v>
      </c>
      <c r="C416" s="33" t="s">
        <v>56</v>
      </c>
      <c r="D416" s="43">
        <v>0</v>
      </c>
      <c r="E416" s="43">
        <v>0</v>
      </c>
      <c r="F416" s="43">
        <v>0</v>
      </c>
      <c r="G416" s="43">
        <v>0</v>
      </c>
      <c r="H416" s="43">
        <v>0</v>
      </c>
      <c r="I416" s="43">
        <v>0</v>
      </c>
      <c r="J416" s="43">
        <v>0</v>
      </c>
      <c r="K416" s="43">
        <v>0</v>
      </c>
      <c r="L416" s="43">
        <v>0</v>
      </c>
      <c r="M416" s="43">
        <v>0</v>
      </c>
      <c r="N416" s="43">
        <v>0</v>
      </c>
      <c r="O416" s="43">
        <v>0</v>
      </c>
      <c r="P416" s="47">
        <v>0</v>
      </c>
      <c r="R416" s="37">
        <v>0</v>
      </c>
      <c r="S416" s="37">
        <v>0</v>
      </c>
      <c r="T416" s="37">
        <v>4000</v>
      </c>
      <c r="U416" s="37">
        <v>0</v>
      </c>
      <c r="V416" s="37">
        <v>2000</v>
      </c>
      <c r="W416" s="37">
        <v>0</v>
      </c>
      <c r="X416" s="37">
        <v>800</v>
      </c>
      <c r="Y416" s="37">
        <v>0</v>
      </c>
      <c r="Z416" s="37">
        <v>400</v>
      </c>
      <c r="AA416" s="37">
        <v>0</v>
      </c>
      <c r="AB416" s="37">
        <v>200</v>
      </c>
      <c r="AC416" s="37">
        <v>0</v>
      </c>
      <c r="AD416" s="37">
        <v>80</v>
      </c>
      <c r="AE416" s="37">
        <v>0</v>
      </c>
      <c r="AF416" s="37">
        <v>0</v>
      </c>
      <c r="AG416" s="59">
        <v>7480</v>
      </c>
      <c r="AH416" s="37">
        <v>0</v>
      </c>
      <c r="AI416" s="37">
        <v>0</v>
      </c>
      <c r="AJ416" s="37">
        <v>0</v>
      </c>
      <c r="AK416" s="37">
        <v>0</v>
      </c>
      <c r="AL416" s="37">
        <v>0</v>
      </c>
      <c r="AM416" s="37">
        <v>0</v>
      </c>
      <c r="AN416" s="37">
        <v>0</v>
      </c>
      <c r="AO416" s="37">
        <v>0</v>
      </c>
      <c r="AP416" s="37">
        <v>0</v>
      </c>
      <c r="AQ416" s="37">
        <v>0</v>
      </c>
      <c r="AR416" s="37">
        <v>0</v>
      </c>
      <c r="AS416" s="59">
        <v>0</v>
      </c>
      <c r="AT416" s="59">
        <v>7480</v>
      </c>
      <c r="AU416" s="45"/>
      <c r="AV416" s="37">
        <v>0</v>
      </c>
      <c r="AW416" s="37">
        <v>0</v>
      </c>
      <c r="AX416" s="37">
        <v>0</v>
      </c>
      <c r="AY416" s="37">
        <v>0</v>
      </c>
      <c r="AZ416" s="37">
        <v>0</v>
      </c>
      <c r="BA416" s="37">
        <v>0</v>
      </c>
      <c r="BB416" s="37">
        <v>0</v>
      </c>
      <c r="BC416" s="37">
        <v>0</v>
      </c>
      <c r="BD416" s="37">
        <v>0</v>
      </c>
      <c r="BE416" s="37">
        <v>0</v>
      </c>
      <c r="BF416" s="37">
        <v>0</v>
      </c>
      <c r="BG416" s="37">
        <v>0</v>
      </c>
      <c r="BH416" s="37">
        <v>0</v>
      </c>
      <c r="BI416" s="37">
        <v>0</v>
      </c>
      <c r="BJ416" s="37">
        <v>0</v>
      </c>
      <c r="BK416" s="59">
        <v>0</v>
      </c>
      <c r="BL416" s="37">
        <v>0</v>
      </c>
      <c r="BM416" s="37">
        <v>0</v>
      </c>
      <c r="BN416" s="37">
        <v>0</v>
      </c>
      <c r="BO416" s="37">
        <v>0</v>
      </c>
      <c r="BP416" s="37">
        <v>0</v>
      </c>
      <c r="BQ416" s="37">
        <v>0</v>
      </c>
      <c r="BR416" s="37">
        <v>0</v>
      </c>
      <c r="BS416" s="37">
        <v>0</v>
      </c>
      <c r="BT416" s="37">
        <v>0</v>
      </c>
      <c r="BU416" s="37">
        <v>0</v>
      </c>
      <c r="BV416" s="37">
        <v>0</v>
      </c>
      <c r="BW416" s="59">
        <v>0</v>
      </c>
      <c r="BX416" s="59">
        <v>0</v>
      </c>
      <c r="BZ416" s="37">
        <v>4000</v>
      </c>
      <c r="CA416" s="37">
        <v>2000</v>
      </c>
      <c r="CB416" s="37">
        <v>800</v>
      </c>
      <c r="CC416" s="37">
        <v>400</v>
      </c>
      <c r="CD416" s="37">
        <v>200</v>
      </c>
      <c r="CE416" s="37">
        <v>80</v>
      </c>
      <c r="CF416" s="37">
        <v>0</v>
      </c>
      <c r="CG416" s="59">
        <v>7480</v>
      </c>
      <c r="CH416" s="37">
        <v>0</v>
      </c>
      <c r="CI416" s="37">
        <v>0</v>
      </c>
      <c r="CJ416" s="37">
        <v>0</v>
      </c>
      <c r="CK416" s="37">
        <v>0</v>
      </c>
      <c r="CL416" s="37">
        <v>0</v>
      </c>
      <c r="CM416" s="37">
        <v>0</v>
      </c>
      <c r="CN416" s="59">
        <v>0</v>
      </c>
      <c r="CO416" s="59">
        <v>7480</v>
      </c>
      <c r="CP416" s="58"/>
      <c r="CQ416" s="3">
        <v>7480</v>
      </c>
    </row>
    <row r="417" spans="1:95" customFormat="1" x14ac:dyDescent="0.2">
      <c r="A417" s="209">
        <v>43367</v>
      </c>
      <c r="B417" s="33" t="s">
        <v>55</v>
      </c>
      <c r="C417" s="33" t="s">
        <v>56</v>
      </c>
      <c r="D417" s="43">
        <v>0</v>
      </c>
      <c r="E417" s="43">
        <v>0</v>
      </c>
      <c r="F417" s="43">
        <v>0</v>
      </c>
      <c r="G417" s="43">
        <v>0</v>
      </c>
      <c r="H417" s="43">
        <v>0</v>
      </c>
      <c r="I417" s="43">
        <v>0</v>
      </c>
      <c r="J417" s="43">
        <v>0</v>
      </c>
      <c r="K417" s="43">
        <v>0</v>
      </c>
      <c r="L417" s="43">
        <v>0</v>
      </c>
      <c r="M417" s="43">
        <v>0</v>
      </c>
      <c r="N417" s="43">
        <v>0</v>
      </c>
      <c r="O417" s="43">
        <v>0</v>
      </c>
      <c r="P417" s="47">
        <v>0</v>
      </c>
      <c r="R417" s="37">
        <v>0</v>
      </c>
      <c r="S417" s="37">
        <v>0</v>
      </c>
      <c r="T417" s="37">
        <v>4000</v>
      </c>
      <c r="U417" s="37">
        <v>0</v>
      </c>
      <c r="V417" s="37">
        <v>2000</v>
      </c>
      <c r="W417" s="37">
        <v>0</v>
      </c>
      <c r="X417" s="37">
        <v>800</v>
      </c>
      <c r="Y417" s="37">
        <v>0</v>
      </c>
      <c r="Z417" s="37">
        <v>400</v>
      </c>
      <c r="AA417" s="37">
        <v>0</v>
      </c>
      <c r="AB417" s="37">
        <v>200</v>
      </c>
      <c r="AC417" s="37">
        <v>0</v>
      </c>
      <c r="AD417" s="37">
        <v>80</v>
      </c>
      <c r="AE417" s="37">
        <v>0</v>
      </c>
      <c r="AF417" s="37">
        <v>0</v>
      </c>
      <c r="AG417" s="59">
        <v>7480</v>
      </c>
      <c r="AH417" s="37">
        <v>0</v>
      </c>
      <c r="AI417" s="37">
        <v>0</v>
      </c>
      <c r="AJ417" s="37">
        <v>0</v>
      </c>
      <c r="AK417" s="37">
        <v>0</v>
      </c>
      <c r="AL417" s="37">
        <v>0</v>
      </c>
      <c r="AM417" s="37">
        <v>0</v>
      </c>
      <c r="AN417" s="37">
        <v>0</v>
      </c>
      <c r="AO417" s="37">
        <v>0</v>
      </c>
      <c r="AP417" s="37">
        <v>0</v>
      </c>
      <c r="AQ417" s="37">
        <v>0</v>
      </c>
      <c r="AR417" s="37">
        <v>0</v>
      </c>
      <c r="AS417" s="59">
        <v>0</v>
      </c>
      <c r="AT417" s="59">
        <v>7480</v>
      </c>
      <c r="AU417" s="45"/>
      <c r="AV417" s="37">
        <v>0</v>
      </c>
      <c r="AW417" s="37">
        <v>0</v>
      </c>
      <c r="AX417" s="37">
        <v>0</v>
      </c>
      <c r="AY417" s="37">
        <v>0</v>
      </c>
      <c r="AZ417" s="37">
        <v>0</v>
      </c>
      <c r="BA417" s="37">
        <v>0</v>
      </c>
      <c r="BB417" s="37">
        <v>0</v>
      </c>
      <c r="BC417" s="37">
        <v>0</v>
      </c>
      <c r="BD417" s="37">
        <v>0</v>
      </c>
      <c r="BE417" s="37">
        <v>0</v>
      </c>
      <c r="BF417" s="37">
        <v>0</v>
      </c>
      <c r="BG417" s="37">
        <v>0</v>
      </c>
      <c r="BH417" s="37">
        <v>0</v>
      </c>
      <c r="BI417" s="37">
        <v>0</v>
      </c>
      <c r="BJ417" s="37">
        <v>0</v>
      </c>
      <c r="BK417" s="59">
        <v>0</v>
      </c>
      <c r="BL417" s="37">
        <v>0</v>
      </c>
      <c r="BM417" s="37">
        <v>0</v>
      </c>
      <c r="BN417" s="37">
        <v>0</v>
      </c>
      <c r="BO417" s="37">
        <v>0</v>
      </c>
      <c r="BP417" s="37">
        <v>0</v>
      </c>
      <c r="BQ417" s="37">
        <v>0</v>
      </c>
      <c r="BR417" s="37">
        <v>0</v>
      </c>
      <c r="BS417" s="37">
        <v>0</v>
      </c>
      <c r="BT417" s="37">
        <v>0</v>
      </c>
      <c r="BU417" s="37">
        <v>0</v>
      </c>
      <c r="BV417" s="37">
        <v>0</v>
      </c>
      <c r="BW417" s="59">
        <v>0</v>
      </c>
      <c r="BX417" s="59">
        <v>0</v>
      </c>
      <c r="BZ417" s="37">
        <v>4000</v>
      </c>
      <c r="CA417" s="37">
        <v>2000</v>
      </c>
      <c r="CB417" s="37">
        <v>800</v>
      </c>
      <c r="CC417" s="37">
        <v>400</v>
      </c>
      <c r="CD417" s="37">
        <v>200</v>
      </c>
      <c r="CE417" s="37">
        <v>80</v>
      </c>
      <c r="CF417" s="37">
        <v>0</v>
      </c>
      <c r="CG417" s="59">
        <v>7480</v>
      </c>
      <c r="CH417" s="37">
        <v>0</v>
      </c>
      <c r="CI417" s="37">
        <v>0</v>
      </c>
      <c r="CJ417" s="37">
        <v>0</v>
      </c>
      <c r="CK417" s="37">
        <v>0</v>
      </c>
      <c r="CL417" s="37">
        <v>0</v>
      </c>
      <c r="CM417" s="37">
        <v>0</v>
      </c>
      <c r="CN417" s="59">
        <v>0</v>
      </c>
      <c r="CO417" s="59">
        <v>7480</v>
      </c>
      <c r="CP417" s="58"/>
      <c r="CQ417" s="3">
        <v>7480</v>
      </c>
    </row>
    <row r="418" spans="1:95" customFormat="1" x14ac:dyDescent="0.2">
      <c r="A418" s="209">
        <v>43367</v>
      </c>
      <c r="B418" s="33" t="s">
        <v>53</v>
      </c>
      <c r="C418" s="33" t="s">
        <v>54</v>
      </c>
      <c r="D418" s="43">
        <v>0</v>
      </c>
      <c r="E418" s="43">
        <v>0</v>
      </c>
      <c r="F418" s="43">
        <v>0</v>
      </c>
      <c r="G418" s="43">
        <v>0</v>
      </c>
      <c r="H418" s="43">
        <v>0</v>
      </c>
      <c r="I418" s="43">
        <v>0</v>
      </c>
      <c r="J418" s="43">
        <v>0</v>
      </c>
      <c r="K418" s="43">
        <v>0</v>
      </c>
      <c r="L418" s="43">
        <v>0</v>
      </c>
      <c r="M418" s="43">
        <v>0</v>
      </c>
      <c r="N418" s="43">
        <v>0</v>
      </c>
      <c r="O418" s="43">
        <v>0</v>
      </c>
      <c r="P418" s="47">
        <v>0</v>
      </c>
      <c r="R418" s="37">
        <v>0</v>
      </c>
      <c r="S418" s="37">
        <v>0</v>
      </c>
      <c r="T418" s="37">
        <v>0</v>
      </c>
      <c r="U418" s="37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0</v>
      </c>
      <c r="AB418" s="37">
        <v>0</v>
      </c>
      <c r="AC418" s="37">
        <v>0</v>
      </c>
      <c r="AD418" s="37">
        <v>0</v>
      </c>
      <c r="AE418" s="37">
        <v>0</v>
      </c>
      <c r="AF418" s="37">
        <v>0</v>
      </c>
      <c r="AG418" s="59">
        <v>0</v>
      </c>
      <c r="AH418" s="37">
        <v>0</v>
      </c>
      <c r="AI418" s="37">
        <v>0</v>
      </c>
      <c r="AJ418" s="37">
        <v>875</v>
      </c>
      <c r="AK418" s="37">
        <v>0</v>
      </c>
      <c r="AL418" s="37">
        <v>1000</v>
      </c>
      <c r="AM418" s="37">
        <v>0</v>
      </c>
      <c r="AN418" s="37">
        <v>0</v>
      </c>
      <c r="AO418" s="37">
        <v>0</v>
      </c>
      <c r="AP418" s="37">
        <v>0</v>
      </c>
      <c r="AQ418" s="37">
        <v>0</v>
      </c>
      <c r="AR418" s="37">
        <v>0</v>
      </c>
      <c r="AS418" s="59">
        <v>1875</v>
      </c>
      <c r="AT418" s="59">
        <v>1875</v>
      </c>
      <c r="AU418" s="45"/>
      <c r="AV418" s="37">
        <v>0</v>
      </c>
      <c r="AW418" s="37">
        <v>0</v>
      </c>
      <c r="AX418" s="37">
        <v>0</v>
      </c>
      <c r="AY418" s="37">
        <v>0</v>
      </c>
      <c r="AZ418" s="37">
        <v>0</v>
      </c>
      <c r="BA418" s="37">
        <v>0</v>
      </c>
      <c r="BB418" s="37">
        <v>0</v>
      </c>
      <c r="BC418" s="37">
        <v>0</v>
      </c>
      <c r="BD418" s="37">
        <v>0</v>
      </c>
      <c r="BE418" s="37">
        <v>0</v>
      </c>
      <c r="BF418" s="37">
        <v>0</v>
      </c>
      <c r="BG418" s="37">
        <v>0</v>
      </c>
      <c r="BH418" s="37">
        <v>0</v>
      </c>
      <c r="BI418" s="37">
        <v>0</v>
      </c>
      <c r="BJ418" s="37">
        <v>0</v>
      </c>
      <c r="BK418" s="59">
        <v>0</v>
      </c>
      <c r="BL418" s="37">
        <v>0</v>
      </c>
      <c r="BM418" s="37">
        <v>0</v>
      </c>
      <c r="BN418" s="37">
        <v>0</v>
      </c>
      <c r="BO418" s="37">
        <v>0</v>
      </c>
      <c r="BP418" s="37">
        <v>0</v>
      </c>
      <c r="BQ418" s="37">
        <v>0</v>
      </c>
      <c r="BR418" s="37">
        <v>0</v>
      </c>
      <c r="BS418" s="37">
        <v>0</v>
      </c>
      <c r="BT418" s="37">
        <v>0</v>
      </c>
      <c r="BU418" s="37">
        <v>0</v>
      </c>
      <c r="BV418" s="37">
        <v>0</v>
      </c>
      <c r="BW418" s="59">
        <v>0</v>
      </c>
      <c r="BX418" s="59">
        <v>0</v>
      </c>
      <c r="BZ418" s="37">
        <v>0</v>
      </c>
      <c r="CA418" s="37">
        <v>0</v>
      </c>
      <c r="CB418" s="37">
        <v>0</v>
      </c>
      <c r="CC418" s="37">
        <v>0</v>
      </c>
      <c r="CD418" s="37">
        <v>0</v>
      </c>
      <c r="CE418" s="37">
        <v>0</v>
      </c>
      <c r="CF418" s="37">
        <v>0</v>
      </c>
      <c r="CG418" s="59">
        <v>0</v>
      </c>
      <c r="CH418" s="37">
        <v>0</v>
      </c>
      <c r="CI418" s="37">
        <v>1875</v>
      </c>
      <c r="CJ418" s="37">
        <v>0</v>
      </c>
      <c r="CK418" s="37">
        <v>0</v>
      </c>
      <c r="CL418" s="37">
        <v>0</v>
      </c>
      <c r="CM418" s="37">
        <v>0</v>
      </c>
      <c r="CN418" s="59">
        <v>1875</v>
      </c>
      <c r="CO418" s="59">
        <v>1875</v>
      </c>
      <c r="CP418" s="58"/>
      <c r="CQ418" s="3">
        <v>1875</v>
      </c>
    </row>
    <row r="419" spans="1:95" customFormat="1" x14ac:dyDescent="0.2">
      <c r="A419" s="209">
        <v>43368</v>
      </c>
      <c r="B419" s="33" t="s">
        <v>55</v>
      </c>
      <c r="C419" s="33" t="s">
        <v>56</v>
      </c>
      <c r="D419" s="43">
        <v>0</v>
      </c>
      <c r="E419" s="43">
        <v>0</v>
      </c>
      <c r="F419" s="43">
        <v>0</v>
      </c>
      <c r="G419" s="43">
        <v>0</v>
      </c>
      <c r="H419" s="43">
        <v>0</v>
      </c>
      <c r="I419" s="43">
        <v>0</v>
      </c>
      <c r="J419" s="43">
        <v>0</v>
      </c>
      <c r="K419" s="43">
        <v>0</v>
      </c>
      <c r="L419" s="43">
        <v>0</v>
      </c>
      <c r="M419" s="43">
        <v>0</v>
      </c>
      <c r="N419" s="43">
        <v>0</v>
      </c>
      <c r="O419" s="43">
        <v>0</v>
      </c>
      <c r="P419" s="47">
        <v>0</v>
      </c>
      <c r="R419" s="37">
        <v>0</v>
      </c>
      <c r="S419" s="37">
        <v>0</v>
      </c>
      <c r="T419" s="37">
        <v>4000</v>
      </c>
      <c r="U419" s="37">
        <v>0</v>
      </c>
      <c r="V419" s="37">
        <v>2000</v>
      </c>
      <c r="W419" s="37">
        <v>0</v>
      </c>
      <c r="X419" s="37">
        <v>0</v>
      </c>
      <c r="Y419" s="37">
        <v>0</v>
      </c>
      <c r="Z419" s="37">
        <v>400</v>
      </c>
      <c r="AA419" s="37">
        <v>0</v>
      </c>
      <c r="AB419" s="37">
        <v>200</v>
      </c>
      <c r="AC419" s="37">
        <v>0</v>
      </c>
      <c r="AD419" s="37">
        <v>80</v>
      </c>
      <c r="AE419" s="37">
        <v>0</v>
      </c>
      <c r="AF419" s="37">
        <v>0</v>
      </c>
      <c r="AG419" s="59">
        <v>6680</v>
      </c>
      <c r="AH419" s="37">
        <v>0</v>
      </c>
      <c r="AI419" s="37">
        <v>0</v>
      </c>
      <c r="AJ419" s="37">
        <v>0</v>
      </c>
      <c r="AK419" s="37">
        <v>0</v>
      </c>
      <c r="AL419" s="37">
        <v>5</v>
      </c>
      <c r="AM419" s="37">
        <v>0</v>
      </c>
      <c r="AN419" s="37">
        <v>4</v>
      </c>
      <c r="AO419" s="37">
        <v>0</v>
      </c>
      <c r="AP419" s="37">
        <v>2</v>
      </c>
      <c r="AQ419" s="37">
        <v>0</v>
      </c>
      <c r="AR419" s="37">
        <v>0</v>
      </c>
      <c r="AS419" s="59">
        <v>11</v>
      </c>
      <c r="AT419" s="59">
        <v>6691</v>
      </c>
      <c r="AU419" s="45"/>
      <c r="AV419" s="37">
        <v>0</v>
      </c>
      <c r="AW419" s="37">
        <v>0</v>
      </c>
      <c r="AX419" s="37">
        <v>0</v>
      </c>
      <c r="AY419" s="37">
        <v>0</v>
      </c>
      <c r="AZ419" s="37">
        <v>0</v>
      </c>
      <c r="BA419" s="37">
        <v>0</v>
      </c>
      <c r="BB419" s="37">
        <v>0</v>
      </c>
      <c r="BC419" s="37">
        <v>0</v>
      </c>
      <c r="BD419" s="37">
        <v>0</v>
      </c>
      <c r="BE419" s="37">
        <v>0</v>
      </c>
      <c r="BF419" s="37">
        <v>0</v>
      </c>
      <c r="BG419" s="37">
        <v>0</v>
      </c>
      <c r="BH419" s="37">
        <v>0</v>
      </c>
      <c r="BI419" s="37">
        <v>0</v>
      </c>
      <c r="BJ419" s="37">
        <v>0</v>
      </c>
      <c r="BK419" s="59">
        <v>0</v>
      </c>
      <c r="BL419" s="37">
        <v>0</v>
      </c>
      <c r="BM419" s="37">
        <v>0</v>
      </c>
      <c r="BN419" s="37">
        <v>0</v>
      </c>
      <c r="BO419" s="37">
        <v>0</v>
      </c>
      <c r="BP419" s="37">
        <v>0</v>
      </c>
      <c r="BQ419" s="37">
        <v>0</v>
      </c>
      <c r="BR419" s="37">
        <v>0</v>
      </c>
      <c r="BS419" s="37">
        <v>0</v>
      </c>
      <c r="BT419" s="37">
        <v>0</v>
      </c>
      <c r="BU419" s="37">
        <v>0</v>
      </c>
      <c r="BV419" s="37">
        <v>0</v>
      </c>
      <c r="BW419" s="59">
        <v>0</v>
      </c>
      <c r="BX419" s="59">
        <v>0</v>
      </c>
      <c r="BZ419" s="37">
        <v>4000</v>
      </c>
      <c r="CA419" s="37">
        <v>2000</v>
      </c>
      <c r="CB419" s="37">
        <v>0</v>
      </c>
      <c r="CC419" s="37">
        <v>400</v>
      </c>
      <c r="CD419" s="37">
        <v>200</v>
      </c>
      <c r="CE419" s="37">
        <v>80</v>
      </c>
      <c r="CF419" s="37">
        <v>0</v>
      </c>
      <c r="CG419" s="59">
        <v>6680</v>
      </c>
      <c r="CH419" s="37">
        <v>0</v>
      </c>
      <c r="CI419" s="37">
        <v>5</v>
      </c>
      <c r="CJ419" s="37">
        <v>4</v>
      </c>
      <c r="CK419" s="37">
        <v>2</v>
      </c>
      <c r="CL419" s="37">
        <v>0</v>
      </c>
      <c r="CM419" s="37">
        <v>0</v>
      </c>
      <c r="CN419" s="59">
        <v>11</v>
      </c>
      <c r="CO419" s="59">
        <v>6691</v>
      </c>
      <c r="CP419" s="58"/>
      <c r="CQ419" s="3">
        <v>6691</v>
      </c>
    </row>
    <row r="420" spans="1:95" customFormat="1" x14ac:dyDescent="0.2">
      <c r="A420" s="209">
        <v>43368</v>
      </c>
      <c r="B420" s="33" t="s">
        <v>83</v>
      </c>
      <c r="C420" s="33" t="s">
        <v>76</v>
      </c>
      <c r="D420" s="43">
        <v>0</v>
      </c>
      <c r="E420" s="43">
        <v>1</v>
      </c>
      <c r="F420" s="43">
        <v>0</v>
      </c>
      <c r="G420" s="43">
        <v>0</v>
      </c>
      <c r="H420" s="43">
        <v>0</v>
      </c>
      <c r="I420" s="43">
        <v>0</v>
      </c>
      <c r="J420" s="43">
        <v>0</v>
      </c>
      <c r="K420" s="43">
        <v>0</v>
      </c>
      <c r="L420" s="43">
        <v>0</v>
      </c>
      <c r="M420" s="43">
        <v>0</v>
      </c>
      <c r="N420" s="43">
        <v>0</v>
      </c>
      <c r="O420" s="43">
        <v>0</v>
      </c>
      <c r="P420" s="47" t="s">
        <v>45</v>
      </c>
      <c r="R420" s="37">
        <v>0</v>
      </c>
      <c r="S420" s="37">
        <v>0</v>
      </c>
      <c r="T420" s="37">
        <v>400000</v>
      </c>
      <c r="U420" s="37">
        <v>0</v>
      </c>
      <c r="V420" s="37">
        <v>400000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59">
        <v>800000</v>
      </c>
      <c r="AH420" s="37">
        <v>0</v>
      </c>
      <c r="AI420" s="37">
        <v>1000</v>
      </c>
      <c r="AJ420" s="37">
        <v>0</v>
      </c>
      <c r="AK420" s="37">
        <v>0</v>
      </c>
      <c r="AL420" s="37">
        <v>500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59">
        <v>1500</v>
      </c>
      <c r="AT420" s="59">
        <v>801500</v>
      </c>
      <c r="AU420" s="45"/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>
        <v>0</v>
      </c>
      <c r="BB420" s="37">
        <v>0</v>
      </c>
      <c r="BC420" s="37">
        <v>0</v>
      </c>
      <c r="BD420" s="37">
        <v>0</v>
      </c>
      <c r="BE420" s="37">
        <v>0</v>
      </c>
      <c r="BF420" s="37">
        <v>0</v>
      </c>
      <c r="BG420" s="37">
        <v>0</v>
      </c>
      <c r="BH420" s="37">
        <v>0</v>
      </c>
      <c r="BI420" s="37">
        <v>0</v>
      </c>
      <c r="BJ420" s="37">
        <v>0</v>
      </c>
      <c r="BK420" s="59">
        <v>0</v>
      </c>
      <c r="BL420" s="37">
        <v>0</v>
      </c>
      <c r="BM420" s="37">
        <v>0</v>
      </c>
      <c r="BN420" s="37">
        <v>0</v>
      </c>
      <c r="BO420" s="37">
        <v>0</v>
      </c>
      <c r="BP420" s="37">
        <v>0</v>
      </c>
      <c r="BQ420" s="37">
        <v>0</v>
      </c>
      <c r="BR420" s="37">
        <v>0</v>
      </c>
      <c r="BS420" s="37">
        <v>0</v>
      </c>
      <c r="BT420" s="37">
        <v>0</v>
      </c>
      <c r="BU420" s="37">
        <v>0</v>
      </c>
      <c r="BV420" s="37">
        <v>0</v>
      </c>
      <c r="BW420" s="59">
        <v>0</v>
      </c>
      <c r="BX420" s="59">
        <v>0</v>
      </c>
      <c r="BZ420" s="37">
        <v>400000</v>
      </c>
      <c r="CA420" s="37">
        <v>400000</v>
      </c>
      <c r="CB420" s="37">
        <v>0</v>
      </c>
      <c r="CC420" s="37">
        <v>0</v>
      </c>
      <c r="CD420" s="37">
        <v>0</v>
      </c>
      <c r="CE420" s="37">
        <v>0</v>
      </c>
      <c r="CF420" s="37">
        <v>0</v>
      </c>
      <c r="CG420" s="59">
        <v>800000</v>
      </c>
      <c r="CH420" s="37">
        <v>1000</v>
      </c>
      <c r="CI420" s="37">
        <v>500</v>
      </c>
      <c r="CJ420" s="37">
        <v>0</v>
      </c>
      <c r="CK420" s="37">
        <v>0</v>
      </c>
      <c r="CL420" s="37">
        <v>0</v>
      </c>
      <c r="CM420" s="37">
        <v>0</v>
      </c>
      <c r="CN420" s="59">
        <v>1500</v>
      </c>
      <c r="CO420" s="59">
        <v>801500</v>
      </c>
      <c r="CP420" s="58"/>
      <c r="CQ420" s="3">
        <v>801500</v>
      </c>
    </row>
    <row r="421" spans="1:95" customFormat="1" x14ac:dyDescent="0.2">
      <c r="A421" s="209">
        <v>43368</v>
      </c>
      <c r="B421" s="33" t="s">
        <v>68</v>
      </c>
      <c r="C421" s="33" t="s">
        <v>146</v>
      </c>
      <c r="D421" s="43">
        <v>0</v>
      </c>
      <c r="E421" s="43">
        <v>0</v>
      </c>
      <c r="F421" s="43">
        <v>0</v>
      </c>
      <c r="G421" s="43">
        <v>0</v>
      </c>
      <c r="H421" s="43">
        <v>0</v>
      </c>
      <c r="I421" s="43">
        <v>0</v>
      </c>
      <c r="J421" s="43">
        <v>0</v>
      </c>
      <c r="K421" s="43">
        <v>0</v>
      </c>
      <c r="L421" s="43">
        <v>0</v>
      </c>
      <c r="M421" s="43">
        <v>0</v>
      </c>
      <c r="N421" s="43">
        <v>1</v>
      </c>
      <c r="O421" s="43">
        <v>0</v>
      </c>
      <c r="P421" s="47" t="s">
        <v>45</v>
      </c>
      <c r="R421" s="37">
        <v>0</v>
      </c>
      <c r="S421" s="37">
        <v>0</v>
      </c>
      <c r="T421" s="37">
        <v>600000</v>
      </c>
      <c r="U421" s="37">
        <v>0</v>
      </c>
      <c r="V421" s="37">
        <v>700000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v>0</v>
      </c>
      <c r="AD421" s="37">
        <v>0</v>
      </c>
      <c r="AE421" s="37">
        <v>0</v>
      </c>
      <c r="AF421" s="37">
        <v>0</v>
      </c>
      <c r="AG421" s="59">
        <v>1300000</v>
      </c>
      <c r="AH421" s="37">
        <v>0</v>
      </c>
      <c r="AI421" s="37">
        <v>2000</v>
      </c>
      <c r="AJ421" s="37">
        <v>0</v>
      </c>
      <c r="AK421" s="37">
        <v>0</v>
      </c>
      <c r="AL421" s="37">
        <v>1000</v>
      </c>
      <c r="AM421" s="37">
        <v>0</v>
      </c>
      <c r="AN421" s="37">
        <v>0</v>
      </c>
      <c r="AO421" s="37">
        <v>0</v>
      </c>
      <c r="AP421" s="37">
        <v>0</v>
      </c>
      <c r="AQ421" s="37">
        <v>0</v>
      </c>
      <c r="AR421" s="37">
        <v>0</v>
      </c>
      <c r="AS421" s="59">
        <v>3000</v>
      </c>
      <c r="AT421" s="59">
        <v>1303000</v>
      </c>
      <c r="AU421" s="45"/>
      <c r="AV421" s="37">
        <v>0</v>
      </c>
      <c r="AW421" s="37">
        <v>0</v>
      </c>
      <c r="AX421" s="37">
        <v>0</v>
      </c>
      <c r="AY421" s="37">
        <v>0</v>
      </c>
      <c r="AZ421" s="37">
        <v>0</v>
      </c>
      <c r="BA421" s="37">
        <v>0</v>
      </c>
      <c r="BB421" s="37">
        <v>0</v>
      </c>
      <c r="BC421" s="37">
        <v>0</v>
      </c>
      <c r="BD421" s="37">
        <v>0</v>
      </c>
      <c r="BE421" s="37">
        <v>0</v>
      </c>
      <c r="BF421" s="37">
        <v>0</v>
      </c>
      <c r="BG421" s="37">
        <v>0</v>
      </c>
      <c r="BH421" s="37">
        <v>0</v>
      </c>
      <c r="BI421" s="37">
        <v>0</v>
      </c>
      <c r="BJ421" s="37">
        <v>0</v>
      </c>
      <c r="BK421" s="59">
        <v>0</v>
      </c>
      <c r="BL421" s="37">
        <v>0</v>
      </c>
      <c r="BM421" s="37">
        <v>0</v>
      </c>
      <c r="BN421" s="37">
        <v>0</v>
      </c>
      <c r="BO421" s="37">
        <v>0</v>
      </c>
      <c r="BP421" s="37">
        <v>0</v>
      </c>
      <c r="BQ421" s="37">
        <v>0</v>
      </c>
      <c r="BR421" s="37">
        <v>0</v>
      </c>
      <c r="BS421" s="37">
        <v>0</v>
      </c>
      <c r="BT421" s="37">
        <v>0</v>
      </c>
      <c r="BU421" s="37">
        <v>0</v>
      </c>
      <c r="BV421" s="37">
        <v>0</v>
      </c>
      <c r="BW421" s="59">
        <v>0</v>
      </c>
      <c r="BX421" s="59">
        <v>0</v>
      </c>
      <c r="BZ421" s="37">
        <v>600000</v>
      </c>
      <c r="CA421" s="37">
        <v>700000</v>
      </c>
      <c r="CB421" s="37">
        <v>0</v>
      </c>
      <c r="CC421" s="37">
        <v>0</v>
      </c>
      <c r="CD421" s="37">
        <v>0</v>
      </c>
      <c r="CE421" s="37">
        <v>0</v>
      </c>
      <c r="CF421" s="37">
        <v>0</v>
      </c>
      <c r="CG421" s="59">
        <v>1300000</v>
      </c>
      <c r="CH421" s="37">
        <v>2000</v>
      </c>
      <c r="CI421" s="37">
        <v>1000</v>
      </c>
      <c r="CJ421" s="37">
        <v>0</v>
      </c>
      <c r="CK421" s="37">
        <v>0</v>
      </c>
      <c r="CL421" s="37">
        <v>0</v>
      </c>
      <c r="CM421" s="37">
        <v>0</v>
      </c>
      <c r="CN421" s="59">
        <v>3000</v>
      </c>
      <c r="CO421" s="59">
        <v>1303000</v>
      </c>
      <c r="CP421" s="58"/>
      <c r="CQ421" s="3">
        <v>1303000</v>
      </c>
    </row>
    <row r="422" spans="1:95" customFormat="1" x14ac:dyDescent="0.2">
      <c r="A422" s="209">
        <v>43368</v>
      </c>
      <c r="B422" s="33" t="s">
        <v>53</v>
      </c>
      <c r="C422" s="33" t="s">
        <v>54</v>
      </c>
      <c r="D422" s="43">
        <v>1</v>
      </c>
      <c r="E422" s="43">
        <v>0</v>
      </c>
      <c r="F422" s="43">
        <v>0</v>
      </c>
      <c r="G422" s="43">
        <v>0</v>
      </c>
      <c r="H422" s="43">
        <v>0</v>
      </c>
      <c r="I422" s="43">
        <v>0</v>
      </c>
      <c r="J422" s="43">
        <v>0</v>
      </c>
      <c r="K422" s="43">
        <v>0</v>
      </c>
      <c r="L422" s="43">
        <v>0</v>
      </c>
      <c r="M422" s="43">
        <v>0</v>
      </c>
      <c r="N422" s="43">
        <v>0</v>
      </c>
      <c r="O422" s="43">
        <v>0</v>
      </c>
      <c r="P422" s="47" t="s">
        <v>45</v>
      </c>
      <c r="R422" s="37">
        <v>0</v>
      </c>
      <c r="S422" s="37">
        <v>0</v>
      </c>
      <c r="T422" s="37">
        <v>0</v>
      </c>
      <c r="U422" s="37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7">
        <v>0</v>
      </c>
      <c r="AB422" s="37">
        <v>0</v>
      </c>
      <c r="AC422" s="37">
        <v>0</v>
      </c>
      <c r="AD422" s="37">
        <v>0</v>
      </c>
      <c r="AE422" s="37">
        <v>0</v>
      </c>
      <c r="AF422" s="37">
        <v>0</v>
      </c>
      <c r="AG422" s="59">
        <v>0</v>
      </c>
      <c r="AH422" s="37">
        <v>0</v>
      </c>
      <c r="AI422" s="37">
        <v>0</v>
      </c>
      <c r="AJ422" s="37">
        <v>0</v>
      </c>
      <c r="AK422" s="37">
        <v>0</v>
      </c>
      <c r="AL422" s="37">
        <v>0</v>
      </c>
      <c r="AM422" s="37">
        <v>0</v>
      </c>
      <c r="AN422" s="37">
        <v>1000</v>
      </c>
      <c r="AO422" s="37">
        <v>0</v>
      </c>
      <c r="AP422" s="37">
        <v>200</v>
      </c>
      <c r="AQ422" s="37">
        <v>0</v>
      </c>
      <c r="AR422" s="37">
        <v>0</v>
      </c>
      <c r="AS422" s="59">
        <v>1200</v>
      </c>
      <c r="AT422" s="59">
        <v>1200</v>
      </c>
      <c r="AU422" s="45"/>
      <c r="AV422" s="37">
        <v>0</v>
      </c>
      <c r="AW422" s="37">
        <v>0</v>
      </c>
      <c r="AX422" s="37">
        <v>0</v>
      </c>
      <c r="AY422" s="37">
        <v>0</v>
      </c>
      <c r="AZ422" s="37">
        <v>0</v>
      </c>
      <c r="BA422" s="37">
        <v>0</v>
      </c>
      <c r="BB422" s="37">
        <v>0</v>
      </c>
      <c r="BC422" s="37">
        <v>0</v>
      </c>
      <c r="BD422" s="37">
        <v>0</v>
      </c>
      <c r="BE422" s="37">
        <v>0</v>
      </c>
      <c r="BF422" s="37">
        <v>0</v>
      </c>
      <c r="BG422" s="37">
        <v>0</v>
      </c>
      <c r="BH422" s="37">
        <v>0</v>
      </c>
      <c r="BI422" s="37">
        <v>0</v>
      </c>
      <c r="BJ422" s="37">
        <v>0</v>
      </c>
      <c r="BK422" s="59">
        <v>0</v>
      </c>
      <c r="BL422" s="37">
        <v>0</v>
      </c>
      <c r="BM422" s="37">
        <v>0</v>
      </c>
      <c r="BN422" s="37">
        <v>0</v>
      </c>
      <c r="BO422" s="37">
        <v>0</v>
      </c>
      <c r="BP422" s="37">
        <v>0</v>
      </c>
      <c r="BQ422" s="37">
        <v>0</v>
      </c>
      <c r="BR422" s="37">
        <v>0</v>
      </c>
      <c r="BS422" s="37">
        <v>0</v>
      </c>
      <c r="BT422" s="37">
        <v>0</v>
      </c>
      <c r="BU422" s="37">
        <v>0</v>
      </c>
      <c r="BV422" s="37">
        <v>0</v>
      </c>
      <c r="BW422" s="59">
        <v>0</v>
      </c>
      <c r="BX422" s="59">
        <v>0</v>
      </c>
      <c r="BZ422" s="37">
        <v>0</v>
      </c>
      <c r="CA422" s="37">
        <v>0</v>
      </c>
      <c r="CB422" s="37">
        <v>0</v>
      </c>
      <c r="CC422" s="37">
        <v>0</v>
      </c>
      <c r="CD422" s="37">
        <v>0</v>
      </c>
      <c r="CE422" s="37">
        <v>0</v>
      </c>
      <c r="CF422" s="37">
        <v>0</v>
      </c>
      <c r="CG422" s="59">
        <v>0</v>
      </c>
      <c r="CH422" s="37">
        <v>0</v>
      </c>
      <c r="CI422" s="37">
        <v>0</v>
      </c>
      <c r="CJ422" s="37">
        <v>1000</v>
      </c>
      <c r="CK422" s="37">
        <v>200</v>
      </c>
      <c r="CL422" s="37">
        <v>0</v>
      </c>
      <c r="CM422" s="37">
        <v>0</v>
      </c>
      <c r="CN422" s="59">
        <v>1200</v>
      </c>
      <c r="CO422" s="59">
        <v>1200</v>
      </c>
      <c r="CP422" s="58"/>
      <c r="CQ422" s="3">
        <v>1200</v>
      </c>
    </row>
    <row r="423" spans="1:95" customFormat="1" x14ac:dyDescent="0.2">
      <c r="A423" s="209">
        <v>43369</v>
      </c>
      <c r="B423" s="33" t="s">
        <v>55</v>
      </c>
      <c r="C423" s="33" t="s">
        <v>56</v>
      </c>
      <c r="D423" s="43">
        <v>0</v>
      </c>
      <c r="E423" s="43">
        <v>0</v>
      </c>
      <c r="F423" s="43">
        <v>0</v>
      </c>
      <c r="G423" s="43">
        <v>0</v>
      </c>
      <c r="H423" s="43">
        <v>0</v>
      </c>
      <c r="I423" s="43">
        <v>0</v>
      </c>
      <c r="J423" s="43">
        <v>0</v>
      </c>
      <c r="K423" s="43">
        <v>0</v>
      </c>
      <c r="L423" s="43">
        <v>0</v>
      </c>
      <c r="M423" s="43">
        <v>0</v>
      </c>
      <c r="N423" s="43">
        <v>0</v>
      </c>
      <c r="O423" s="43">
        <v>0</v>
      </c>
      <c r="P423" s="47">
        <v>0</v>
      </c>
      <c r="R423" s="37">
        <v>0</v>
      </c>
      <c r="S423" s="37">
        <v>0</v>
      </c>
      <c r="T423" s="37">
        <v>4000</v>
      </c>
      <c r="U423" s="37">
        <v>0</v>
      </c>
      <c r="V423" s="37">
        <v>2000</v>
      </c>
      <c r="W423" s="37">
        <v>0</v>
      </c>
      <c r="X423" s="37">
        <v>0</v>
      </c>
      <c r="Y423" s="37">
        <v>0</v>
      </c>
      <c r="Z423" s="37">
        <v>400</v>
      </c>
      <c r="AA423" s="37">
        <v>0</v>
      </c>
      <c r="AB423" s="37">
        <v>200</v>
      </c>
      <c r="AC423" s="37">
        <v>0</v>
      </c>
      <c r="AD423" s="37">
        <v>80</v>
      </c>
      <c r="AE423" s="37">
        <v>0</v>
      </c>
      <c r="AF423" s="37">
        <v>0</v>
      </c>
      <c r="AG423" s="59">
        <v>6680</v>
      </c>
      <c r="AH423" s="37">
        <v>0</v>
      </c>
      <c r="AI423" s="37">
        <v>0</v>
      </c>
      <c r="AJ423" s="37">
        <v>0</v>
      </c>
      <c r="AK423" s="37">
        <v>0</v>
      </c>
      <c r="AL423" s="37">
        <v>0</v>
      </c>
      <c r="AM423" s="37">
        <v>0</v>
      </c>
      <c r="AN423" s="37">
        <v>0</v>
      </c>
      <c r="AO423" s="37">
        <v>0</v>
      </c>
      <c r="AP423" s="37">
        <v>0</v>
      </c>
      <c r="AQ423" s="37">
        <v>0</v>
      </c>
      <c r="AR423" s="37">
        <v>0</v>
      </c>
      <c r="AS423" s="59">
        <v>0</v>
      </c>
      <c r="AT423" s="59">
        <v>6680</v>
      </c>
      <c r="AU423" s="45"/>
      <c r="AV423" s="37">
        <v>0</v>
      </c>
      <c r="AW423" s="37">
        <v>0</v>
      </c>
      <c r="AX423" s="37">
        <v>0</v>
      </c>
      <c r="AY423" s="37">
        <v>0</v>
      </c>
      <c r="AZ423" s="37">
        <v>0</v>
      </c>
      <c r="BA423" s="37">
        <v>0</v>
      </c>
      <c r="BB423" s="37">
        <v>0</v>
      </c>
      <c r="BC423" s="37">
        <v>0</v>
      </c>
      <c r="BD423" s="37">
        <v>0</v>
      </c>
      <c r="BE423" s="37">
        <v>0</v>
      </c>
      <c r="BF423" s="37">
        <v>0</v>
      </c>
      <c r="BG423" s="37">
        <v>0</v>
      </c>
      <c r="BH423" s="37">
        <v>0</v>
      </c>
      <c r="BI423" s="37">
        <v>0</v>
      </c>
      <c r="BJ423" s="37">
        <v>0</v>
      </c>
      <c r="BK423" s="59">
        <v>0</v>
      </c>
      <c r="BL423" s="37">
        <v>0</v>
      </c>
      <c r="BM423" s="37">
        <v>0</v>
      </c>
      <c r="BN423" s="37">
        <v>0</v>
      </c>
      <c r="BO423" s="37">
        <v>0</v>
      </c>
      <c r="BP423" s="37">
        <v>0</v>
      </c>
      <c r="BQ423" s="37">
        <v>0</v>
      </c>
      <c r="BR423" s="37">
        <v>0</v>
      </c>
      <c r="BS423" s="37">
        <v>0</v>
      </c>
      <c r="BT423" s="37">
        <v>0</v>
      </c>
      <c r="BU423" s="37">
        <v>0</v>
      </c>
      <c r="BV423" s="37">
        <v>0</v>
      </c>
      <c r="BW423" s="59">
        <v>0</v>
      </c>
      <c r="BX423" s="59">
        <v>0</v>
      </c>
      <c r="BZ423" s="37">
        <v>4000</v>
      </c>
      <c r="CA423" s="37">
        <v>2000</v>
      </c>
      <c r="CB423" s="37">
        <v>0</v>
      </c>
      <c r="CC423" s="37">
        <v>400</v>
      </c>
      <c r="CD423" s="37">
        <v>200</v>
      </c>
      <c r="CE423" s="37">
        <v>80</v>
      </c>
      <c r="CF423" s="37">
        <v>0</v>
      </c>
      <c r="CG423" s="59">
        <v>6680</v>
      </c>
      <c r="CH423" s="37">
        <v>0</v>
      </c>
      <c r="CI423" s="37">
        <v>0</v>
      </c>
      <c r="CJ423" s="37">
        <v>0</v>
      </c>
      <c r="CK423" s="37">
        <v>0</v>
      </c>
      <c r="CL423" s="37">
        <v>0</v>
      </c>
      <c r="CM423" s="37">
        <v>0</v>
      </c>
      <c r="CN423" s="59">
        <v>0</v>
      </c>
      <c r="CO423" s="59">
        <v>6680</v>
      </c>
      <c r="CP423" s="58"/>
      <c r="CQ423" s="3">
        <v>6680</v>
      </c>
    </row>
    <row r="424" spans="1:95" customFormat="1" x14ac:dyDescent="0.2">
      <c r="A424" s="209">
        <v>43369</v>
      </c>
      <c r="B424" s="33" t="s">
        <v>53</v>
      </c>
      <c r="C424" s="33" t="s">
        <v>54</v>
      </c>
      <c r="D424" s="43">
        <v>1</v>
      </c>
      <c r="E424" s="43">
        <v>0</v>
      </c>
      <c r="F424" s="43">
        <v>0</v>
      </c>
      <c r="G424" s="43">
        <v>0</v>
      </c>
      <c r="H424" s="43">
        <v>0</v>
      </c>
      <c r="I424" s="43">
        <v>0</v>
      </c>
      <c r="J424" s="43">
        <v>0</v>
      </c>
      <c r="K424" s="43">
        <v>0</v>
      </c>
      <c r="L424" s="43">
        <v>0</v>
      </c>
      <c r="M424" s="43">
        <v>0</v>
      </c>
      <c r="N424" s="43">
        <v>0</v>
      </c>
      <c r="O424" s="43">
        <v>0</v>
      </c>
      <c r="P424" s="47" t="s">
        <v>45</v>
      </c>
      <c r="R424" s="37">
        <v>0</v>
      </c>
      <c r="S424" s="37">
        <v>0</v>
      </c>
      <c r="T424" s="37">
        <v>0</v>
      </c>
      <c r="U424" s="37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7">
        <v>0</v>
      </c>
      <c r="AB424" s="37">
        <v>0</v>
      </c>
      <c r="AC424" s="37">
        <v>0</v>
      </c>
      <c r="AD424" s="37">
        <v>0</v>
      </c>
      <c r="AE424" s="37">
        <v>0</v>
      </c>
      <c r="AF424" s="37">
        <v>0</v>
      </c>
      <c r="AG424" s="59">
        <v>0</v>
      </c>
      <c r="AH424" s="37">
        <v>0</v>
      </c>
      <c r="AI424" s="37">
        <v>0</v>
      </c>
      <c r="AJ424" s="37">
        <v>0</v>
      </c>
      <c r="AK424" s="37">
        <v>0</v>
      </c>
      <c r="AL424" s="37">
        <v>0</v>
      </c>
      <c r="AM424" s="37">
        <v>0</v>
      </c>
      <c r="AN424" s="37">
        <v>0</v>
      </c>
      <c r="AO424" s="37">
        <v>0</v>
      </c>
      <c r="AP424" s="37">
        <v>100</v>
      </c>
      <c r="AQ424" s="37">
        <v>0</v>
      </c>
      <c r="AR424" s="37">
        <v>0</v>
      </c>
      <c r="AS424" s="59">
        <v>100</v>
      </c>
      <c r="AT424" s="59">
        <v>100</v>
      </c>
      <c r="AU424" s="45"/>
      <c r="AV424" s="37">
        <v>0</v>
      </c>
      <c r="AW424" s="37">
        <v>0</v>
      </c>
      <c r="AX424" s="37">
        <v>0</v>
      </c>
      <c r="AY424" s="37">
        <v>0</v>
      </c>
      <c r="AZ424" s="37">
        <v>0</v>
      </c>
      <c r="BA424" s="37">
        <v>0</v>
      </c>
      <c r="BB424" s="37">
        <v>0</v>
      </c>
      <c r="BC424" s="37">
        <v>0</v>
      </c>
      <c r="BD424" s="37">
        <v>0</v>
      </c>
      <c r="BE424" s="37">
        <v>0</v>
      </c>
      <c r="BF424" s="37">
        <v>0</v>
      </c>
      <c r="BG424" s="37">
        <v>0</v>
      </c>
      <c r="BH424" s="37">
        <v>0</v>
      </c>
      <c r="BI424" s="37">
        <v>0</v>
      </c>
      <c r="BJ424" s="37">
        <v>0</v>
      </c>
      <c r="BK424" s="59">
        <v>0</v>
      </c>
      <c r="BL424" s="37">
        <v>0</v>
      </c>
      <c r="BM424" s="37">
        <v>0</v>
      </c>
      <c r="BN424" s="37">
        <v>0</v>
      </c>
      <c r="BO424" s="37">
        <v>0</v>
      </c>
      <c r="BP424" s="37">
        <v>0</v>
      </c>
      <c r="BQ424" s="37">
        <v>0</v>
      </c>
      <c r="BR424" s="37">
        <v>0</v>
      </c>
      <c r="BS424" s="37">
        <v>0</v>
      </c>
      <c r="BT424" s="37">
        <v>0</v>
      </c>
      <c r="BU424" s="37">
        <v>0</v>
      </c>
      <c r="BV424" s="37">
        <v>0</v>
      </c>
      <c r="BW424" s="59">
        <v>0</v>
      </c>
      <c r="BX424" s="59"/>
      <c r="BZ424" s="37">
        <v>0</v>
      </c>
      <c r="CA424" s="37">
        <v>0</v>
      </c>
      <c r="CB424" s="37">
        <v>0</v>
      </c>
      <c r="CC424" s="37">
        <v>0</v>
      </c>
      <c r="CD424" s="37">
        <v>0</v>
      </c>
      <c r="CE424" s="37">
        <v>0</v>
      </c>
      <c r="CF424" s="37">
        <v>0</v>
      </c>
      <c r="CG424" s="59">
        <v>0</v>
      </c>
      <c r="CH424" s="37">
        <v>0</v>
      </c>
      <c r="CI424" s="37">
        <v>0</v>
      </c>
      <c r="CJ424" s="37">
        <v>0</v>
      </c>
      <c r="CK424" s="37">
        <v>100</v>
      </c>
      <c r="CL424" s="37">
        <v>0</v>
      </c>
      <c r="CM424" s="37">
        <v>0</v>
      </c>
      <c r="CN424" s="59">
        <v>100</v>
      </c>
      <c r="CO424" s="59">
        <v>100</v>
      </c>
      <c r="CP424" s="58"/>
      <c r="CQ424" s="3">
        <v>100</v>
      </c>
    </row>
    <row r="425" spans="1:95" customFormat="1" x14ac:dyDescent="0.2">
      <c r="A425" s="209">
        <v>43369</v>
      </c>
      <c r="B425" s="33" t="s">
        <v>53</v>
      </c>
      <c r="C425" s="33" t="s">
        <v>84</v>
      </c>
      <c r="D425" s="43">
        <v>0</v>
      </c>
      <c r="E425" s="43">
        <v>1</v>
      </c>
      <c r="F425" s="43">
        <v>0</v>
      </c>
      <c r="G425" s="43">
        <v>0</v>
      </c>
      <c r="H425" s="43">
        <v>0</v>
      </c>
      <c r="I425" s="43">
        <v>0</v>
      </c>
      <c r="J425" s="43">
        <v>0</v>
      </c>
      <c r="K425" s="43">
        <v>0</v>
      </c>
      <c r="L425" s="43">
        <v>0</v>
      </c>
      <c r="M425" s="43">
        <v>0</v>
      </c>
      <c r="N425" s="43">
        <v>0</v>
      </c>
      <c r="O425" s="43">
        <v>0</v>
      </c>
      <c r="P425" s="47" t="s">
        <v>45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37">
        <v>0</v>
      </c>
      <c r="AF425" s="37">
        <v>0</v>
      </c>
      <c r="AG425" s="59">
        <v>0</v>
      </c>
      <c r="AH425" s="37">
        <v>0</v>
      </c>
      <c r="AI425" s="37">
        <v>0</v>
      </c>
      <c r="AJ425" s="37">
        <v>0</v>
      </c>
      <c r="AK425" s="37">
        <v>0</v>
      </c>
      <c r="AL425" s="37">
        <v>1875</v>
      </c>
      <c r="AM425" s="37">
        <v>0</v>
      </c>
      <c r="AN425" s="37">
        <v>0</v>
      </c>
      <c r="AO425" s="37">
        <v>0</v>
      </c>
      <c r="AP425" s="37">
        <v>0</v>
      </c>
      <c r="AQ425" s="37">
        <v>0</v>
      </c>
      <c r="AR425" s="37">
        <v>0</v>
      </c>
      <c r="AS425" s="59">
        <v>1875</v>
      </c>
      <c r="AT425" s="59">
        <v>1875</v>
      </c>
      <c r="AU425" s="45"/>
      <c r="AV425" s="37">
        <v>0</v>
      </c>
      <c r="AW425" s="37">
        <v>0</v>
      </c>
      <c r="AX425" s="37">
        <v>0</v>
      </c>
      <c r="AY425" s="37">
        <v>0</v>
      </c>
      <c r="AZ425" s="37">
        <v>0</v>
      </c>
      <c r="BA425" s="37">
        <v>0</v>
      </c>
      <c r="BB425" s="37">
        <v>0</v>
      </c>
      <c r="BC425" s="37">
        <v>0</v>
      </c>
      <c r="BD425" s="37">
        <v>0</v>
      </c>
      <c r="BE425" s="37">
        <v>0</v>
      </c>
      <c r="BF425" s="37">
        <v>0</v>
      </c>
      <c r="BG425" s="37">
        <v>0</v>
      </c>
      <c r="BH425" s="37">
        <v>0</v>
      </c>
      <c r="BI425" s="37">
        <v>0</v>
      </c>
      <c r="BJ425" s="37">
        <v>0</v>
      </c>
      <c r="BK425" s="59">
        <v>0</v>
      </c>
      <c r="BL425" s="37">
        <v>0</v>
      </c>
      <c r="BM425" s="37">
        <v>0</v>
      </c>
      <c r="BN425" s="37">
        <v>0</v>
      </c>
      <c r="BO425" s="37">
        <v>0</v>
      </c>
      <c r="BP425" s="37">
        <v>0</v>
      </c>
      <c r="BQ425" s="37">
        <v>0</v>
      </c>
      <c r="BR425" s="37">
        <v>0</v>
      </c>
      <c r="BS425" s="37">
        <v>0</v>
      </c>
      <c r="BT425" s="37">
        <v>0</v>
      </c>
      <c r="BU425" s="37">
        <v>0</v>
      </c>
      <c r="BV425" s="37">
        <v>0</v>
      </c>
      <c r="BW425" s="59">
        <v>0</v>
      </c>
      <c r="BX425" s="59">
        <v>0</v>
      </c>
      <c r="BZ425" s="37">
        <v>0</v>
      </c>
      <c r="CA425" s="37">
        <v>0</v>
      </c>
      <c r="CB425" s="37">
        <v>0</v>
      </c>
      <c r="CC425" s="37">
        <v>0</v>
      </c>
      <c r="CD425" s="37">
        <v>0</v>
      </c>
      <c r="CE425" s="37">
        <v>0</v>
      </c>
      <c r="CF425" s="37">
        <v>0</v>
      </c>
      <c r="CG425" s="59">
        <v>0</v>
      </c>
      <c r="CH425" s="37">
        <v>0</v>
      </c>
      <c r="CI425" s="37">
        <v>1875</v>
      </c>
      <c r="CJ425" s="37">
        <v>0</v>
      </c>
      <c r="CK425" s="37">
        <v>0</v>
      </c>
      <c r="CL425" s="37">
        <v>0</v>
      </c>
      <c r="CM425" s="37">
        <v>0</v>
      </c>
      <c r="CN425" s="59">
        <v>1875</v>
      </c>
      <c r="CO425" s="59">
        <v>1875</v>
      </c>
      <c r="CP425" s="58"/>
      <c r="CQ425" s="3">
        <v>1875</v>
      </c>
    </row>
    <row r="426" spans="1:95" customFormat="1" x14ac:dyDescent="0.2">
      <c r="A426" s="209">
        <v>43370</v>
      </c>
      <c r="B426" s="33" t="s">
        <v>55</v>
      </c>
      <c r="C426" s="33" t="s">
        <v>56</v>
      </c>
      <c r="D426" s="43">
        <v>0</v>
      </c>
      <c r="E426" s="43">
        <v>0</v>
      </c>
      <c r="F426" s="43">
        <v>0</v>
      </c>
      <c r="G426" s="43">
        <v>0</v>
      </c>
      <c r="H426" s="43">
        <v>0</v>
      </c>
      <c r="I426" s="43">
        <v>0</v>
      </c>
      <c r="J426" s="43">
        <v>0</v>
      </c>
      <c r="K426" s="43">
        <v>0</v>
      </c>
      <c r="L426" s="43">
        <v>0</v>
      </c>
      <c r="M426" s="43">
        <v>0</v>
      </c>
      <c r="N426" s="43">
        <v>0</v>
      </c>
      <c r="O426" s="43">
        <v>0</v>
      </c>
      <c r="P426" s="47">
        <v>0</v>
      </c>
      <c r="R426" s="37">
        <v>0</v>
      </c>
      <c r="S426" s="37">
        <v>0</v>
      </c>
      <c r="T426" s="37">
        <v>4000</v>
      </c>
      <c r="U426" s="37">
        <v>0</v>
      </c>
      <c r="V426" s="37">
        <v>2000</v>
      </c>
      <c r="W426" s="37">
        <v>0</v>
      </c>
      <c r="X426" s="37">
        <v>0</v>
      </c>
      <c r="Y426" s="37">
        <v>0</v>
      </c>
      <c r="Z426" s="37">
        <v>400</v>
      </c>
      <c r="AA426" s="37">
        <v>0</v>
      </c>
      <c r="AB426" s="37">
        <v>200</v>
      </c>
      <c r="AC426" s="37">
        <v>0</v>
      </c>
      <c r="AD426" s="37">
        <v>80</v>
      </c>
      <c r="AE426" s="37">
        <v>0</v>
      </c>
      <c r="AF426" s="37">
        <v>0</v>
      </c>
      <c r="AG426" s="59">
        <v>6680</v>
      </c>
      <c r="AH426" s="37">
        <v>0</v>
      </c>
      <c r="AI426" s="37">
        <v>0</v>
      </c>
      <c r="AJ426" s="37">
        <v>0</v>
      </c>
      <c r="AK426" s="37">
        <v>0</v>
      </c>
      <c r="AL426" s="37">
        <v>5</v>
      </c>
      <c r="AM426" s="37">
        <v>0</v>
      </c>
      <c r="AN426" s="37">
        <v>4</v>
      </c>
      <c r="AO426" s="37">
        <v>0</v>
      </c>
      <c r="AP426" s="37">
        <v>2</v>
      </c>
      <c r="AQ426" s="37">
        <v>0</v>
      </c>
      <c r="AR426" s="37">
        <v>0</v>
      </c>
      <c r="AS426" s="59">
        <v>11</v>
      </c>
      <c r="AT426" s="59">
        <v>6691</v>
      </c>
      <c r="AU426" s="45"/>
      <c r="AV426" s="37">
        <v>0</v>
      </c>
      <c r="AW426" s="37">
        <v>0</v>
      </c>
      <c r="AX426" s="37">
        <v>0</v>
      </c>
      <c r="AY426" s="37">
        <v>0</v>
      </c>
      <c r="AZ426" s="37">
        <v>0</v>
      </c>
      <c r="BA426" s="37">
        <v>0</v>
      </c>
      <c r="BB426" s="37">
        <v>0</v>
      </c>
      <c r="BC426" s="37">
        <v>0</v>
      </c>
      <c r="BD426" s="37">
        <v>0</v>
      </c>
      <c r="BE426" s="37">
        <v>0</v>
      </c>
      <c r="BF426" s="37">
        <v>0</v>
      </c>
      <c r="BG426" s="37">
        <v>0</v>
      </c>
      <c r="BH426" s="37">
        <v>0</v>
      </c>
      <c r="BI426" s="37">
        <v>0</v>
      </c>
      <c r="BJ426" s="37">
        <v>0</v>
      </c>
      <c r="BK426" s="59">
        <v>0</v>
      </c>
      <c r="BL426" s="37">
        <v>0</v>
      </c>
      <c r="BM426" s="37">
        <v>0</v>
      </c>
      <c r="BN426" s="37">
        <v>0</v>
      </c>
      <c r="BO426" s="37">
        <v>0</v>
      </c>
      <c r="BP426" s="37">
        <v>0</v>
      </c>
      <c r="BQ426" s="37">
        <v>0</v>
      </c>
      <c r="BR426" s="37">
        <v>0</v>
      </c>
      <c r="BS426" s="37">
        <v>0</v>
      </c>
      <c r="BT426" s="37">
        <v>0</v>
      </c>
      <c r="BU426" s="37">
        <v>0</v>
      </c>
      <c r="BV426" s="37">
        <v>0</v>
      </c>
      <c r="BW426" s="59">
        <v>0</v>
      </c>
      <c r="BX426" s="59">
        <v>0</v>
      </c>
      <c r="BZ426" s="37">
        <v>4000</v>
      </c>
      <c r="CA426" s="37">
        <v>2000</v>
      </c>
      <c r="CB426" s="37">
        <v>0</v>
      </c>
      <c r="CC426" s="37">
        <v>400</v>
      </c>
      <c r="CD426" s="37">
        <v>200</v>
      </c>
      <c r="CE426" s="37">
        <v>80</v>
      </c>
      <c r="CF426" s="37">
        <v>0</v>
      </c>
      <c r="CG426" s="59">
        <v>6680</v>
      </c>
      <c r="CH426" s="37">
        <v>0</v>
      </c>
      <c r="CI426" s="37">
        <v>5</v>
      </c>
      <c r="CJ426" s="37">
        <v>4</v>
      </c>
      <c r="CK426" s="37">
        <v>2</v>
      </c>
      <c r="CL426" s="37">
        <v>0</v>
      </c>
      <c r="CM426" s="37">
        <v>0</v>
      </c>
      <c r="CN426" s="59">
        <v>11</v>
      </c>
      <c r="CO426" s="59">
        <v>6691</v>
      </c>
      <c r="CP426" s="58"/>
      <c r="CQ426" s="3">
        <v>6691</v>
      </c>
    </row>
    <row r="427" spans="1:95" customFormat="1" x14ac:dyDescent="0.2">
      <c r="A427" s="209">
        <v>43370</v>
      </c>
      <c r="B427" s="33" t="s">
        <v>66</v>
      </c>
      <c r="C427" s="33" t="s">
        <v>65</v>
      </c>
      <c r="D427" s="43">
        <v>0</v>
      </c>
      <c r="E427" s="43">
        <v>0</v>
      </c>
      <c r="F427" s="43">
        <v>0</v>
      </c>
      <c r="G427" s="43">
        <v>0</v>
      </c>
      <c r="H427" s="43">
        <v>0</v>
      </c>
      <c r="I427" s="43">
        <v>1</v>
      </c>
      <c r="J427" s="43">
        <v>0</v>
      </c>
      <c r="K427" s="43">
        <v>0</v>
      </c>
      <c r="L427" s="43">
        <v>0</v>
      </c>
      <c r="M427" s="43">
        <v>0</v>
      </c>
      <c r="N427" s="43">
        <v>0</v>
      </c>
      <c r="O427" s="43">
        <v>0</v>
      </c>
      <c r="P427" s="47" t="s">
        <v>45</v>
      </c>
      <c r="R427" s="37">
        <v>0</v>
      </c>
      <c r="S427" s="37">
        <v>0</v>
      </c>
      <c r="T427" s="37">
        <v>400000</v>
      </c>
      <c r="U427" s="37">
        <v>0</v>
      </c>
      <c r="V427" s="37">
        <v>500000</v>
      </c>
      <c r="W427" s="37">
        <v>0</v>
      </c>
      <c r="X427" s="37">
        <v>0</v>
      </c>
      <c r="Y427" s="37">
        <v>0</v>
      </c>
      <c r="Z427" s="37">
        <v>120000</v>
      </c>
      <c r="AA427" s="37">
        <v>0</v>
      </c>
      <c r="AB427" s="37">
        <v>60000</v>
      </c>
      <c r="AC427" s="37">
        <v>0</v>
      </c>
      <c r="AD427" s="37">
        <v>0</v>
      </c>
      <c r="AE427" s="37">
        <v>0</v>
      </c>
      <c r="AF427" s="37">
        <v>0</v>
      </c>
      <c r="AG427" s="59">
        <v>1080000</v>
      </c>
      <c r="AH427" s="37">
        <v>0</v>
      </c>
      <c r="AI427" s="37">
        <v>2000</v>
      </c>
      <c r="AJ427" s="37">
        <v>0</v>
      </c>
      <c r="AK427" s="37">
        <v>0</v>
      </c>
      <c r="AL427" s="37">
        <v>1250</v>
      </c>
      <c r="AM427" s="37">
        <v>0</v>
      </c>
      <c r="AN427" s="37">
        <v>600</v>
      </c>
      <c r="AO427" s="37">
        <v>0</v>
      </c>
      <c r="AP427" s="37">
        <v>100</v>
      </c>
      <c r="AQ427" s="37">
        <v>0</v>
      </c>
      <c r="AR427" s="37">
        <v>0</v>
      </c>
      <c r="AS427" s="59">
        <v>3950</v>
      </c>
      <c r="AT427" s="59">
        <v>1083950</v>
      </c>
      <c r="AU427" s="45"/>
      <c r="AV427" s="37">
        <v>0</v>
      </c>
      <c r="AW427" s="37">
        <v>0</v>
      </c>
      <c r="AX427" s="37">
        <v>0</v>
      </c>
      <c r="AY427" s="37">
        <v>0</v>
      </c>
      <c r="AZ427" s="37">
        <v>0</v>
      </c>
      <c r="BA427" s="37">
        <v>0</v>
      </c>
      <c r="BB427" s="37">
        <v>0</v>
      </c>
      <c r="BC427" s="37">
        <v>0</v>
      </c>
      <c r="BD427" s="37">
        <v>0</v>
      </c>
      <c r="BE427" s="37">
        <v>0</v>
      </c>
      <c r="BF427" s="37">
        <v>0</v>
      </c>
      <c r="BG427" s="37">
        <v>0</v>
      </c>
      <c r="BH427" s="37">
        <v>0</v>
      </c>
      <c r="BI427" s="37">
        <v>0</v>
      </c>
      <c r="BJ427" s="37">
        <v>0</v>
      </c>
      <c r="BK427" s="59">
        <v>0</v>
      </c>
      <c r="BL427" s="37">
        <v>0</v>
      </c>
      <c r="BM427" s="37">
        <v>0</v>
      </c>
      <c r="BN427" s="37">
        <v>0</v>
      </c>
      <c r="BO427" s="37">
        <v>0</v>
      </c>
      <c r="BP427" s="37">
        <v>0</v>
      </c>
      <c r="BQ427" s="37">
        <v>0</v>
      </c>
      <c r="BR427" s="37">
        <v>0</v>
      </c>
      <c r="BS427" s="37">
        <v>0</v>
      </c>
      <c r="BT427" s="37">
        <v>0</v>
      </c>
      <c r="BU427" s="37">
        <v>0</v>
      </c>
      <c r="BV427" s="37">
        <v>0</v>
      </c>
      <c r="BW427" s="59">
        <v>0</v>
      </c>
      <c r="BX427" s="59">
        <v>0</v>
      </c>
      <c r="BZ427" s="37">
        <v>400000</v>
      </c>
      <c r="CA427" s="37">
        <v>500000</v>
      </c>
      <c r="CB427" s="37">
        <v>0</v>
      </c>
      <c r="CC427" s="37">
        <v>120000</v>
      </c>
      <c r="CD427" s="37">
        <v>60000</v>
      </c>
      <c r="CE427" s="37">
        <v>0</v>
      </c>
      <c r="CF427" s="37">
        <v>0</v>
      </c>
      <c r="CG427" s="59">
        <v>1080000</v>
      </c>
      <c r="CH427" s="37">
        <v>2000</v>
      </c>
      <c r="CI427" s="37">
        <v>1250</v>
      </c>
      <c r="CJ427" s="37">
        <v>600</v>
      </c>
      <c r="CK427" s="37">
        <v>100</v>
      </c>
      <c r="CL427" s="37">
        <v>0</v>
      </c>
      <c r="CM427" s="37">
        <v>0</v>
      </c>
      <c r="CN427" s="59">
        <v>3950</v>
      </c>
      <c r="CO427" s="59">
        <v>1083950</v>
      </c>
      <c r="CP427" s="58"/>
      <c r="CQ427" s="3">
        <v>1083950</v>
      </c>
    </row>
    <row r="428" spans="1:95" customFormat="1" x14ac:dyDescent="0.2">
      <c r="A428" s="209">
        <v>43371</v>
      </c>
      <c r="B428" s="33" t="s">
        <v>116</v>
      </c>
      <c r="C428" s="33" t="s">
        <v>125</v>
      </c>
      <c r="D428" s="43">
        <v>0</v>
      </c>
      <c r="E428" s="43">
        <v>0</v>
      </c>
      <c r="F428" s="43">
        <v>0</v>
      </c>
      <c r="G428" s="43">
        <v>0</v>
      </c>
      <c r="H428" s="43">
        <v>0</v>
      </c>
      <c r="I428" s="43">
        <v>0</v>
      </c>
      <c r="J428" s="43">
        <v>0</v>
      </c>
      <c r="K428" s="43">
        <v>1</v>
      </c>
      <c r="L428" s="43">
        <v>0</v>
      </c>
      <c r="M428" s="43">
        <v>0</v>
      </c>
      <c r="N428" s="43">
        <v>0</v>
      </c>
      <c r="O428" s="43">
        <v>0</v>
      </c>
      <c r="P428" s="47" t="s">
        <v>45</v>
      </c>
      <c r="R428" s="37">
        <v>0</v>
      </c>
      <c r="S428" s="37">
        <v>0</v>
      </c>
      <c r="T428" s="37">
        <v>200000</v>
      </c>
      <c r="U428" s="37">
        <v>0</v>
      </c>
      <c r="V428" s="37">
        <v>550000</v>
      </c>
      <c r="W428" s="37">
        <v>0</v>
      </c>
      <c r="X428" s="37">
        <v>0</v>
      </c>
      <c r="Y428" s="37">
        <v>0</v>
      </c>
      <c r="Z428" s="37">
        <v>0</v>
      </c>
      <c r="AA428" s="37">
        <v>0</v>
      </c>
      <c r="AB428" s="37">
        <v>0</v>
      </c>
      <c r="AC428" s="37">
        <v>0</v>
      </c>
      <c r="AD428" s="37">
        <v>0</v>
      </c>
      <c r="AE428" s="37">
        <v>0</v>
      </c>
      <c r="AF428" s="37">
        <v>0</v>
      </c>
      <c r="AG428" s="59">
        <v>750000</v>
      </c>
      <c r="AH428" s="37">
        <v>0</v>
      </c>
      <c r="AI428" s="37">
        <v>1250</v>
      </c>
      <c r="AJ428" s="37">
        <v>250</v>
      </c>
      <c r="AK428" s="37">
        <v>0</v>
      </c>
      <c r="AL428" s="37">
        <v>0</v>
      </c>
      <c r="AM428" s="37">
        <v>0</v>
      </c>
      <c r="AN428" s="37">
        <v>100</v>
      </c>
      <c r="AO428" s="37">
        <v>0</v>
      </c>
      <c r="AP428" s="37">
        <v>50</v>
      </c>
      <c r="AQ428" s="37">
        <v>0</v>
      </c>
      <c r="AR428" s="37">
        <v>0</v>
      </c>
      <c r="AS428" s="59">
        <v>1650</v>
      </c>
      <c r="AT428" s="59">
        <v>751650</v>
      </c>
      <c r="AU428" s="45"/>
      <c r="AV428" s="37">
        <v>0</v>
      </c>
      <c r="AW428" s="37">
        <v>0</v>
      </c>
      <c r="AX428" s="37">
        <v>0</v>
      </c>
      <c r="AY428" s="37">
        <v>0</v>
      </c>
      <c r="AZ428" s="37">
        <v>0</v>
      </c>
      <c r="BA428" s="37">
        <v>0</v>
      </c>
      <c r="BB428" s="37">
        <v>0</v>
      </c>
      <c r="BC428" s="37">
        <v>0</v>
      </c>
      <c r="BD428" s="37">
        <v>0</v>
      </c>
      <c r="BE428" s="37">
        <v>0</v>
      </c>
      <c r="BF428" s="37">
        <v>0</v>
      </c>
      <c r="BG428" s="37">
        <v>0</v>
      </c>
      <c r="BH428" s="37">
        <v>0</v>
      </c>
      <c r="BI428" s="37">
        <v>0</v>
      </c>
      <c r="BJ428" s="37">
        <v>0</v>
      </c>
      <c r="BK428" s="59">
        <v>0</v>
      </c>
      <c r="BL428" s="37">
        <v>0</v>
      </c>
      <c r="BM428" s="37">
        <v>0</v>
      </c>
      <c r="BN428" s="37">
        <v>0</v>
      </c>
      <c r="BO428" s="37">
        <v>0</v>
      </c>
      <c r="BP428" s="37">
        <v>0</v>
      </c>
      <c r="BQ428" s="37">
        <v>0</v>
      </c>
      <c r="BR428" s="37">
        <v>0</v>
      </c>
      <c r="BS428" s="37">
        <v>0</v>
      </c>
      <c r="BT428" s="37">
        <v>0</v>
      </c>
      <c r="BU428" s="37">
        <v>0</v>
      </c>
      <c r="BV428" s="37">
        <v>0</v>
      </c>
      <c r="BW428" s="59">
        <v>0</v>
      </c>
      <c r="BX428" s="59">
        <v>0</v>
      </c>
      <c r="BZ428" s="37">
        <v>200000</v>
      </c>
      <c r="CA428" s="37">
        <v>550000</v>
      </c>
      <c r="CB428" s="37">
        <v>0</v>
      </c>
      <c r="CC428" s="37">
        <v>0</v>
      </c>
      <c r="CD428" s="37">
        <v>0</v>
      </c>
      <c r="CE428" s="37">
        <v>0</v>
      </c>
      <c r="CF428" s="37">
        <v>0</v>
      </c>
      <c r="CG428" s="59">
        <v>750000</v>
      </c>
      <c r="CH428" s="37">
        <v>1250</v>
      </c>
      <c r="CI428" s="37">
        <v>250</v>
      </c>
      <c r="CJ428" s="37">
        <v>100</v>
      </c>
      <c r="CK428" s="37">
        <v>50</v>
      </c>
      <c r="CL428" s="37">
        <v>0</v>
      </c>
      <c r="CM428" s="37">
        <v>0</v>
      </c>
      <c r="CN428" s="59">
        <v>1650</v>
      </c>
      <c r="CO428" s="59">
        <v>751650</v>
      </c>
      <c r="CP428" s="58"/>
      <c r="CQ428" s="3">
        <v>751650</v>
      </c>
    </row>
    <row r="429" spans="1:95" customFormat="1" x14ac:dyDescent="0.2">
      <c r="A429" s="209">
        <v>43371</v>
      </c>
      <c r="B429" s="33" t="s">
        <v>55</v>
      </c>
      <c r="C429" s="33" t="s">
        <v>56</v>
      </c>
      <c r="D429" s="43">
        <v>0</v>
      </c>
      <c r="E429" s="43">
        <v>0</v>
      </c>
      <c r="F429" s="43">
        <v>0</v>
      </c>
      <c r="G429" s="43">
        <v>0</v>
      </c>
      <c r="H429" s="43">
        <v>0</v>
      </c>
      <c r="I429" s="43">
        <v>0</v>
      </c>
      <c r="J429" s="43">
        <v>0</v>
      </c>
      <c r="K429" s="43">
        <v>0</v>
      </c>
      <c r="L429" s="43">
        <v>0</v>
      </c>
      <c r="M429" s="43">
        <v>0</v>
      </c>
      <c r="N429" s="43">
        <v>0</v>
      </c>
      <c r="O429" s="43">
        <v>0</v>
      </c>
      <c r="P429" s="47">
        <v>0</v>
      </c>
      <c r="R429" s="37">
        <v>0</v>
      </c>
      <c r="S429" s="37">
        <v>0</v>
      </c>
      <c r="T429" s="37">
        <v>4000</v>
      </c>
      <c r="U429" s="37">
        <v>0</v>
      </c>
      <c r="V429" s="37">
        <v>2000</v>
      </c>
      <c r="W429" s="37">
        <v>0</v>
      </c>
      <c r="X429" s="37">
        <v>800</v>
      </c>
      <c r="Y429" s="37">
        <v>0</v>
      </c>
      <c r="Z429" s="37">
        <v>400</v>
      </c>
      <c r="AA429" s="37">
        <v>0</v>
      </c>
      <c r="AB429" s="37">
        <v>200</v>
      </c>
      <c r="AC429" s="37">
        <v>0</v>
      </c>
      <c r="AD429" s="37">
        <v>80</v>
      </c>
      <c r="AE429" s="37">
        <v>0</v>
      </c>
      <c r="AF429" s="37">
        <v>0</v>
      </c>
      <c r="AG429" s="59">
        <v>7480</v>
      </c>
      <c r="AH429" s="37">
        <v>0</v>
      </c>
      <c r="AI429" s="37">
        <v>0</v>
      </c>
      <c r="AJ429" s="37">
        <v>0</v>
      </c>
      <c r="AK429" s="37">
        <v>0</v>
      </c>
      <c r="AL429" s="37">
        <v>0</v>
      </c>
      <c r="AM429" s="37">
        <v>0</v>
      </c>
      <c r="AN429" s="37">
        <v>0</v>
      </c>
      <c r="AO429" s="37">
        <v>0</v>
      </c>
      <c r="AP429" s="37">
        <v>0</v>
      </c>
      <c r="AQ429" s="37">
        <v>0</v>
      </c>
      <c r="AR429" s="37">
        <v>0</v>
      </c>
      <c r="AS429" s="59">
        <v>0</v>
      </c>
      <c r="AT429" s="59">
        <v>7480</v>
      </c>
      <c r="AU429" s="45"/>
      <c r="AV429" s="37">
        <v>0</v>
      </c>
      <c r="AW429" s="37">
        <v>0</v>
      </c>
      <c r="AX429" s="37">
        <v>0</v>
      </c>
      <c r="AY429" s="37">
        <v>0</v>
      </c>
      <c r="AZ429" s="37">
        <v>0</v>
      </c>
      <c r="BA429" s="37">
        <v>0</v>
      </c>
      <c r="BB429" s="37">
        <v>0</v>
      </c>
      <c r="BC429" s="37">
        <v>0</v>
      </c>
      <c r="BD429" s="37">
        <v>0</v>
      </c>
      <c r="BE429" s="37">
        <v>0</v>
      </c>
      <c r="BF429" s="37">
        <v>0</v>
      </c>
      <c r="BG429" s="37">
        <v>0</v>
      </c>
      <c r="BH429" s="37">
        <v>0</v>
      </c>
      <c r="BI429" s="37">
        <v>0</v>
      </c>
      <c r="BJ429" s="37">
        <v>0</v>
      </c>
      <c r="BK429" s="59">
        <v>0</v>
      </c>
      <c r="BL429" s="37">
        <v>0</v>
      </c>
      <c r="BM429" s="37">
        <v>0</v>
      </c>
      <c r="BN429" s="37">
        <v>0</v>
      </c>
      <c r="BO429" s="37">
        <v>0</v>
      </c>
      <c r="BP429" s="37">
        <v>0</v>
      </c>
      <c r="BQ429" s="37">
        <v>0</v>
      </c>
      <c r="BR429" s="37">
        <v>0</v>
      </c>
      <c r="BS429" s="37">
        <v>0</v>
      </c>
      <c r="BT429" s="37">
        <v>0</v>
      </c>
      <c r="BU429" s="37">
        <v>0</v>
      </c>
      <c r="BV429" s="37">
        <v>0</v>
      </c>
      <c r="BW429" s="59">
        <v>0</v>
      </c>
      <c r="BX429" s="59">
        <v>0</v>
      </c>
      <c r="BZ429" s="37">
        <v>4000</v>
      </c>
      <c r="CA429" s="37">
        <v>2000</v>
      </c>
      <c r="CB429" s="37">
        <v>800</v>
      </c>
      <c r="CC429" s="37">
        <v>400</v>
      </c>
      <c r="CD429" s="37">
        <v>200</v>
      </c>
      <c r="CE429" s="37">
        <v>80</v>
      </c>
      <c r="CF429" s="37">
        <v>0</v>
      </c>
      <c r="CG429" s="59">
        <v>7480</v>
      </c>
      <c r="CH429" s="37">
        <v>0</v>
      </c>
      <c r="CI429" s="37">
        <v>0</v>
      </c>
      <c r="CJ429" s="37">
        <v>0</v>
      </c>
      <c r="CK429" s="37">
        <v>0</v>
      </c>
      <c r="CL429" s="37">
        <v>0</v>
      </c>
      <c r="CM429" s="37">
        <v>0</v>
      </c>
      <c r="CN429" s="59">
        <v>0</v>
      </c>
      <c r="CO429" s="59">
        <v>7480</v>
      </c>
      <c r="CP429" s="58"/>
      <c r="CQ429" s="3">
        <v>7480</v>
      </c>
    </row>
    <row r="430" spans="1:95" customFormat="1" x14ac:dyDescent="0.2">
      <c r="A430" s="209">
        <v>43374</v>
      </c>
      <c r="B430" s="33" t="s">
        <v>55</v>
      </c>
      <c r="C430" s="33" t="s">
        <v>56</v>
      </c>
      <c r="D430" s="43">
        <v>0</v>
      </c>
      <c r="E430" s="43">
        <v>0</v>
      </c>
      <c r="F430" s="43">
        <v>0</v>
      </c>
      <c r="G430" s="43">
        <v>0</v>
      </c>
      <c r="H430" s="43">
        <v>0</v>
      </c>
      <c r="I430" s="43">
        <v>0</v>
      </c>
      <c r="J430" s="43">
        <v>0</v>
      </c>
      <c r="K430" s="43">
        <v>0</v>
      </c>
      <c r="L430" s="43">
        <v>0</v>
      </c>
      <c r="M430" s="43">
        <v>0</v>
      </c>
      <c r="N430" s="43">
        <v>0</v>
      </c>
      <c r="O430" s="43">
        <v>0</v>
      </c>
      <c r="P430" s="47">
        <v>0</v>
      </c>
      <c r="R430" s="37">
        <v>0</v>
      </c>
      <c r="S430" s="37">
        <v>0</v>
      </c>
      <c r="T430" s="37">
        <v>4000</v>
      </c>
      <c r="U430" s="37">
        <v>0</v>
      </c>
      <c r="V430" s="37">
        <v>2000</v>
      </c>
      <c r="W430" s="37">
        <v>0</v>
      </c>
      <c r="X430" s="37">
        <v>800</v>
      </c>
      <c r="Y430" s="37">
        <v>0</v>
      </c>
      <c r="Z430" s="37">
        <v>400</v>
      </c>
      <c r="AA430" s="37">
        <v>0</v>
      </c>
      <c r="AB430" s="37">
        <v>200</v>
      </c>
      <c r="AC430" s="37">
        <v>0</v>
      </c>
      <c r="AD430" s="37">
        <v>80</v>
      </c>
      <c r="AE430" s="37">
        <v>0</v>
      </c>
      <c r="AF430" s="37">
        <v>0</v>
      </c>
      <c r="AG430" s="59">
        <v>7480</v>
      </c>
      <c r="AH430" s="37">
        <v>0</v>
      </c>
      <c r="AI430" s="37">
        <v>0</v>
      </c>
      <c r="AJ430" s="37">
        <v>0</v>
      </c>
      <c r="AK430" s="37">
        <v>0</v>
      </c>
      <c r="AL430" s="37">
        <v>0</v>
      </c>
      <c r="AM430" s="37">
        <v>0</v>
      </c>
      <c r="AN430" s="37">
        <v>0</v>
      </c>
      <c r="AO430" s="37">
        <v>0</v>
      </c>
      <c r="AP430" s="37">
        <v>2</v>
      </c>
      <c r="AQ430" s="37">
        <v>0</v>
      </c>
      <c r="AR430" s="37">
        <v>0</v>
      </c>
      <c r="AS430" s="59">
        <v>2</v>
      </c>
      <c r="AT430" s="59">
        <v>7482</v>
      </c>
      <c r="AU430" s="45"/>
      <c r="AV430" s="37">
        <v>0</v>
      </c>
      <c r="AW430" s="37">
        <v>0</v>
      </c>
      <c r="AX430" s="37">
        <v>0</v>
      </c>
      <c r="AY430" s="37">
        <v>0</v>
      </c>
      <c r="AZ430" s="37">
        <v>0</v>
      </c>
      <c r="BA430" s="37">
        <v>0</v>
      </c>
      <c r="BB430" s="37">
        <v>0</v>
      </c>
      <c r="BC430" s="37">
        <v>0</v>
      </c>
      <c r="BD430" s="37">
        <v>0</v>
      </c>
      <c r="BE430" s="37">
        <v>0</v>
      </c>
      <c r="BF430" s="37">
        <v>0</v>
      </c>
      <c r="BG430" s="37">
        <v>0</v>
      </c>
      <c r="BH430" s="37">
        <v>0</v>
      </c>
      <c r="BI430" s="37">
        <v>0</v>
      </c>
      <c r="BJ430" s="37">
        <v>0</v>
      </c>
      <c r="BK430" s="59">
        <v>0</v>
      </c>
      <c r="BL430" s="37">
        <v>0</v>
      </c>
      <c r="BM430" s="37">
        <v>0</v>
      </c>
      <c r="BN430" s="37">
        <v>0</v>
      </c>
      <c r="BO430" s="37">
        <v>0</v>
      </c>
      <c r="BP430" s="37">
        <v>0</v>
      </c>
      <c r="BQ430" s="37">
        <v>0</v>
      </c>
      <c r="BR430" s="37">
        <v>0</v>
      </c>
      <c r="BS430" s="37">
        <v>0</v>
      </c>
      <c r="BT430" s="37">
        <v>0</v>
      </c>
      <c r="BU430" s="37">
        <v>0</v>
      </c>
      <c r="BV430" s="37">
        <v>0</v>
      </c>
      <c r="BW430" s="59">
        <v>0</v>
      </c>
      <c r="BX430" s="59">
        <v>0</v>
      </c>
      <c r="BZ430" s="37">
        <v>4000</v>
      </c>
      <c r="CA430" s="37">
        <v>2000</v>
      </c>
      <c r="CB430" s="37">
        <v>800</v>
      </c>
      <c r="CC430" s="37">
        <v>400</v>
      </c>
      <c r="CD430" s="37">
        <v>200</v>
      </c>
      <c r="CE430" s="37">
        <v>80</v>
      </c>
      <c r="CF430" s="37">
        <v>0</v>
      </c>
      <c r="CG430" s="59">
        <v>7480</v>
      </c>
      <c r="CH430" s="37">
        <v>0</v>
      </c>
      <c r="CI430" s="37">
        <v>0</v>
      </c>
      <c r="CJ430" s="37">
        <v>0</v>
      </c>
      <c r="CK430" s="37">
        <v>2</v>
      </c>
      <c r="CL430" s="37">
        <v>0</v>
      </c>
      <c r="CM430" s="37">
        <v>0</v>
      </c>
      <c r="CN430" s="59">
        <v>2</v>
      </c>
      <c r="CO430" s="59">
        <v>7482</v>
      </c>
      <c r="CP430" s="58"/>
      <c r="CQ430" s="3">
        <v>7482</v>
      </c>
    </row>
    <row r="431" spans="1:95" customFormat="1" x14ac:dyDescent="0.2">
      <c r="A431" s="209">
        <v>43374</v>
      </c>
      <c r="B431" s="33" t="s">
        <v>53</v>
      </c>
      <c r="C431" s="33" t="s">
        <v>147</v>
      </c>
      <c r="D431" s="43">
        <v>0</v>
      </c>
      <c r="E431" s="43">
        <v>0</v>
      </c>
      <c r="F431" s="43">
        <v>0</v>
      </c>
      <c r="G431" s="43">
        <v>0</v>
      </c>
      <c r="H431" s="43">
        <v>0</v>
      </c>
      <c r="I431" s="43">
        <v>0</v>
      </c>
      <c r="J431" s="43">
        <v>0</v>
      </c>
      <c r="K431" s="43">
        <v>0</v>
      </c>
      <c r="L431" s="43">
        <v>0</v>
      </c>
      <c r="M431" s="43">
        <v>0</v>
      </c>
      <c r="N431" s="43">
        <v>0</v>
      </c>
      <c r="O431" s="43">
        <v>0</v>
      </c>
      <c r="P431" s="47">
        <v>0</v>
      </c>
      <c r="R431" s="37">
        <v>0</v>
      </c>
      <c r="S431" s="37">
        <v>0</v>
      </c>
      <c r="T431" s="37">
        <v>69980.3</v>
      </c>
      <c r="U431" s="37">
        <v>0</v>
      </c>
      <c r="V431" s="37">
        <v>619500</v>
      </c>
      <c r="W431" s="37">
        <v>0</v>
      </c>
      <c r="X431" s="37">
        <v>28800</v>
      </c>
      <c r="Y431" s="37">
        <v>0</v>
      </c>
      <c r="Z431" s="37">
        <v>38698.03</v>
      </c>
      <c r="AA431" s="37">
        <v>0</v>
      </c>
      <c r="AB431" s="37">
        <v>276.51499999999999</v>
      </c>
      <c r="AC431" s="37">
        <v>0</v>
      </c>
      <c r="AD431" s="37">
        <v>130.60599999999999</v>
      </c>
      <c r="AE431" s="37">
        <v>0</v>
      </c>
      <c r="AF431" s="37">
        <v>0.30299999999999999</v>
      </c>
      <c r="AG431" s="59">
        <v>757385.75400000007</v>
      </c>
      <c r="AH431" s="37">
        <v>0</v>
      </c>
      <c r="AI431" s="37">
        <v>0</v>
      </c>
      <c r="AJ431" s="37">
        <v>0</v>
      </c>
      <c r="AK431" s="37">
        <v>0</v>
      </c>
      <c r="AL431" s="37">
        <v>0</v>
      </c>
      <c r="AM431" s="37">
        <v>0</v>
      </c>
      <c r="AN431" s="37">
        <v>0</v>
      </c>
      <c r="AO431" s="37">
        <v>0</v>
      </c>
      <c r="AP431" s="37">
        <v>10</v>
      </c>
      <c r="AQ431" s="37">
        <v>0</v>
      </c>
      <c r="AR431" s="37">
        <v>0</v>
      </c>
      <c r="AS431" s="59">
        <v>10</v>
      </c>
      <c r="AT431" s="59">
        <v>757395.75400000007</v>
      </c>
      <c r="AU431" s="45"/>
      <c r="AV431" s="37">
        <v>0</v>
      </c>
      <c r="AW431" s="37">
        <v>0</v>
      </c>
      <c r="AX431" s="37">
        <v>0</v>
      </c>
      <c r="AY431" s="37">
        <v>0</v>
      </c>
      <c r="AZ431" s="37">
        <v>0</v>
      </c>
      <c r="BA431" s="37">
        <v>0</v>
      </c>
      <c r="BB431" s="37">
        <v>0</v>
      </c>
      <c r="BC431" s="37">
        <v>0</v>
      </c>
      <c r="BD431" s="37">
        <v>0</v>
      </c>
      <c r="BE431" s="37">
        <v>0</v>
      </c>
      <c r="BF431" s="37">
        <v>0</v>
      </c>
      <c r="BG431" s="37">
        <v>0</v>
      </c>
      <c r="BH431" s="37">
        <v>0</v>
      </c>
      <c r="BI431" s="37">
        <v>0</v>
      </c>
      <c r="BJ431" s="37">
        <v>0</v>
      </c>
      <c r="BK431" s="59">
        <v>0</v>
      </c>
      <c r="BL431" s="37">
        <v>0</v>
      </c>
      <c r="BM431" s="37">
        <v>0</v>
      </c>
      <c r="BN431" s="37">
        <v>0</v>
      </c>
      <c r="BO431" s="37">
        <v>0</v>
      </c>
      <c r="BP431" s="37">
        <v>0</v>
      </c>
      <c r="BQ431" s="37">
        <v>0</v>
      </c>
      <c r="BR431" s="37">
        <v>0</v>
      </c>
      <c r="BS431" s="37">
        <v>0</v>
      </c>
      <c r="BT431" s="37">
        <v>0</v>
      </c>
      <c r="BU431" s="37">
        <v>0</v>
      </c>
      <c r="BV431" s="37">
        <v>0</v>
      </c>
      <c r="BW431" s="59">
        <v>0</v>
      </c>
      <c r="BX431" s="59">
        <v>0</v>
      </c>
      <c r="BZ431" s="37">
        <v>69980.3</v>
      </c>
      <c r="CA431" s="37">
        <v>619500</v>
      </c>
      <c r="CB431" s="37">
        <v>28800</v>
      </c>
      <c r="CC431" s="37">
        <v>38698.03</v>
      </c>
      <c r="CD431" s="37">
        <v>276.51499999999999</v>
      </c>
      <c r="CE431" s="37">
        <v>130.60599999999999</v>
      </c>
      <c r="CF431" s="37">
        <v>0.30299999999999999</v>
      </c>
      <c r="CG431" s="59">
        <v>757385.75400000007</v>
      </c>
      <c r="CH431" s="37">
        <v>0</v>
      </c>
      <c r="CI431" s="37">
        <v>0</v>
      </c>
      <c r="CJ431" s="37">
        <v>0</v>
      </c>
      <c r="CK431" s="37">
        <v>10</v>
      </c>
      <c r="CL431" s="37">
        <v>0</v>
      </c>
      <c r="CM431" s="37">
        <v>0</v>
      </c>
      <c r="CN431" s="59">
        <v>10</v>
      </c>
      <c r="CO431" s="59">
        <v>757395.75400000007</v>
      </c>
      <c r="CP431" s="58"/>
      <c r="CQ431" s="3">
        <v>757395.75400000007</v>
      </c>
    </row>
    <row r="432" spans="1:95" customFormat="1" x14ac:dyDescent="0.2">
      <c r="A432" s="209">
        <v>43375</v>
      </c>
      <c r="B432" s="33" t="s">
        <v>55</v>
      </c>
      <c r="C432" s="33" t="s">
        <v>56</v>
      </c>
      <c r="D432" s="43">
        <v>0</v>
      </c>
      <c r="E432" s="43">
        <v>0</v>
      </c>
      <c r="F432" s="43">
        <v>0</v>
      </c>
      <c r="G432" s="43">
        <v>0</v>
      </c>
      <c r="H432" s="43">
        <v>0</v>
      </c>
      <c r="I432" s="43">
        <v>0</v>
      </c>
      <c r="J432" s="43">
        <v>0</v>
      </c>
      <c r="K432" s="43">
        <v>0</v>
      </c>
      <c r="L432" s="43">
        <v>0</v>
      </c>
      <c r="M432" s="43">
        <v>0</v>
      </c>
      <c r="N432" s="43">
        <v>0</v>
      </c>
      <c r="O432" s="43">
        <v>0</v>
      </c>
      <c r="P432" s="4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2000</v>
      </c>
      <c r="W432" s="37">
        <v>0</v>
      </c>
      <c r="X432" s="37">
        <v>800</v>
      </c>
      <c r="Y432" s="37">
        <v>0</v>
      </c>
      <c r="Z432" s="37">
        <v>400</v>
      </c>
      <c r="AA432" s="37">
        <v>0</v>
      </c>
      <c r="AB432" s="37">
        <v>200</v>
      </c>
      <c r="AC432" s="37">
        <v>0</v>
      </c>
      <c r="AD432" s="37">
        <v>80</v>
      </c>
      <c r="AE432" s="37">
        <v>0</v>
      </c>
      <c r="AF432" s="37">
        <v>0</v>
      </c>
      <c r="AG432" s="59">
        <v>3480</v>
      </c>
      <c r="AH432" s="37">
        <v>0</v>
      </c>
      <c r="AI432" s="37">
        <v>0</v>
      </c>
      <c r="AJ432" s="37">
        <v>0</v>
      </c>
      <c r="AK432" s="37">
        <v>0</v>
      </c>
      <c r="AL432" s="37">
        <v>5</v>
      </c>
      <c r="AM432" s="37">
        <v>0</v>
      </c>
      <c r="AN432" s="37">
        <v>4</v>
      </c>
      <c r="AO432" s="37">
        <v>0</v>
      </c>
      <c r="AP432" s="37">
        <v>2</v>
      </c>
      <c r="AQ432" s="37">
        <v>0</v>
      </c>
      <c r="AR432" s="37">
        <v>0</v>
      </c>
      <c r="AS432" s="59">
        <v>11</v>
      </c>
      <c r="AT432" s="59">
        <v>3491</v>
      </c>
      <c r="AU432" s="45"/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>
        <v>0</v>
      </c>
      <c r="BB432" s="37">
        <v>0</v>
      </c>
      <c r="BC432" s="37">
        <v>0</v>
      </c>
      <c r="BD432" s="37">
        <v>0</v>
      </c>
      <c r="BE432" s="37">
        <v>0</v>
      </c>
      <c r="BF432" s="37">
        <v>0</v>
      </c>
      <c r="BG432" s="37">
        <v>0</v>
      </c>
      <c r="BH432" s="37">
        <v>0</v>
      </c>
      <c r="BI432" s="37">
        <v>0</v>
      </c>
      <c r="BJ432" s="37">
        <v>0</v>
      </c>
      <c r="BK432" s="59">
        <v>0</v>
      </c>
      <c r="BL432" s="37">
        <v>0</v>
      </c>
      <c r="BM432" s="37">
        <v>0</v>
      </c>
      <c r="BN432" s="37">
        <v>0</v>
      </c>
      <c r="BO432" s="37">
        <v>0</v>
      </c>
      <c r="BP432" s="37">
        <v>0</v>
      </c>
      <c r="BQ432" s="37">
        <v>0</v>
      </c>
      <c r="BR432" s="37">
        <v>0</v>
      </c>
      <c r="BS432" s="37">
        <v>0</v>
      </c>
      <c r="BT432" s="37">
        <v>0</v>
      </c>
      <c r="BU432" s="37">
        <v>0</v>
      </c>
      <c r="BV432" s="37">
        <v>0</v>
      </c>
      <c r="BW432" s="59">
        <v>0</v>
      </c>
      <c r="BX432" s="59">
        <v>0</v>
      </c>
      <c r="BZ432" s="37">
        <v>0</v>
      </c>
      <c r="CA432" s="37">
        <v>2000</v>
      </c>
      <c r="CB432" s="37">
        <v>800</v>
      </c>
      <c r="CC432" s="37">
        <v>400</v>
      </c>
      <c r="CD432" s="37">
        <v>200</v>
      </c>
      <c r="CE432" s="37">
        <v>80</v>
      </c>
      <c r="CF432" s="37">
        <v>0</v>
      </c>
      <c r="CG432" s="59">
        <v>3480</v>
      </c>
      <c r="CH432" s="37">
        <v>0</v>
      </c>
      <c r="CI432" s="37">
        <v>5</v>
      </c>
      <c r="CJ432" s="37">
        <v>4</v>
      </c>
      <c r="CK432" s="37">
        <v>2</v>
      </c>
      <c r="CL432" s="37">
        <v>0</v>
      </c>
      <c r="CM432" s="37">
        <v>0</v>
      </c>
      <c r="CN432" s="59">
        <v>11</v>
      </c>
      <c r="CO432" s="59">
        <v>3491</v>
      </c>
      <c r="CP432" s="58"/>
      <c r="CQ432" s="3">
        <v>3491</v>
      </c>
    </row>
    <row r="433" spans="1:95" customFormat="1" x14ac:dyDescent="0.2">
      <c r="A433" s="209">
        <v>43375</v>
      </c>
      <c r="B433" s="33" t="s">
        <v>53</v>
      </c>
      <c r="C433" s="33" t="s">
        <v>54</v>
      </c>
      <c r="D433" s="43">
        <v>1</v>
      </c>
      <c r="E433" s="43">
        <v>0</v>
      </c>
      <c r="F433" s="43">
        <v>0</v>
      </c>
      <c r="G433" s="43">
        <v>0</v>
      </c>
      <c r="H433" s="43">
        <v>0</v>
      </c>
      <c r="I433" s="43">
        <v>0</v>
      </c>
      <c r="J433" s="43">
        <v>0</v>
      </c>
      <c r="K433" s="43">
        <v>0</v>
      </c>
      <c r="L433" s="43">
        <v>0</v>
      </c>
      <c r="M433" s="43">
        <v>0</v>
      </c>
      <c r="N433" s="43">
        <v>0</v>
      </c>
      <c r="O433" s="43">
        <v>0</v>
      </c>
      <c r="P433" s="47" t="s">
        <v>45</v>
      </c>
      <c r="R433" s="37">
        <v>0</v>
      </c>
      <c r="S433" s="37">
        <v>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v>0</v>
      </c>
      <c r="AD433" s="37">
        <v>0</v>
      </c>
      <c r="AE433" s="37">
        <v>0</v>
      </c>
      <c r="AF433" s="37">
        <v>0</v>
      </c>
      <c r="AG433" s="59">
        <v>0</v>
      </c>
      <c r="AH433" s="37">
        <v>0</v>
      </c>
      <c r="AI433" s="37">
        <v>0</v>
      </c>
      <c r="AJ433" s="37">
        <v>1500</v>
      </c>
      <c r="AK433" s="37">
        <v>0</v>
      </c>
      <c r="AL433" s="37">
        <v>1000</v>
      </c>
      <c r="AM433" s="37">
        <v>0</v>
      </c>
      <c r="AN433" s="37">
        <v>0</v>
      </c>
      <c r="AO433" s="37">
        <v>0</v>
      </c>
      <c r="AP433" s="37">
        <v>100</v>
      </c>
      <c r="AQ433" s="37">
        <v>0</v>
      </c>
      <c r="AR433" s="37">
        <v>0</v>
      </c>
      <c r="AS433" s="59">
        <v>2600</v>
      </c>
      <c r="AT433" s="59">
        <v>2600</v>
      </c>
      <c r="AU433" s="45"/>
      <c r="AV433" s="37">
        <v>0</v>
      </c>
      <c r="AW433" s="37">
        <v>0</v>
      </c>
      <c r="AX433" s="37">
        <v>0</v>
      </c>
      <c r="AY433" s="37">
        <v>0</v>
      </c>
      <c r="AZ433" s="37">
        <v>0</v>
      </c>
      <c r="BA433" s="37">
        <v>0</v>
      </c>
      <c r="BB433" s="37">
        <v>0</v>
      </c>
      <c r="BC433" s="37">
        <v>0</v>
      </c>
      <c r="BD433" s="37">
        <v>0</v>
      </c>
      <c r="BE433" s="37">
        <v>0</v>
      </c>
      <c r="BF433" s="37">
        <v>0</v>
      </c>
      <c r="BG433" s="37">
        <v>0</v>
      </c>
      <c r="BH433" s="37">
        <v>0</v>
      </c>
      <c r="BI433" s="37">
        <v>0</v>
      </c>
      <c r="BJ433" s="37">
        <v>0</v>
      </c>
      <c r="BK433" s="59">
        <v>0</v>
      </c>
      <c r="BL433" s="37">
        <v>0</v>
      </c>
      <c r="BM433" s="37">
        <v>0</v>
      </c>
      <c r="BN433" s="37">
        <v>0</v>
      </c>
      <c r="BO433" s="37">
        <v>0</v>
      </c>
      <c r="BP433" s="37">
        <v>0</v>
      </c>
      <c r="BQ433" s="37">
        <v>0</v>
      </c>
      <c r="BR433" s="37">
        <v>0</v>
      </c>
      <c r="BS433" s="37">
        <v>0</v>
      </c>
      <c r="BT433" s="37">
        <v>0</v>
      </c>
      <c r="BU433" s="37">
        <v>0</v>
      </c>
      <c r="BV433" s="37">
        <v>0</v>
      </c>
      <c r="BW433" s="59">
        <v>0</v>
      </c>
      <c r="BX433" s="59">
        <v>0</v>
      </c>
      <c r="BZ433" s="37">
        <v>0</v>
      </c>
      <c r="CA433" s="37">
        <v>0</v>
      </c>
      <c r="CB433" s="37">
        <v>0</v>
      </c>
      <c r="CC433" s="37">
        <v>0</v>
      </c>
      <c r="CD433" s="37">
        <v>0</v>
      </c>
      <c r="CE433" s="37">
        <v>0</v>
      </c>
      <c r="CF433" s="37">
        <v>0</v>
      </c>
      <c r="CG433" s="59">
        <v>0</v>
      </c>
      <c r="CH433" s="37">
        <v>0</v>
      </c>
      <c r="CI433" s="37">
        <v>2500</v>
      </c>
      <c r="CJ433" s="37">
        <v>0</v>
      </c>
      <c r="CK433" s="37">
        <v>100</v>
      </c>
      <c r="CL433" s="37">
        <v>0</v>
      </c>
      <c r="CM433" s="37">
        <v>0</v>
      </c>
      <c r="CN433" s="59">
        <v>2600</v>
      </c>
      <c r="CO433" s="59">
        <v>2600</v>
      </c>
      <c r="CP433" s="58"/>
      <c r="CQ433" s="3">
        <v>2600</v>
      </c>
    </row>
    <row r="434" spans="1:95" customFormat="1" x14ac:dyDescent="0.2">
      <c r="A434" s="209">
        <v>43376</v>
      </c>
      <c r="B434" s="33" t="s">
        <v>55</v>
      </c>
      <c r="C434" s="33" t="s">
        <v>56</v>
      </c>
      <c r="D434" s="43">
        <v>0</v>
      </c>
      <c r="E434" s="43">
        <v>0</v>
      </c>
      <c r="F434" s="43">
        <v>0</v>
      </c>
      <c r="G434" s="43">
        <v>0</v>
      </c>
      <c r="H434" s="43">
        <v>0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  <c r="P434" s="47">
        <v>0</v>
      </c>
      <c r="R434" s="37">
        <v>0</v>
      </c>
      <c r="S434" s="37">
        <v>0</v>
      </c>
      <c r="T434" s="37">
        <v>4000</v>
      </c>
      <c r="U434" s="37">
        <v>0</v>
      </c>
      <c r="V434" s="37">
        <v>2000</v>
      </c>
      <c r="W434" s="37">
        <v>0</v>
      </c>
      <c r="X434" s="37">
        <v>800</v>
      </c>
      <c r="Y434" s="37">
        <v>0</v>
      </c>
      <c r="Z434" s="37">
        <v>400</v>
      </c>
      <c r="AA434" s="37">
        <v>0</v>
      </c>
      <c r="AB434" s="37">
        <v>200</v>
      </c>
      <c r="AC434" s="37">
        <v>0</v>
      </c>
      <c r="AD434" s="37">
        <v>80</v>
      </c>
      <c r="AE434" s="37">
        <v>0</v>
      </c>
      <c r="AF434" s="37">
        <v>0</v>
      </c>
      <c r="AG434" s="59">
        <v>7480</v>
      </c>
      <c r="AH434" s="37">
        <v>0</v>
      </c>
      <c r="AI434" s="37">
        <v>0</v>
      </c>
      <c r="AJ434" s="37">
        <v>0</v>
      </c>
      <c r="AK434" s="37">
        <v>0</v>
      </c>
      <c r="AL434" s="37">
        <v>0</v>
      </c>
      <c r="AM434" s="37">
        <v>0</v>
      </c>
      <c r="AN434" s="37">
        <v>0</v>
      </c>
      <c r="AO434" s="37">
        <v>0</v>
      </c>
      <c r="AP434" s="37">
        <v>0</v>
      </c>
      <c r="AQ434" s="37">
        <v>0</v>
      </c>
      <c r="AR434" s="37">
        <v>0</v>
      </c>
      <c r="AS434" s="59">
        <v>0</v>
      </c>
      <c r="AT434" s="59">
        <v>7480</v>
      </c>
      <c r="AU434" s="45"/>
      <c r="AV434" s="37">
        <v>0</v>
      </c>
      <c r="AW434" s="37">
        <v>0</v>
      </c>
      <c r="AX434" s="37">
        <v>0</v>
      </c>
      <c r="AY434" s="37">
        <v>0</v>
      </c>
      <c r="AZ434" s="37">
        <v>0</v>
      </c>
      <c r="BA434" s="37">
        <v>0</v>
      </c>
      <c r="BB434" s="37">
        <v>0</v>
      </c>
      <c r="BC434" s="37">
        <v>0</v>
      </c>
      <c r="BD434" s="37">
        <v>0</v>
      </c>
      <c r="BE434" s="37">
        <v>0</v>
      </c>
      <c r="BF434" s="37">
        <v>0</v>
      </c>
      <c r="BG434" s="37">
        <v>0</v>
      </c>
      <c r="BH434" s="37">
        <v>0</v>
      </c>
      <c r="BI434" s="37">
        <v>0</v>
      </c>
      <c r="BJ434" s="37">
        <v>0</v>
      </c>
      <c r="BK434" s="59">
        <v>0</v>
      </c>
      <c r="BL434" s="37">
        <v>0</v>
      </c>
      <c r="BM434" s="37">
        <v>0</v>
      </c>
      <c r="BN434" s="37">
        <v>0</v>
      </c>
      <c r="BO434" s="37">
        <v>0</v>
      </c>
      <c r="BP434" s="37">
        <v>0</v>
      </c>
      <c r="BQ434" s="37">
        <v>0</v>
      </c>
      <c r="BR434" s="37">
        <v>0</v>
      </c>
      <c r="BS434" s="37">
        <v>0</v>
      </c>
      <c r="BT434" s="37">
        <v>0</v>
      </c>
      <c r="BU434" s="37">
        <v>0</v>
      </c>
      <c r="BV434" s="37">
        <v>0</v>
      </c>
      <c r="BW434" s="59">
        <v>0</v>
      </c>
      <c r="BX434" s="59">
        <v>0</v>
      </c>
      <c r="BZ434" s="37">
        <v>4000</v>
      </c>
      <c r="CA434" s="37">
        <v>2000</v>
      </c>
      <c r="CB434" s="37">
        <v>800</v>
      </c>
      <c r="CC434" s="37">
        <v>400</v>
      </c>
      <c r="CD434" s="37">
        <v>200</v>
      </c>
      <c r="CE434" s="37">
        <v>80</v>
      </c>
      <c r="CF434" s="37">
        <v>0</v>
      </c>
      <c r="CG434" s="59">
        <v>7480</v>
      </c>
      <c r="CH434" s="37">
        <v>0</v>
      </c>
      <c r="CI434" s="37">
        <v>0</v>
      </c>
      <c r="CJ434" s="37">
        <v>0</v>
      </c>
      <c r="CK434" s="37">
        <v>0</v>
      </c>
      <c r="CL434" s="37">
        <v>0</v>
      </c>
      <c r="CM434" s="37">
        <v>0</v>
      </c>
      <c r="CN434" s="59">
        <v>0</v>
      </c>
      <c r="CO434" s="59">
        <v>7480</v>
      </c>
      <c r="CP434" s="58"/>
      <c r="CQ434" s="3">
        <v>7480</v>
      </c>
    </row>
    <row r="435" spans="1:95" customFormat="1" x14ac:dyDescent="0.2">
      <c r="A435" s="209">
        <v>43376</v>
      </c>
      <c r="B435" s="33" t="s">
        <v>53</v>
      </c>
      <c r="C435" s="33" t="s">
        <v>57</v>
      </c>
      <c r="D435" s="43">
        <v>0</v>
      </c>
      <c r="E435" s="43">
        <v>0</v>
      </c>
      <c r="F435" s="43">
        <v>0</v>
      </c>
      <c r="G435" s="43">
        <v>0</v>
      </c>
      <c r="H435" s="43">
        <v>0</v>
      </c>
      <c r="I435" s="43">
        <v>0</v>
      </c>
      <c r="J435" s="43">
        <v>0</v>
      </c>
      <c r="K435" s="43">
        <v>0</v>
      </c>
      <c r="L435" s="43">
        <v>0</v>
      </c>
      <c r="M435" s="43">
        <v>0</v>
      </c>
      <c r="N435" s="43">
        <v>0</v>
      </c>
      <c r="O435" s="43">
        <v>0</v>
      </c>
      <c r="P435" s="47">
        <v>0</v>
      </c>
      <c r="R435" s="37">
        <v>0</v>
      </c>
      <c r="S435" s="37">
        <v>0</v>
      </c>
      <c r="T435" s="37">
        <v>40000</v>
      </c>
      <c r="U435" s="37">
        <v>0</v>
      </c>
      <c r="V435" s="37">
        <v>20000</v>
      </c>
      <c r="W435" s="37">
        <v>0</v>
      </c>
      <c r="X435" s="37">
        <v>4800</v>
      </c>
      <c r="Y435" s="37">
        <v>0</v>
      </c>
      <c r="Z435" s="37">
        <v>4000</v>
      </c>
      <c r="AA435" s="37">
        <v>0</v>
      </c>
      <c r="AB435" s="37">
        <v>1800</v>
      </c>
      <c r="AC435" s="37">
        <v>0</v>
      </c>
      <c r="AD435" s="37">
        <v>760</v>
      </c>
      <c r="AE435" s="37">
        <v>0</v>
      </c>
      <c r="AF435" s="37">
        <v>0</v>
      </c>
      <c r="AG435" s="59">
        <v>71360</v>
      </c>
      <c r="AH435" s="37">
        <v>0</v>
      </c>
      <c r="AI435" s="37">
        <v>0</v>
      </c>
      <c r="AJ435" s="37">
        <v>0</v>
      </c>
      <c r="AK435" s="37">
        <v>0</v>
      </c>
      <c r="AL435" s="37">
        <v>20</v>
      </c>
      <c r="AM435" s="37">
        <v>0</v>
      </c>
      <c r="AN435" s="37">
        <v>16</v>
      </c>
      <c r="AO435" s="37">
        <v>0</v>
      </c>
      <c r="AP435" s="37">
        <v>8</v>
      </c>
      <c r="AQ435" s="37">
        <v>0</v>
      </c>
      <c r="AR435" s="37">
        <v>0</v>
      </c>
      <c r="AS435" s="59">
        <v>44</v>
      </c>
      <c r="AT435" s="59">
        <v>71404</v>
      </c>
      <c r="AU435" s="45"/>
      <c r="AV435" s="37">
        <v>0</v>
      </c>
      <c r="AW435" s="37">
        <v>0</v>
      </c>
      <c r="AX435" s="37">
        <v>0</v>
      </c>
      <c r="AY435" s="37">
        <v>0</v>
      </c>
      <c r="AZ435" s="37">
        <v>0</v>
      </c>
      <c r="BA435" s="37">
        <v>0</v>
      </c>
      <c r="BB435" s="37">
        <v>0</v>
      </c>
      <c r="BC435" s="37">
        <v>0</v>
      </c>
      <c r="BD435" s="37">
        <v>0</v>
      </c>
      <c r="BE435" s="37">
        <v>0</v>
      </c>
      <c r="BF435" s="37">
        <v>0</v>
      </c>
      <c r="BG435" s="37">
        <v>0</v>
      </c>
      <c r="BH435" s="37">
        <v>0</v>
      </c>
      <c r="BI435" s="37">
        <v>0</v>
      </c>
      <c r="BJ435" s="37">
        <v>0</v>
      </c>
      <c r="BK435" s="59">
        <v>0</v>
      </c>
      <c r="BL435" s="37">
        <v>0</v>
      </c>
      <c r="BM435" s="37">
        <v>0</v>
      </c>
      <c r="BN435" s="37">
        <v>0</v>
      </c>
      <c r="BO435" s="37">
        <v>0</v>
      </c>
      <c r="BP435" s="37">
        <v>0</v>
      </c>
      <c r="BQ435" s="37">
        <v>0</v>
      </c>
      <c r="BR435" s="37">
        <v>0</v>
      </c>
      <c r="BS435" s="37">
        <v>0</v>
      </c>
      <c r="BT435" s="37">
        <v>0</v>
      </c>
      <c r="BU435" s="37">
        <v>0</v>
      </c>
      <c r="BV435" s="37">
        <v>0</v>
      </c>
      <c r="BW435" s="59">
        <v>0</v>
      </c>
      <c r="BX435" s="59">
        <v>0</v>
      </c>
      <c r="BZ435" s="37">
        <v>40000</v>
      </c>
      <c r="CA435" s="37">
        <v>20000</v>
      </c>
      <c r="CB435" s="37">
        <v>4800</v>
      </c>
      <c r="CC435" s="37">
        <v>4000</v>
      </c>
      <c r="CD435" s="37">
        <v>1800</v>
      </c>
      <c r="CE435" s="37">
        <v>760</v>
      </c>
      <c r="CF435" s="37">
        <v>0</v>
      </c>
      <c r="CG435" s="59">
        <v>71360</v>
      </c>
      <c r="CH435" s="37">
        <v>0</v>
      </c>
      <c r="CI435" s="37">
        <v>20</v>
      </c>
      <c r="CJ435" s="37">
        <v>16</v>
      </c>
      <c r="CK435" s="37">
        <v>8</v>
      </c>
      <c r="CL435" s="37">
        <v>0</v>
      </c>
      <c r="CM435" s="37">
        <v>0</v>
      </c>
      <c r="CN435" s="59">
        <v>44</v>
      </c>
      <c r="CO435" s="59">
        <v>71404</v>
      </c>
      <c r="CP435" s="58"/>
      <c r="CQ435" s="3">
        <v>71404</v>
      </c>
    </row>
    <row r="436" spans="1:95" customFormat="1" x14ac:dyDescent="0.2">
      <c r="A436" s="209">
        <v>43376</v>
      </c>
      <c r="B436" s="33" t="s">
        <v>53</v>
      </c>
      <c r="C436" s="33" t="s">
        <v>54</v>
      </c>
      <c r="D436" s="43">
        <v>1</v>
      </c>
      <c r="E436" s="43">
        <v>0</v>
      </c>
      <c r="F436" s="43">
        <v>0</v>
      </c>
      <c r="G436" s="43">
        <v>0</v>
      </c>
      <c r="H436" s="43">
        <v>0</v>
      </c>
      <c r="I436" s="43">
        <v>0</v>
      </c>
      <c r="J436" s="43">
        <v>0</v>
      </c>
      <c r="K436" s="43">
        <v>0</v>
      </c>
      <c r="L436" s="43">
        <v>0</v>
      </c>
      <c r="M436" s="43">
        <v>0</v>
      </c>
      <c r="N436" s="43">
        <v>0</v>
      </c>
      <c r="O436" s="43">
        <v>0</v>
      </c>
      <c r="P436" s="47" t="s">
        <v>45</v>
      </c>
      <c r="R436" s="37">
        <v>0</v>
      </c>
      <c r="S436" s="37">
        <v>0</v>
      </c>
      <c r="T436" s="37">
        <v>0</v>
      </c>
      <c r="U436" s="37">
        <v>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7">
        <v>0</v>
      </c>
      <c r="AB436" s="37">
        <v>0</v>
      </c>
      <c r="AC436" s="37">
        <v>0</v>
      </c>
      <c r="AD436" s="37">
        <v>0</v>
      </c>
      <c r="AE436" s="37">
        <v>0</v>
      </c>
      <c r="AF436" s="37">
        <v>0</v>
      </c>
      <c r="AG436" s="59">
        <v>0</v>
      </c>
      <c r="AH436" s="37">
        <v>0</v>
      </c>
      <c r="AI436" s="37">
        <v>0</v>
      </c>
      <c r="AJ436" s="37">
        <v>0</v>
      </c>
      <c r="AK436" s="37">
        <v>0</v>
      </c>
      <c r="AL436" s="37">
        <v>0</v>
      </c>
      <c r="AM436" s="37">
        <v>0</v>
      </c>
      <c r="AN436" s="37">
        <v>1000</v>
      </c>
      <c r="AO436" s="37">
        <v>0</v>
      </c>
      <c r="AP436" s="37">
        <v>0</v>
      </c>
      <c r="AQ436" s="37">
        <v>0</v>
      </c>
      <c r="AR436" s="37">
        <v>0</v>
      </c>
      <c r="AS436" s="59">
        <v>1000</v>
      </c>
      <c r="AT436" s="59">
        <v>1000</v>
      </c>
      <c r="AU436" s="45"/>
      <c r="AV436" s="37">
        <v>0</v>
      </c>
      <c r="AW436" s="37">
        <v>0</v>
      </c>
      <c r="AX436" s="37">
        <v>0</v>
      </c>
      <c r="AY436" s="37">
        <v>0</v>
      </c>
      <c r="AZ436" s="37">
        <v>0</v>
      </c>
      <c r="BA436" s="37">
        <v>0</v>
      </c>
      <c r="BB436" s="37">
        <v>0</v>
      </c>
      <c r="BC436" s="37">
        <v>0</v>
      </c>
      <c r="BD436" s="37">
        <v>0</v>
      </c>
      <c r="BE436" s="37">
        <v>0</v>
      </c>
      <c r="BF436" s="37">
        <v>0</v>
      </c>
      <c r="BG436" s="37">
        <v>0</v>
      </c>
      <c r="BH436" s="37">
        <v>0</v>
      </c>
      <c r="BI436" s="37">
        <v>0</v>
      </c>
      <c r="BJ436" s="37">
        <v>0</v>
      </c>
      <c r="BK436" s="59">
        <v>0</v>
      </c>
      <c r="BL436" s="37">
        <v>0</v>
      </c>
      <c r="BM436" s="37">
        <v>0</v>
      </c>
      <c r="BN436" s="37">
        <v>0</v>
      </c>
      <c r="BO436" s="37">
        <v>0</v>
      </c>
      <c r="BP436" s="37">
        <v>0</v>
      </c>
      <c r="BQ436" s="37">
        <v>0</v>
      </c>
      <c r="BR436" s="37">
        <v>0</v>
      </c>
      <c r="BS436" s="37">
        <v>0</v>
      </c>
      <c r="BT436" s="37">
        <v>0</v>
      </c>
      <c r="BU436" s="37">
        <v>0</v>
      </c>
      <c r="BV436" s="37">
        <v>0</v>
      </c>
      <c r="BW436" s="59">
        <v>0</v>
      </c>
      <c r="BX436" s="59">
        <v>0</v>
      </c>
      <c r="BZ436" s="37">
        <v>0</v>
      </c>
      <c r="CA436" s="37">
        <v>0</v>
      </c>
      <c r="CB436" s="37">
        <v>0</v>
      </c>
      <c r="CC436" s="37">
        <v>0</v>
      </c>
      <c r="CD436" s="37">
        <v>0</v>
      </c>
      <c r="CE436" s="37">
        <v>0</v>
      </c>
      <c r="CF436" s="37">
        <v>0</v>
      </c>
      <c r="CG436" s="59">
        <v>0</v>
      </c>
      <c r="CH436" s="37">
        <v>0</v>
      </c>
      <c r="CI436" s="37">
        <v>0</v>
      </c>
      <c r="CJ436" s="37">
        <v>1000</v>
      </c>
      <c r="CK436" s="37">
        <v>0</v>
      </c>
      <c r="CL436" s="37">
        <v>0</v>
      </c>
      <c r="CM436" s="37">
        <v>0</v>
      </c>
      <c r="CN436" s="59">
        <v>1000</v>
      </c>
      <c r="CO436" s="59">
        <v>1000</v>
      </c>
      <c r="CP436" s="58"/>
      <c r="CQ436" s="3">
        <v>1000</v>
      </c>
    </row>
    <row r="437" spans="1:95" customFormat="1" x14ac:dyDescent="0.2">
      <c r="A437" s="209">
        <v>43376</v>
      </c>
      <c r="B437" s="33" t="s">
        <v>53</v>
      </c>
      <c r="C437" s="33" t="s">
        <v>84</v>
      </c>
      <c r="D437" s="43">
        <v>0</v>
      </c>
      <c r="E437" s="43">
        <v>1</v>
      </c>
      <c r="F437" s="43">
        <v>0</v>
      </c>
      <c r="G437" s="43">
        <v>0</v>
      </c>
      <c r="H437" s="43">
        <v>0</v>
      </c>
      <c r="I437" s="43">
        <v>0</v>
      </c>
      <c r="J437" s="43">
        <v>0</v>
      </c>
      <c r="K437" s="43">
        <v>0</v>
      </c>
      <c r="L437" s="43">
        <v>0</v>
      </c>
      <c r="M437" s="43">
        <v>0</v>
      </c>
      <c r="N437" s="43">
        <v>0</v>
      </c>
      <c r="O437" s="43">
        <v>0</v>
      </c>
      <c r="P437" s="47" t="s">
        <v>45</v>
      </c>
      <c r="R437" s="37">
        <v>0</v>
      </c>
      <c r="S437" s="37">
        <v>0</v>
      </c>
      <c r="T437" s="37">
        <v>0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v>0</v>
      </c>
      <c r="AD437" s="37">
        <v>0</v>
      </c>
      <c r="AE437" s="37">
        <v>0</v>
      </c>
      <c r="AF437" s="37">
        <v>0</v>
      </c>
      <c r="AG437" s="59">
        <v>0</v>
      </c>
      <c r="AH437" s="37">
        <v>0</v>
      </c>
      <c r="AI437" s="37">
        <v>6250</v>
      </c>
      <c r="AJ437" s="37">
        <v>0</v>
      </c>
      <c r="AK437" s="37">
        <v>0</v>
      </c>
      <c r="AL437" s="37">
        <v>0</v>
      </c>
      <c r="AM437" s="37">
        <v>0</v>
      </c>
      <c r="AN437" s="37">
        <v>0</v>
      </c>
      <c r="AO437" s="37">
        <v>0</v>
      </c>
      <c r="AP437" s="37">
        <v>0</v>
      </c>
      <c r="AQ437" s="37">
        <v>0</v>
      </c>
      <c r="AR437" s="37">
        <v>0</v>
      </c>
      <c r="AS437" s="59">
        <v>6250</v>
      </c>
      <c r="AT437" s="59">
        <v>6250</v>
      </c>
      <c r="AU437" s="45"/>
      <c r="AV437" s="37">
        <v>0</v>
      </c>
      <c r="AW437" s="37">
        <v>0</v>
      </c>
      <c r="AX437" s="37">
        <v>0</v>
      </c>
      <c r="AY437" s="37">
        <v>0</v>
      </c>
      <c r="AZ437" s="37">
        <v>0</v>
      </c>
      <c r="BA437" s="37">
        <v>0</v>
      </c>
      <c r="BB437" s="37">
        <v>0</v>
      </c>
      <c r="BC437" s="37">
        <v>0</v>
      </c>
      <c r="BD437" s="37">
        <v>0</v>
      </c>
      <c r="BE437" s="37">
        <v>0</v>
      </c>
      <c r="BF437" s="37">
        <v>0</v>
      </c>
      <c r="BG437" s="37">
        <v>0</v>
      </c>
      <c r="BH437" s="37">
        <v>0</v>
      </c>
      <c r="BI437" s="37">
        <v>0</v>
      </c>
      <c r="BJ437" s="37">
        <v>0</v>
      </c>
      <c r="BK437" s="59">
        <v>0</v>
      </c>
      <c r="BL437" s="37">
        <v>0</v>
      </c>
      <c r="BM437" s="37">
        <v>0</v>
      </c>
      <c r="BN437" s="37">
        <v>0</v>
      </c>
      <c r="BO437" s="37">
        <v>0</v>
      </c>
      <c r="BP437" s="37">
        <v>0</v>
      </c>
      <c r="BQ437" s="37">
        <v>0</v>
      </c>
      <c r="BR437" s="37">
        <v>0</v>
      </c>
      <c r="BS437" s="37">
        <v>0</v>
      </c>
      <c r="BT437" s="37">
        <v>0</v>
      </c>
      <c r="BU437" s="37">
        <v>0</v>
      </c>
      <c r="BV437" s="37">
        <v>0</v>
      </c>
      <c r="BW437" s="59">
        <v>0</v>
      </c>
      <c r="BX437" s="59">
        <v>0</v>
      </c>
      <c r="BZ437" s="37">
        <v>0</v>
      </c>
      <c r="CA437" s="37">
        <v>0</v>
      </c>
      <c r="CB437" s="37">
        <v>0</v>
      </c>
      <c r="CC437" s="37">
        <v>0</v>
      </c>
      <c r="CD437" s="37">
        <v>0</v>
      </c>
      <c r="CE437" s="37">
        <v>0</v>
      </c>
      <c r="CF437" s="37">
        <v>0</v>
      </c>
      <c r="CG437" s="59">
        <v>0</v>
      </c>
      <c r="CH437" s="37">
        <v>6250</v>
      </c>
      <c r="CI437" s="37">
        <v>0</v>
      </c>
      <c r="CJ437" s="37">
        <v>0</v>
      </c>
      <c r="CK437" s="37">
        <v>0</v>
      </c>
      <c r="CL437" s="37">
        <v>0</v>
      </c>
      <c r="CM437" s="37">
        <v>0</v>
      </c>
      <c r="CN437" s="59">
        <v>6250</v>
      </c>
      <c r="CO437" s="59">
        <v>6250</v>
      </c>
      <c r="CP437" s="58"/>
      <c r="CQ437" s="3">
        <v>6250</v>
      </c>
    </row>
    <row r="438" spans="1:95" customFormat="1" x14ac:dyDescent="0.2">
      <c r="A438" s="209">
        <v>43376</v>
      </c>
      <c r="B438" s="33" t="s">
        <v>58</v>
      </c>
      <c r="C438" s="33" t="s">
        <v>59</v>
      </c>
      <c r="D438" s="43">
        <v>0</v>
      </c>
      <c r="E438" s="43">
        <v>0</v>
      </c>
      <c r="F438" s="43">
        <v>0</v>
      </c>
      <c r="G438" s="43">
        <v>0</v>
      </c>
      <c r="H438" s="43">
        <v>0</v>
      </c>
      <c r="I438" s="43">
        <v>0</v>
      </c>
      <c r="J438" s="43">
        <v>0</v>
      </c>
      <c r="K438" s="43">
        <v>1</v>
      </c>
      <c r="L438" s="43">
        <v>0</v>
      </c>
      <c r="M438" s="43">
        <v>0</v>
      </c>
      <c r="N438" s="43">
        <v>0</v>
      </c>
      <c r="O438" s="43">
        <v>0</v>
      </c>
      <c r="P438" s="47" t="s">
        <v>45</v>
      </c>
      <c r="R438" s="37">
        <v>0</v>
      </c>
      <c r="S438" s="37">
        <v>0</v>
      </c>
      <c r="T438" s="37">
        <v>0</v>
      </c>
      <c r="U438" s="37">
        <v>0</v>
      </c>
      <c r="V438" s="37">
        <v>0</v>
      </c>
      <c r="W438" s="37">
        <v>0</v>
      </c>
      <c r="X438" s="37">
        <v>0</v>
      </c>
      <c r="Y438" s="37">
        <v>0</v>
      </c>
      <c r="Z438" s="37">
        <v>60000</v>
      </c>
      <c r="AA438" s="37">
        <v>0</v>
      </c>
      <c r="AB438" s="37">
        <v>20000</v>
      </c>
      <c r="AC438" s="37">
        <v>0</v>
      </c>
      <c r="AD438" s="37">
        <v>0</v>
      </c>
      <c r="AE438" s="37">
        <v>0</v>
      </c>
      <c r="AF438" s="37">
        <v>0</v>
      </c>
      <c r="AG438" s="59">
        <v>80000</v>
      </c>
      <c r="AH438" s="37">
        <v>0</v>
      </c>
      <c r="AI438" s="37">
        <v>3250</v>
      </c>
      <c r="AJ438" s="37">
        <v>0</v>
      </c>
      <c r="AK438" s="37">
        <v>0</v>
      </c>
      <c r="AL438" s="37">
        <v>1625</v>
      </c>
      <c r="AM438" s="37">
        <v>0</v>
      </c>
      <c r="AN438" s="37">
        <v>400</v>
      </c>
      <c r="AO438" s="37">
        <v>0</v>
      </c>
      <c r="AP438" s="37">
        <v>150</v>
      </c>
      <c r="AQ438" s="37">
        <v>0</v>
      </c>
      <c r="AR438" s="37">
        <v>0</v>
      </c>
      <c r="AS438" s="59">
        <v>5425</v>
      </c>
      <c r="AT438" s="59">
        <v>85425</v>
      </c>
      <c r="AU438" s="45"/>
      <c r="AV438" s="37">
        <v>0</v>
      </c>
      <c r="AW438" s="37">
        <v>0</v>
      </c>
      <c r="AX438" s="37">
        <v>0</v>
      </c>
      <c r="AY438" s="37">
        <v>0</v>
      </c>
      <c r="AZ438" s="37">
        <v>0</v>
      </c>
      <c r="BA438" s="37">
        <v>0</v>
      </c>
      <c r="BB438" s="37">
        <v>0</v>
      </c>
      <c r="BC438" s="37">
        <v>0</v>
      </c>
      <c r="BD438" s="37">
        <v>0</v>
      </c>
      <c r="BE438" s="37">
        <v>0</v>
      </c>
      <c r="BF438" s="37">
        <v>0</v>
      </c>
      <c r="BG438" s="37">
        <v>0</v>
      </c>
      <c r="BH438" s="37">
        <v>0</v>
      </c>
      <c r="BI438" s="37">
        <v>0</v>
      </c>
      <c r="BJ438" s="37">
        <v>0</v>
      </c>
      <c r="BK438" s="59">
        <v>0</v>
      </c>
      <c r="BL438" s="37">
        <v>0</v>
      </c>
      <c r="BM438" s="37">
        <v>0</v>
      </c>
      <c r="BN438" s="37">
        <v>0</v>
      </c>
      <c r="BO438" s="37">
        <v>0</v>
      </c>
      <c r="BP438" s="37">
        <v>0</v>
      </c>
      <c r="BQ438" s="37">
        <v>0</v>
      </c>
      <c r="BR438" s="37">
        <v>0</v>
      </c>
      <c r="BS438" s="37">
        <v>0</v>
      </c>
      <c r="BT438" s="37">
        <v>0</v>
      </c>
      <c r="BU438" s="37">
        <v>0</v>
      </c>
      <c r="BV438" s="37">
        <v>0</v>
      </c>
      <c r="BW438" s="59">
        <v>0</v>
      </c>
      <c r="BX438" s="59">
        <v>0</v>
      </c>
      <c r="BZ438" s="37">
        <v>0</v>
      </c>
      <c r="CA438" s="37">
        <v>0</v>
      </c>
      <c r="CB438" s="37">
        <v>0</v>
      </c>
      <c r="CC438" s="37">
        <v>60000</v>
      </c>
      <c r="CD438" s="37">
        <v>20000</v>
      </c>
      <c r="CE438" s="37">
        <v>0</v>
      </c>
      <c r="CF438" s="37">
        <v>0</v>
      </c>
      <c r="CG438" s="59">
        <v>80000</v>
      </c>
      <c r="CH438" s="37">
        <v>3250</v>
      </c>
      <c r="CI438" s="37">
        <v>1625</v>
      </c>
      <c r="CJ438" s="37">
        <v>400</v>
      </c>
      <c r="CK438" s="37">
        <v>150</v>
      </c>
      <c r="CL438" s="37">
        <v>0</v>
      </c>
      <c r="CM438" s="37">
        <v>0</v>
      </c>
      <c r="CN438" s="59">
        <v>5425</v>
      </c>
      <c r="CO438" s="59">
        <v>85425</v>
      </c>
      <c r="CP438" s="58"/>
      <c r="CQ438" s="3">
        <v>85425</v>
      </c>
    </row>
    <row r="439" spans="1:95" customFormat="1" x14ac:dyDescent="0.2">
      <c r="A439" s="209">
        <v>43377</v>
      </c>
      <c r="B439" s="33" t="s">
        <v>55</v>
      </c>
      <c r="C439" s="33" t="s">
        <v>56</v>
      </c>
      <c r="D439" s="43">
        <v>0</v>
      </c>
      <c r="E439" s="43">
        <v>0</v>
      </c>
      <c r="F439" s="43">
        <v>0</v>
      </c>
      <c r="G439" s="43">
        <v>0</v>
      </c>
      <c r="H439" s="43">
        <v>0</v>
      </c>
      <c r="I439" s="43">
        <v>0</v>
      </c>
      <c r="J439" s="43">
        <v>0</v>
      </c>
      <c r="K439" s="43">
        <v>0</v>
      </c>
      <c r="L439" s="43">
        <v>0</v>
      </c>
      <c r="M439" s="43">
        <v>0</v>
      </c>
      <c r="N439" s="43">
        <v>0</v>
      </c>
      <c r="O439" s="43">
        <v>0</v>
      </c>
      <c r="P439" s="47">
        <v>0</v>
      </c>
      <c r="R439" s="37">
        <v>0</v>
      </c>
      <c r="S439" s="37">
        <v>0</v>
      </c>
      <c r="T439" s="37">
        <v>4000</v>
      </c>
      <c r="U439" s="37">
        <v>0</v>
      </c>
      <c r="V439" s="37">
        <v>2000</v>
      </c>
      <c r="W439" s="37">
        <v>0</v>
      </c>
      <c r="X439" s="37">
        <v>800</v>
      </c>
      <c r="Y439" s="37">
        <v>0</v>
      </c>
      <c r="Z439" s="37">
        <v>400</v>
      </c>
      <c r="AA439" s="37">
        <v>0</v>
      </c>
      <c r="AB439" s="37">
        <v>200</v>
      </c>
      <c r="AC439" s="37">
        <v>0</v>
      </c>
      <c r="AD439" s="37">
        <v>80</v>
      </c>
      <c r="AE439" s="37">
        <v>0</v>
      </c>
      <c r="AF439" s="37">
        <v>0</v>
      </c>
      <c r="AG439" s="59">
        <v>7480</v>
      </c>
      <c r="AH439" s="37">
        <v>0</v>
      </c>
      <c r="AI439" s="37">
        <v>0</v>
      </c>
      <c r="AJ439" s="37">
        <v>0</v>
      </c>
      <c r="AK439" s="37">
        <v>0</v>
      </c>
      <c r="AL439" s="37">
        <v>5</v>
      </c>
      <c r="AM439" s="37">
        <v>0</v>
      </c>
      <c r="AN439" s="37">
        <v>4</v>
      </c>
      <c r="AO439" s="37">
        <v>0</v>
      </c>
      <c r="AP439" s="37">
        <v>2</v>
      </c>
      <c r="AQ439" s="37">
        <v>0</v>
      </c>
      <c r="AR439" s="37">
        <v>0</v>
      </c>
      <c r="AS439" s="59">
        <v>11</v>
      </c>
      <c r="AT439" s="59">
        <v>7491</v>
      </c>
      <c r="AU439" s="45"/>
      <c r="AV439" s="37">
        <v>0</v>
      </c>
      <c r="AW439" s="37">
        <v>0</v>
      </c>
      <c r="AX439" s="37">
        <v>0</v>
      </c>
      <c r="AY439" s="37">
        <v>0</v>
      </c>
      <c r="AZ439" s="37">
        <v>0</v>
      </c>
      <c r="BA439" s="37">
        <v>0</v>
      </c>
      <c r="BB439" s="37">
        <v>0</v>
      </c>
      <c r="BC439" s="37">
        <v>0</v>
      </c>
      <c r="BD439" s="37">
        <v>0</v>
      </c>
      <c r="BE439" s="37">
        <v>0</v>
      </c>
      <c r="BF439" s="37">
        <v>0</v>
      </c>
      <c r="BG439" s="37">
        <v>0</v>
      </c>
      <c r="BH439" s="37">
        <v>0</v>
      </c>
      <c r="BI439" s="37">
        <v>0</v>
      </c>
      <c r="BJ439" s="37">
        <v>0</v>
      </c>
      <c r="BK439" s="59">
        <v>0</v>
      </c>
      <c r="BL439" s="37">
        <v>0</v>
      </c>
      <c r="BM439" s="37">
        <v>0</v>
      </c>
      <c r="BN439" s="37">
        <v>0</v>
      </c>
      <c r="BO439" s="37">
        <v>0</v>
      </c>
      <c r="BP439" s="37">
        <v>0</v>
      </c>
      <c r="BQ439" s="37">
        <v>0</v>
      </c>
      <c r="BR439" s="37">
        <v>0</v>
      </c>
      <c r="BS439" s="37">
        <v>0</v>
      </c>
      <c r="BT439" s="37">
        <v>0</v>
      </c>
      <c r="BU439" s="37">
        <v>0</v>
      </c>
      <c r="BV439" s="37">
        <v>0</v>
      </c>
      <c r="BW439" s="59">
        <v>0</v>
      </c>
      <c r="BX439" s="59">
        <v>0</v>
      </c>
      <c r="BZ439" s="37">
        <v>4000</v>
      </c>
      <c r="CA439" s="37">
        <v>2000</v>
      </c>
      <c r="CB439" s="37">
        <v>800</v>
      </c>
      <c r="CC439" s="37">
        <v>400</v>
      </c>
      <c r="CD439" s="37">
        <v>200</v>
      </c>
      <c r="CE439" s="37">
        <v>80</v>
      </c>
      <c r="CF439" s="37">
        <v>0</v>
      </c>
      <c r="CG439" s="59">
        <v>7480</v>
      </c>
      <c r="CH439" s="37">
        <v>0</v>
      </c>
      <c r="CI439" s="37">
        <v>5</v>
      </c>
      <c r="CJ439" s="37">
        <v>4</v>
      </c>
      <c r="CK439" s="37">
        <v>2</v>
      </c>
      <c r="CL439" s="37">
        <v>0</v>
      </c>
      <c r="CM439" s="37">
        <v>0</v>
      </c>
      <c r="CN439" s="59">
        <v>11</v>
      </c>
      <c r="CO439" s="59">
        <v>7491</v>
      </c>
      <c r="CP439" s="58"/>
      <c r="CQ439" s="3">
        <v>7491</v>
      </c>
    </row>
    <row r="440" spans="1:95" customFormat="1" x14ac:dyDescent="0.2">
      <c r="A440" s="209">
        <v>43377</v>
      </c>
      <c r="B440" s="33" t="s">
        <v>77</v>
      </c>
      <c r="C440" s="33" t="s">
        <v>117</v>
      </c>
      <c r="D440" s="43">
        <v>0</v>
      </c>
      <c r="E440" s="43">
        <v>0</v>
      </c>
      <c r="F440" s="43">
        <v>0</v>
      </c>
      <c r="G440" s="43">
        <v>0</v>
      </c>
      <c r="H440" s="43">
        <v>0</v>
      </c>
      <c r="I440" s="43">
        <v>0</v>
      </c>
      <c r="J440" s="43">
        <v>0</v>
      </c>
      <c r="K440" s="43">
        <v>1</v>
      </c>
      <c r="L440" s="43">
        <v>0</v>
      </c>
      <c r="M440" s="43">
        <v>0</v>
      </c>
      <c r="N440" s="43">
        <v>0</v>
      </c>
      <c r="O440" s="43">
        <v>0</v>
      </c>
      <c r="P440" s="47" t="s">
        <v>45</v>
      </c>
      <c r="R440" s="37">
        <v>100000</v>
      </c>
      <c r="S440" s="37">
        <v>200000</v>
      </c>
      <c r="T440" s="37">
        <v>300000</v>
      </c>
      <c r="U440" s="37">
        <v>0</v>
      </c>
      <c r="V440" s="37">
        <v>700000</v>
      </c>
      <c r="W440" s="37">
        <v>0</v>
      </c>
      <c r="X440" s="37">
        <v>0</v>
      </c>
      <c r="Y440" s="37">
        <v>0</v>
      </c>
      <c r="Z440" s="37">
        <v>80000</v>
      </c>
      <c r="AA440" s="37">
        <v>0</v>
      </c>
      <c r="AB440" s="37">
        <v>0</v>
      </c>
      <c r="AC440" s="37">
        <v>0</v>
      </c>
      <c r="AD440" s="37">
        <v>0</v>
      </c>
      <c r="AE440" s="37">
        <v>0</v>
      </c>
      <c r="AF440" s="37">
        <v>0</v>
      </c>
      <c r="AG440" s="59">
        <v>1380000</v>
      </c>
      <c r="AH440" s="37">
        <v>1500</v>
      </c>
      <c r="AI440" s="37">
        <v>0</v>
      </c>
      <c r="AJ440" s="37">
        <v>0</v>
      </c>
      <c r="AK440" s="37">
        <v>0</v>
      </c>
      <c r="AL440" s="37">
        <v>0</v>
      </c>
      <c r="AM440" s="37">
        <v>0</v>
      </c>
      <c r="AN440" s="37">
        <v>800</v>
      </c>
      <c r="AO440" s="37">
        <v>0</v>
      </c>
      <c r="AP440" s="37">
        <v>100</v>
      </c>
      <c r="AQ440" s="37">
        <v>0</v>
      </c>
      <c r="AR440" s="37">
        <v>0</v>
      </c>
      <c r="AS440" s="59">
        <v>2400</v>
      </c>
      <c r="AT440" s="59">
        <v>1382400</v>
      </c>
      <c r="AU440" s="45"/>
      <c r="AV440" s="37">
        <v>0</v>
      </c>
      <c r="AW440" s="37">
        <v>0</v>
      </c>
      <c r="AX440" s="37">
        <v>0</v>
      </c>
      <c r="AY440" s="37">
        <v>0</v>
      </c>
      <c r="AZ440" s="37">
        <v>0</v>
      </c>
      <c r="BA440" s="37">
        <v>0</v>
      </c>
      <c r="BB440" s="37">
        <v>0</v>
      </c>
      <c r="BC440" s="37">
        <v>0</v>
      </c>
      <c r="BD440" s="37">
        <v>0</v>
      </c>
      <c r="BE440" s="37">
        <v>0</v>
      </c>
      <c r="BF440" s="37">
        <v>0</v>
      </c>
      <c r="BG440" s="37">
        <v>0</v>
      </c>
      <c r="BH440" s="37">
        <v>0</v>
      </c>
      <c r="BI440" s="37">
        <v>0</v>
      </c>
      <c r="BJ440" s="37">
        <v>0</v>
      </c>
      <c r="BK440" s="59">
        <v>0</v>
      </c>
      <c r="BL440" s="37">
        <v>0</v>
      </c>
      <c r="BM440" s="37">
        <v>0</v>
      </c>
      <c r="BN440" s="37">
        <v>0</v>
      </c>
      <c r="BO440" s="37">
        <v>0</v>
      </c>
      <c r="BP440" s="37">
        <v>0</v>
      </c>
      <c r="BQ440" s="37">
        <v>0</v>
      </c>
      <c r="BR440" s="37">
        <v>0</v>
      </c>
      <c r="BS440" s="37">
        <v>0</v>
      </c>
      <c r="BT440" s="37">
        <v>0</v>
      </c>
      <c r="BU440" s="37">
        <v>0</v>
      </c>
      <c r="BV440" s="37">
        <v>0</v>
      </c>
      <c r="BW440" s="59">
        <v>0</v>
      </c>
      <c r="BX440" s="59">
        <v>0</v>
      </c>
      <c r="BZ440" s="37">
        <v>600000</v>
      </c>
      <c r="CA440" s="37">
        <v>700000</v>
      </c>
      <c r="CB440" s="37">
        <v>0</v>
      </c>
      <c r="CC440" s="37">
        <v>80000</v>
      </c>
      <c r="CD440" s="37">
        <v>0</v>
      </c>
      <c r="CE440" s="37">
        <v>0</v>
      </c>
      <c r="CF440" s="37">
        <v>0</v>
      </c>
      <c r="CG440" s="59">
        <v>1380000</v>
      </c>
      <c r="CH440" s="37">
        <v>1500</v>
      </c>
      <c r="CI440" s="37">
        <v>0</v>
      </c>
      <c r="CJ440" s="37">
        <v>800</v>
      </c>
      <c r="CK440" s="37">
        <v>100</v>
      </c>
      <c r="CL440" s="37">
        <v>0</v>
      </c>
      <c r="CM440" s="37">
        <v>0</v>
      </c>
      <c r="CN440" s="59">
        <v>2400</v>
      </c>
      <c r="CO440" s="59">
        <v>1382400</v>
      </c>
      <c r="CP440" s="58"/>
      <c r="CQ440" s="3">
        <v>1382400</v>
      </c>
    </row>
    <row r="441" spans="1:95" customFormat="1" x14ac:dyDescent="0.2">
      <c r="A441" s="209">
        <v>43378</v>
      </c>
      <c r="B441" s="33" t="s">
        <v>55</v>
      </c>
      <c r="C441" s="33" t="s">
        <v>56</v>
      </c>
      <c r="D441" s="43">
        <v>0</v>
      </c>
      <c r="E441" s="43">
        <v>0</v>
      </c>
      <c r="F441" s="43">
        <v>0</v>
      </c>
      <c r="G441" s="43">
        <v>0</v>
      </c>
      <c r="H441" s="43">
        <v>0</v>
      </c>
      <c r="I441" s="43">
        <v>0</v>
      </c>
      <c r="J441" s="43">
        <v>0</v>
      </c>
      <c r="K441" s="43">
        <v>0</v>
      </c>
      <c r="L441" s="43">
        <v>0</v>
      </c>
      <c r="M441" s="43">
        <v>0</v>
      </c>
      <c r="N441" s="43">
        <v>0</v>
      </c>
      <c r="O441" s="43">
        <v>0</v>
      </c>
      <c r="P441" s="47">
        <v>0</v>
      </c>
      <c r="R441" s="37">
        <v>0</v>
      </c>
      <c r="S441" s="37">
        <v>0</v>
      </c>
      <c r="T441" s="37">
        <v>4000</v>
      </c>
      <c r="U441" s="37">
        <v>0</v>
      </c>
      <c r="V441" s="37">
        <v>2000</v>
      </c>
      <c r="W441" s="37">
        <v>0</v>
      </c>
      <c r="X441" s="37">
        <v>800</v>
      </c>
      <c r="Y441" s="37">
        <v>0</v>
      </c>
      <c r="Z441" s="37">
        <v>400</v>
      </c>
      <c r="AA441" s="37">
        <v>0</v>
      </c>
      <c r="AB441" s="37">
        <v>200</v>
      </c>
      <c r="AC441" s="37">
        <v>0</v>
      </c>
      <c r="AD441" s="37">
        <v>80</v>
      </c>
      <c r="AE441" s="37">
        <v>0</v>
      </c>
      <c r="AF441" s="37">
        <v>0</v>
      </c>
      <c r="AG441" s="59">
        <v>7480</v>
      </c>
      <c r="AH441" s="37">
        <v>0</v>
      </c>
      <c r="AI441" s="37">
        <v>0</v>
      </c>
      <c r="AJ441" s="37">
        <v>0</v>
      </c>
      <c r="AK441" s="37">
        <v>0</v>
      </c>
      <c r="AL441" s="37">
        <v>0</v>
      </c>
      <c r="AM441" s="37">
        <v>0</v>
      </c>
      <c r="AN441" s="37">
        <v>0</v>
      </c>
      <c r="AO441" s="37">
        <v>0</v>
      </c>
      <c r="AP441" s="37">
        <v>0</v>
      </c>
      <c r="AQ441" s="37">
        <v>0</v>
      </c>
      <c r="AR441" s="37">
        <v>0</v>
      </c>
      <c r="AS441" s="59">
        <v>0</v>
      </c>
      <c r="AT441" s="59">
        <v>7480</v>
      </c>
      <c r="AU441" s="45"/>
      <c r="AV441" s="37">
        <v>0</v>
      </c>
      <c r="AW441" s="37">
        <v>0</v>
      </c>
      <c r="AX441" s="37">
        <v>0</v>
      </c>
      <c r="AY441" s="37">
        <v>0</v>
      </c>
      <c r="AZ441" s="37">
        <v>0</v>
      </c>
      <c r="BA441" s="37">
        <v>0</v>
      </c>
      <c r="BB441" s="37">
        <v>0</v>
      </c>
      <c r="BC441" s="37">
        <v>0</v>
      </c>
      <c r="BD441" s="37">
        <v>0</v>
      </c>
      <c r="BE441" s="37">
        <v>0</v>
      </c>
      <c r="BF441" s="37">
        <v>0</v>
      </c>
      <c r="BG441" s="37">
        <v>0</v>
      </c>
      <c r="BH441" s="37">
        <v>0</v>
      </c>
      <c r="BI441" s="37">
        <v>0</v>
      </c>
      <c r="BJ441" s="37">
        <v>0</v>
      </c>
      <c r="BK441" s="59">
        <v>0</v>
      </c>
      <c r="BL441" s="37">
        <v>0</v>
      </c>
      <c r="BM441" s="37">
        <v>0</v>
      </c>
      <c r="BN441" s="37">
        <v>0</v>
      </c>
      <c r="BO441" s="37">
        <v>0</v>
      </c>
      <c r="BP441" s="37">
        <v>0</v>
      </c>
      <c r="BQ441" s="37">
        <v>0</v>
      </c>
      <c r="BR441" s="37">
        <v>0</v>
      </c>
      <c r="BS441" s="37">
        <v>0</v>
      </c>
      <c r="BT441" s="37">
        <v>0</v>
      </c>
      <c r="BU441" s="37">
        <v>0</v>
      </c>
      <c r="BV441" s="37">
        <v>0</v>
      </c>
      <c r="BW441" s="59">
        <v>0</v>
      </c>
      <c r="BX441" s="59">
        <v>0</v>
      </c>
      <c r="BZ441" s="37">
        <v>4000</v>
      </c>
      <c r="CA441" s="37">
        <v>2000</v>
      </c>
      <c r="CB441" s="37">
        <v>800</v>
      </c>
      <c r="CC441" s="37">
        <v>400</v>
      </c>
      <c r="CD441" s="37">
        <v>200</v>
      </c>
      <c r="CE441" s="37">
        <v>80</v>
      </c>
      <c r="CF441" s="37">
        <v>0</v>
      </c>
      <c r="CG441" s="59">
        <v>7480</v>
      </c>
      <c r="CH441" s="37">
        <v>0</v>
      </c>
      <c r="CI441" s="37">
        <v>0</v>
      </c>
      <c r="CJ441" s="37">
        <v>0</v>
      </c>
      <c r="CK441" s="37">
        <v>0</v>
      </c>
      <c r="CL441" s="37">
        <v>0</v>
      </c>
      <c r="CM441" s="37">
        <v>0</v>
      </c>
      <c r="CN441" s="59">
        <v>0</v>
      </c>
      <c r="CO441" s="59">
        <v>7480</v>
      </c>
      <c r="CP441" s="58"/>
      <c r="CQ441" s="3">
        <v>7480</v>
      </c>
    </row>
    <row r="442" spans="1:95" customFormat="1" x14ac:dyDescent="0.2">
      <c r="A442" s="209">
        <v>43378</v>
      </c>
      <c r="B442" s="33" t="s">
        <v>70</v>
      </c>
      <c r="C442" s="33" t="s">
        <v>90</v>
      </c>
      <c r="D442" s="43">
        <v>0</v>
      </c>
      <c r="E442" s="43">
        <v>0</v>
      </c>
      <c r="F442" s="43">
        <v>0</v>
      </c>
      <c r="G442" s="43">
        <v>0</v>
      </c>
      <c r="H442" s="43">
        <v>0</v>
      </c>
      <c r="I442" s="43">
        <v>1</v>
      </c>
      <c r="J442" s="43">
        <v>0</v>
      </c>
      <c r="K442" s="43">
        <v>0</v>
      </c>
      <c r="L442" s="43">
        <v>0</v>
      </c>
      <c r="M442" s="43">
        <v>0</v>
      </c>
      <c r="N442" s="43">
        <v>0</v>
      </c>
      <c r="O442" s="43">
        <v>0</v>
      </c>
      <c r="P442" s="47" t="s">
        <v>45</v>
      </c>
      <c r="R442" s="37">
        <v>0</v>
      </c>
      <c r="S442" s="37">
        <v>0</v>
      </c>
      <c r="T442" s="37">
        <v>800000</v>
      </c>
      <c r="U442" s="37">
        <v>0</v>
      </c>
      <c r="V442" s="37">
        <v>0</v>
      </c>
      <c r="W442" s="37">
        <v>0</v>
      </c>
      <c r="X442" s="37">
        <v>0</v>
      </c>
      <c r="Y442" s="37">
        <v>0</v>
      </c>
      <c r="Z442" s="37">
        <v>100000</v>
      </c>
      <c r="AA442" s="37">
        <v>0</v>
      </c>
      <c r="AB442" s="37">
        <v>20000</v>
      </c>
      <c r="AC442" s="37">
        <v>0</v>
      </c>
      <c r="AD442" s="37">
        <v>0</v>
      </c>
      <c r="AE442" s="37">
        <v>0</v>
      </c>
      <c r="AF442" s="37">
        <v>0</v>
      </c>
      <c r="AG442" s="59">
        <v>920000</v>
      </c>
      <c r="AH442" s="37">
        <v>0</v>
      </c>
      <c r="AI442" s="37">
        <v>2500</v>
      </c>
      <c r="AJ442" s="37">
        <v>0</v>
      </c>
      <c r="AK442" s="37">
        <v>0</v>
      </c>
      <c r="AL442" s="37">
        <v>1250</v>
      </c>
      <c r="AM442" s="37">
        <v>0</v>
      </c>
      <c r="AN442" s="37">
        <v>800</v>
      </c>
      <c r="AO442" s="37">
        <v>0</v>
      </c>
      <c r="AP442" s="37">
        <v>100</v>
      </c>
      <c r="AQ442" s="37">
        <v>0</v>
      </c>
      <c r="AR442" s="37">
        <v>0</v>
      </c>
      <c r="AS442" s="59">
        <v>4650</v>
      </c>
      <c r="AT442" s="59">
        <v>924650</v>
      </c>
      <c r="AU442" s="45"/>
      <c r="AV442" s="37">
        <v>0</v>
      </c>
      <c r="AW442" s="37">
        <v>0</v>
      </c>
      <c r="AX442" s="37">
        <v>0</v>
      </c>
      <c r="AY442" s="37">
        <v>0</v>
      </c>
      <c r="AZ442" s="37">
        <v>0</v>
      </c>
      <c r="BA442" s="37">
        <v>0</v>
      </c>
      <c r="BB442" s="37">
        <v>0</v>
      </c>
      <c r="BC442" s="37">
        <v>0</v>
      </c>
      <c r="BD442" s="37">
        <v>0</v>
      </c>
      <c r="BE442" s="37">
        <v>0</v>
      </c>
      <c r="BF442" s="37">
        <v>0</v>
      </c>
      <c r="BG442" s="37">
        <v>0</v>
      </c>
      <c r="BH442" s="37">
        <v>0</v>
      </c>
      <c r="BI442" s="37">
        <v>0</v>
      </c>
      <c r="BJ442" s="37">
        <v>0</v>
      </c>
      <c r="BK442" s="59">
        <v>0</v>
      </c>
      <c r="BL442" s="37">
        <v>0</v>
      </c>
      <c r="BM442" s="37">
        <v>0</v>
      </c>
      <c r="BN442" s="37">
        <v>0</v>
      </c>
      <c r="BO442" s="37">
        <v>0</v>
      </c>
      <c r="BP442" s="37">
        <v>0</v>
      </c>
      <c r="BQ442" s="37">
        <v>0</v>
      </c>
      <c r="BR442" s="37">
        <v>0</v>
      </c>
      <c r="BS442" s="37">
        <v>0</v>
      </c>
      <c r="BT442" s="37">
        <v>0</v>
      </c>
      <c r="BU442" s="37">
        <v>0</v>
      </c>
      <c r="BV442" s="37">
        <v>0</v>
      </c>
      <c r="BW442" s="59">
        <v>0</v>
      </c>
      <c r="BX442" s="59">
        <v>0</v>
      </c>
      <c r="BZ442" s="37">
        <v>800000</v>
      </c>
      <c r="CA442" s="37">
        <v>0</v>
      </c>
      <c r="CB442" s="37">
        <v>0</v>
      </c>
      <c r="CC442" s="37">
        <v>100000</v>
      </c>
      <c r="CD442" s="37">
        <v>20000</v>
      </c>
      <c r="CE442" s="37">
        <v>0</v>
      </c>
      <c r="CF442" s="37">
        <v>0</v>
      </c>
      <c r="CG442" s="59">
        <v>920000</v>
      </c>
      <c r="CH442" s="37">
        <v>2500</v>
      </c>
      <c r="CI442" s="37">
        <v>1250</v>
      </c>
      <c r="CJ442" s="37">
        <v>800</v>
      </c>
      <c r="CK442" s="37">
        <v>100</v>
      </c>
      <c r="CL442" s="37">
        <v>0</v>
      </c>
      <c r="CM442" s="37">
        <v>0</v>
      </c>
      <c r="CN442" s="59">
        <v>4650</v>
      </c>
      <c r="CO442" s="59">
        <v>924650</v>
      </c>
      <c r="CP442" s="58"/>
      <c r="CQ442" s="3">
        <v>924650</v>
      </c>
    </row>
    <row r="443" spans="1:95" customFormat="1" x14ac:dyDescent="0.2">
      <c r="A443" s="209">
        <v>43378</v>
      </c>
      <c r="B443" s="33" t="s">
        <v>53</v>
      </c>
      <c r="C443" s="33" t="s">
        <v>84</v>
      </c>
      <c r="D443" s="43">
        <v>0</v>
      </c>
      <c r="E443" s="43">
        <v>1</v>
      </c>
      <c r="F443" s="43">
        <v>0</v>
      </c>
      <c r="G443" s="43">
        <v>0</v>
      </c>
      <c r="H443" s="43">
        <v>0</v>
      </c>
      <c r="I443" s="43">
        <v>0</v>
      </c>
      <c r="J443" s="43">
        <v>0</v>
      </c>
      <c r="K443" s="43">
        <v>0</v>
      </c>
      <c r="L443" s="43">
        <v>0</v>
      </c>
      <c r="M443" s="43">
        <v>0</v>
      </c>
      <c r="N443" s="43">
        <v>0</v>
      </c>
      <c r="O443" s="43">
        <v>0</v>
      </c>
      <c r="P443" s="47" t="s">
        <v>45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v>0</v>
      </c>
      <c r="AD443" s="37">
        <v>0</v>
      </c>
      <c r="AE443" s="37">
        <v>0</v>
      </c>
      <c r="AF443" s="37">
        <v>0</v>
      </c>
      <c r="AG443" s="59">
        <v>0</v>
      </c>
      <c r="AH443" s="37">
        <v>2500</v>
      </c>
      <c r="AI443" s="37">
        <v>0</v>
      </c>
      <c r="AJ443" s="37">
        <v>0</v>
      </c>
      <c r="AK443" s="37">
        <v>0</v>
      </c>
      <c r="AL443" s="37">
        <v>0</v>
      </c>
      <c r="AM443" s="37">
        <v>0</v>
      </c>
      <c r="AN443" s="37">
        <v>0</v>
      </c>
      <c r="AO443" s="37">
        <v>0</v>
      </c>
      <c r="AP443" s="37">
        <v>0</v>
      </c>
      <c r="AQ443" s="37">
        <v>0</v>
      </c>
      <c r="AR443" s="37">
        <v>0</v>
      </c>
      <c r="AS443" s="59">
        <v>2500</v>
      </c>
      <c r="AT443" s="59">
        <v>2500</v>
      </c>
      <c r="AU443" s="45"/>
      <c r="AV443" s="37">
        <v>0</v>
      </c>
      <c r="AW443" s="37">
        <v>0</v>
      </c>
      <c r="AX443" s="37">
        <v>0</v>
      </c>
      <c r="AY443" s="37">
        <v>0</v>
      </c>
      <c r="AZ443" s="37">
        <v>0</v>
      </c>
      <c r="BA443" s="37">
        <v>0</v>
      </c>
      <c r="BB443" s="37">
        <v>0</v>
      </c>
      <c r="BC443" s="37">
        <v>0</v>
      </c>
      <c r="BD443" s="37">
        <v>0</v>
      </c>
      <c r="BE443" s="37">
        <v>0</v>
      </c>
      <c r="BF443" s="37">
        <v>0</v>
      </c>
      <c r="BG443" s="37">
        <v>0</v>
      </c>
      <c r="BH443" s="37">
        <v>0</v>
      </c>
      <c r="BI443" s="37">
        <v>0</v>
      </c>
      <c r="BJ443" s="37">
        <v>0</v>
      </c>
      <c r="BK443" s="59">
        <v>0</v>
      </c>
      <c r="BL443" s="37">
        <v>0</v>
      </c>
      <c r="BM443" s="37">
        <v>0</v>
      </c>
      <c r="BN443" s="37">
        <v>0</v>
      </c>
      <c r="BO443" s="37">
        <v>0</v>
      </c>
      <c r="BP443" s="37">
        <v>0</v>
      </c>
      <c r="BQ443" s="37">
        <v>0</v>
      </c>
      <c r="BR443" s="37">
        <v>0</v>
      </c>
      <c r="BS443" s="37">
        <v>0</v>
      </c>
      <c r="BT443" s="37">
        <v>0</v>
      </c>
      <c r="BU443" s="37">
        <v>0</v>
      </c>
      <c r="BV443" s="37">
        <v>0</v>
      </c>
      <c r="BW443" s="59">
        <v>0</v>
      </c>
      <c r="BX443" s="59">
        <v>0</v>
      </c>
      <c r="BZ443" s="37">
        <v>0</v>
      </c>
      <c r="CA443" s="37">
        <v>0</v>
      </c>
      <c r="CB443" s="37">
        <v>0</v>
      </c>
      <c r="CC443" s="37">
        <v>0</v>
      </c>
      <c r="CD443" s="37">
        <v>0</v>
      </c>
      <c r="CE443" s="37">
        <v>0</v>
      </c>
      <c r="CF443" s="37">
        <v>0</v>
      </c>
      <c r="CG443" s="59">
        <v>0</v>
      </c>
      <c r="CH443" s="37">
        <v>2500</v>
      </c>
      <c r="CI443" s="37">
        <v>0</v>
      </c>
      <c r="CJ443" s="37">
        <v>0</v>
      </c>
      <c r="CK443" s="37">
        <v>0</v>
      </c>
      <c r="CL443" s="37">
        <v>0</v>
      </c>
      <c r="CM443" s="37">
        <v>0</v>
      </c>
      <c r="CN443" s="59">
        <v>2500</v>
      </c>
      <c r="CO443" s="59">
        <v>2500</v>
      </c>
      <c r="CP443" s="58"/>
      <c r="CQ443" s="3">
        <v>2500</v>
      </c>
    </row>
    <row r="444" spans="1:95" customFormat="1" x14ac:dyDescent="0.2">
      <c r="A444" s="209">
        <v>43378</v>
      </c>
      <c r="B444" s="33" t="s">
        <v>53</v>
      </c>
      <c r="C444" s="33" t="s">
        <v>54</v>
      </c>
      <c r="D444" s="43">
        <v>1</v>
      </c>
      <c r="E444" s="43">
        <v>0</v>
      </c>
      <c r="F444" s="43">
        <v>0</v>
      </c>
      <c r="G444" s="43">
        <v>0</v>
      </c>
      <c r="H444" s="43">
        <v>0</v>
      </c>
      <c r="I444" s="43">
        <v>0</v>
      </c>
      <c r="J444" s="43">
        <v>0</v>
      </c>
      <c r="K444" s="43">
        <v>0</v>
      </c>
      <c r="L444" s="43">
        <v>0</v>
      </c>
      <c r="M444" s="43">
        <v>0</v>
      </c>
      <c r="N444" s="43">
        <v>0</v>
      </c>
      <c r="O444" s="43">
        <v>0</v>
      </c>
      <c r="P444" s="47" t="s">
        <v>45</v>
      </c>
      <c r="R444" s="37">
        <v>0</v>
      </c>
      <c r="S444" s="37">
        <v>0</v>
      </c>
      <c r="T444" s="37">
        <v>800000</v>
      </c>
      <c r="U444" s="37">
        <v>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7">
        <v>0</v>
      </c>
      <c r="AB444" s="37">
        <v>0</v>
      </c>
      <c r="AC444" s="37">
        <v>0</v>
      </c>
      <c r="AD444" s="37">
        <v>0</v>
      </c>
      <c r="AE444" s="37">
        <v>0</v>
      </c>
      <c r="AF444" s="37">
        <v>0</v>
      </c>
      <c r="AG444" s="59">
        <v>800000</v>
      </c>
      <c r="AH444" s="37">
        <v>2500</v>
      </c>
      <c r="AI444" s="37">
        <v>0</v>
      </c>
      <c r="AJ444" s="37">
        <v>3125</v>
      </c>
      <c r="AK444" s="37">
        <v>0</v>
      </c>
      <c r="AL444" s="37">
        <v>0</v>
      </c>
      <c r="AM444" s="37">
        <v>0</v>
      </c>
      <c r="AN444" s="37">
        <v>0</v>
      </c>
      <c r="AO444" s="37">
        <v>0</v>
      </c>
      <c r="AP444" s="37">
        <v>100</v>
      </c>
      <c r="AQ444" s="37">
        <v>0</v>
      </c>
      <c r="AR444" s="37">
        <v>0</v>
      </c>
      <c r="AS444" s="59">
        <v>5725</v>
      </c>
      <c r="AT444" s="59">
        <v>805725</v>
      </c>
      <c r="AU444" s="45"/>
      <c r="AV444" s="37">
        <v>0</v>
      </c>
      <c r="AW444" s="37">
        <v>0</v>
      </c>
      <c r="AX444" s="37">
        <v>0</v>
      </c>
      <c r="AY444" s="37">
        <v>0</v>
      </c>
      <c r="AZ444" s="37">
        <v>0</v>
      </c>
      <c r="BA444" s="37">
        <v>0</v>
      </c>
      <c r="BB444" s="37">
        <v>0</v>
      </c>
      <c r="BC444" s="37">
        <v>0</v>
      </c>
      <c r="BD444" s="37">
        <v>0</v>
      </c>
      <c r="BE444" s="37">
        <v>0</v>
      </c>
      <c r="BF444" s="37">
        <v>0</v>
      </c>
      <c r="BG444" s="37">
        <v>0</v>
      </c>
      <c r="BH444" s="37">
        <v>0</v>
      </c>
      <c r="BI444" s="37">
        <v>0</v>
      </c>
      <c r="BJ444" s="37">
        <v>0</v>
      </c>
      <c r="BK444" s="59">
        <v>0</v>
      </c>
      <c r="BL444" s="37">
        <v>0</v>
      </c>
      <c r="BM444" s="37">
        <v>0</v>
      </c>
      <c r="BN444" s="37">
        <v>0</v>
      </c>
      <c r="BO444" s="37">
        <v>0</v>
      </c>
      <c r="BP444" s="37">
        <v>0</v>
      </c>
      <c r="BQ444" s="37">
        <v>0</v>
      </c>
      <c r="BR444" s="37">
        <v>0</v>
      </c>
      <c r="BS444" s="37">
        <v>0</v>
      </c>
      <c r="BT444" s="37">
        <v>0</v>
      </c>
      <c r="BU444" s="37">
        <v>0</v>
      </c>
      <c r="BV444" s="37">
        <v>0</v>
      </c>
      <c r="BW444" s="59">
        <v>0</v>
      </c>
      <c r="BX444" s="59">
        <v>0</v>
      </c>
      <c r="BZ444" s="37">
        <v>800000</v>
      </c>
      <c r="CA444" s="37">
        <v>0</v>
      </c>
      <c r="CB444" s="37">
        <v>0</v>
      </c>
      <c r="CC444" s="37">
        <v>0</v>
      </c>
      <c r="CD444" s="37">
        <v>0</v>
      </c>
      <c r="CE444" s="37">
        <v>0</v>
      </c>
      <c r="CF444" s="37">
        <v>0</v>
      </c>
      <c r="CG444" s="59">
        <v>800000</v>
      </c>
      <c r="CH444" s="37">
        <v>2500</v>
      </c>
      <c r="CI444" s="37">
        <v>3125</v>
      </c>
      <c r="CJ444" s="37">
        <v>0</v>
      </c>
      <c r="CK444" s="37">
        <v>100</v>
      </c>
      <c r="CL444" s="37">
        <v>0</v>
      </c>
      <c r="CM444" s="37">
        <v>0</v>
      </c>
      <c r="CN444" s="59">
        <v>5725</v>
      </c>
      <c r="CO444" s="59">
        <v>805725</v>
      </c>
      <c r="CP444" s="58"/>
      <c r="CQ444" s="3">
        <v>805725</v>
      </c>
    </row>
    <row r="445" spans="1:95" customFormat="1" x14ac:dyDescent="0.2">
      <c r="A445" s="209">
        <v>43381</v>
      </c>
      <c r="B445" s="33" t="s">
        <v>55</v>
      </c>
      <c r="C445" s="33" t="s">
        <v>56</v>
      </c>
      <c r="D445" s="43">
        <v>0</v>
      </c>
      <c r="E445" s="43">
        <v>0</v>
      </c>
      <c r="F445" s="43">
        <v>0</v>
      </c>
      <c r="G445" s="43">
        <v>0</v>
      </c>
      <c r="H445" s="43">
        <v>0</v>
      </c>
      <c r="I445" s="43">
        <v>0</v>
      </c>
      <c r="J445" s="43">
        <v>0</v>
      </c>
      <c r="K445" s="43">
        <v>0</v>
      </c>
      <c r="L445" s="43">
        <v>0</v>
      </c>
      <c r="M445" s="43">
        <v>0</v>
      </c>
      <c r="N445" s="43">
        <v>0</v>
      </c>
      <c r="O445" s="43">
        <v>0</v>
      </c>
      <c r="P445" s="47">
        <v>0</v>
      </c>
      <c r="R445" s="37">
        <v>0</v>
      </c>
      <c r="S445" s="37">
        <v>0</v>
      </c>
      <c r="T445" s="37">
        <v>4000</v>
      </c>
      <c r="U445" s="37">
        <v>0</v>
      </c>
      <c r="V445" s="37">
        <v>2000</v>
      </c>
      <c r="W445" s="37">
        <v>0</v>
      </c>
      <c r="X445" s="37">
        <v>800</v>
      </c>
      <c r="Y445" s="37">
        <v>0</v>
      </c>
      <c r="Z445" s="37">
        <v>400</v>
      </c>
      <c r="AA445" s="37">
        <v>0</v>
      </c>
      <c r="AB445" s="37">
        <v>200</v>
      </c>
      <c r="AC445" s="37">
        <v>0</v>
      </c>
      <c r="AD445" s="37">
        <v>80</v>
      </c>
      <c r="AE445" s="37">
        <v>0</v>
      </c>
      <c r="AF445" s="37">
        <v>0</v>
      </c>
      <c r="AG445" s="59">
        <v>7480</v>
      </c>
      <c r="AH445" s="37">
        <v>0</v>
      </c>
      <c r="AI445" s="37">
        <v>0</v>
      </c>
      <c r="AJ445" s="37">
        <v>0</v>
      </c>
      <c r="AK445" s="37">
        <v>0</v>
      </c>
      <c r="AL445" s="37">
        <v>0</v>
      </c>
      <c r="AM445" s="37">
        <v>0</v>
      </c>
      <c r="AN445" s="37">
        <v>0</v>
      </c>
      <c r="AO445" s="37">
        <v>0</v>
      </c>
      <c r="AP445" s="37">
        <v>0</v>
      </c>
      <c r="AQ445" s="37">
        <v>0</v>
      </c>
      <c r="AR445" s="37">
        <v>0</v>
      </c>
      <c r="AS445" s="59">
        <v>0</v>
      </c>
      <c r="AT445" s="59">
        <v>7480</v>
      </c>
      <c r="AU445" s="45"/>
      <c r="AV445" s="37">
        <v>0</v>
      </c>
      <c r="AW445" s="37">
        <v>0</v>
      </c>
      <c r="AX445" s="37">
        <v>0</v>
      </c>
      <c r="AY445" s="37">
        <v>0</v>
      </c>
      <c r="AZ445" s="37">
        <v>0</v>
      </c>
      <c r="BA445" s="37">
        <v>0</v>
      </c>
      <c r="BB445" s="37">
        <v>0</v>
      </c>
      <c r="BC445" s="37">
        <v>0</v>
      </c>
      <c r="BD445" s="37">
        <v>0</v>
      </c>
      <c r="BE445" s="37">
        <v>0</v>
      </c>
      <c r="BF445" s="37">
        <v>0</v>
      </c>
      <c r="BG445" s="37">
        <v>0</v>
      </c>
      <c r="BH445" s="37">
        <v>0</v>
      </c>
      <c r="BI445" s="37">
        <v>0</v>
      </c>
      <c r="BJ445" s="37">
        <v>0</v>
      </c>
      <c r="BK445" s="59">
        <v>0</v>
      </c>
      <c r="BL445" s="37">
        <v>0</v>
      </c>
      <c r="BM445" s="37">
        <v>0</v>
      </c>
      <c r="BN445" s="37">
        <v>0</v>
      </c>
      <c r="BO445" s="37">
        <v>0</v>
      </c>
      <c r="BP445" s="37">
        <v>0</v>
      </c>
      <c r="BQ445" s="37">
        <v>0</v>
      </c>
      <c r="BR445" s="37">
        <v>0</v>
      </c>
      <c r="BS445" s="37">
        <v>0</v>
      </c>
      <c r="BT445" s="37">
        <v>0</v>
      </c>
      <c r="BU445" s="37">
        <v>0</v>
      </c>
      <c r="BV445" s="37">
        <v>0</v>
      </c>
      <c r="BW445" s="59">
        <v>0</v>
      </c>
      <c r="BX445" s="59">
        <v>0</v>
      </c>
      <c r="BZ445" s="37">
        <v>4000</v>
      </c>
      <c r="CA445" s="37">
        <v>2000</v>
      </c>
      <c r="CB445" s="37">
        <v>800</v>
      </c>
      <c r="CC445" s="37">
        <v>400</v>
      </c>
      <c r="CD445" s="37">
        <v>200</v>
      </c>
      <c r="CE445" s="37">
        <v>80</v>
      </c>
      <c r="CF445" s="37">
        <v>0</v>
      </c>
      <c r="CG445" s="59">
        <v>7480</v>
      </c>
      <c r="CH445" s="37">
        <v>0</v>
      </c>
      <c r="CI445" s="37">
        <v>0</v>
      </c>
      <c r="CJ445" s="37">
        <v>0</v>
      </c>
      <c r="CK445" s="37">
        <v>0</v>
      </c>
      <c r="CL445" s="37">
        <v>0</v>
      </c>
      <c r="CM445" s="37">
        <v>0</v>
      </c>
      <c r="CN445" s="59">
        <v>0</v>
      </c>
      <c r="CO445" s="59">
        <v>7480</v>
      </c>
      <c r="CP445" s="58"/>
      <c r="CQ445" s="3">
        <v>7480</v>
      </c>
    </row>
    <row r="446" spans="1:95" customFormat="1" x14ac:dyDescent="0.2">
      <c r="A446" s="209">
        <v>43382</v>
      </c>
      <c r="B446" s="33" t="s">
        <v>55</v>
      </c>
      <c r="C446" s="33" t="s">
        <v>56</v>
      </c>
      <c r="D446" s="43">
        <v>0</v>
      </c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0</v>
      </c>
      <c r="M446" s="43">
        <v>0</v>
      </c>
      <c r="N446" s="43">
        <v>0</v>
      </c>
      <c r="O446" s="43">
        <v>0</v>
      </c>
      <c r="P446" s="47">
        <v>0</v>
      </c>
      <c r="R446" s="37">
        <v>0</v>
      </c>
      <c r="S446" s="37">
        <v>0</v>
      </c>
      <c r="T446" s="37">
        <v>4000</v>
      </c>
      <c r="U446" s="37">
        <v>0</v>
      </c>
      <c r="V446" s="37">
        <v>2000</v>
      </c>
      <c r="W446" s="37">
        <v>0</v>
      </c>
      <c r="X446" s="37">
        <v>800</v>
      </c>
      <c r="Y446" s="37">
        <v>0</v>
      </c>
      <c r="Z446" s="37">
        <v>400</v>
      </c>
      <c r="AA446" s="37">
        <v>0</v>
      </c>
      <c r="AB446" s="37">
        <v>200</v>
      </c>
      <c r="AC446" s="37">
        <v>0</v>
      </c>
      <c r="AD446" s="37">
        <v>80</v>
      </c>
      <c r="AE446" s="37">
        <v>0</v>
      </c>
      <c r="AF446" s="37">
        <v>0</v>
      </c>
      <c r="AG446" s="59">
        <v>7480</v>
      </c>
      <c r="AH446" s="37">
        <v>0</v>
      </c>
      <c r="AI446" s="37">
        <v>0</v>
      </c>
      <c r="AJ446" s="37">
        <v>0</v>
      </c>
      <c r="AK446" s="37">
        <v>0</v>
      </c>
      <c r="AL446" s="37">
        <v>5</v>
      </c>
      <c r="AM446" s="37">
        <v>0</v>
      </c>
      <c r="AN446" s="37">
        <v>4</v>
      </c>
      <c r="AO446" s="37">
        <v>0</v>
      </c>
      <c r="AP446" s="37">
        <v>2</v>
      </c>
      <c r="AQ446" s="37">
        <v>0</v>
      </c>
      <c r="AR446" s="37">
        <v>0</v>
      </c>
      <c r="AS446" s="59">
        <v>11</v>
      </c>
      <c r="AT446" s="59">
        <v>7491</v>
      </c>
      <c r="AU446" s="45"/>
      <c r="AV446" s="37">
        <v>0</v>
      </c>
      <c r="AW446" s="37">
        <v>0</v>
      </c>
      <c r="AX446" s="37">
        <v>0</v>
      </c>
      <c r="AY446" s="37">
        <v>0</v>
      </c>
      <c r="AZ446" s="37">
        <v>0</v>
      </c>
      <c r="BA446" s="37">
        <v>0</v>
      </c>
      <c r="BB446" s="37">
        <v>0</v>
      </c>
      <c r="BC446" s="37">
        <v>0</v>
      </c>
      <c r="BD446" s="37">
        <v>0</v>
      </c>
      <c r="BE446" s="37">
        <v>0</v>
      </c>
      <c r="BF446" s="37">
        <v>0</v>
      </c>
      <c r="BG446" s="37">
        <v>0</v>
      </c>
      <c r="BH446" s="37">
        <v>0</v>
      </c>
      <c r="BI446" s="37">
        <v>0</v>
      </c>
      <c r="BJ446" s="37">
        <v>0</v>
      </c>
      <c r="BK446" s="59">
        <v>0</v>
      </c>
      <c r="BL446" s="37">
        <v>0</v>
      </c>
      <c r="BM446" s="37">
        <v>0</v>
      </c>
      <c r="BN446" s="37">
        <v>0</v>
      </c>
      <c r="BO446" s="37">
        <v>0</v>
      </c>
      <c r="BP446" s="37">
        <v>0</v>
      </c>
      <c r="BQ446" s="37">
        <v>0</v>
      </c>
      <c r="BR446" s="37">
        <v>0</v>
      </c>
      <c r="BS446" s="37">
        <v>0</v>
      </c>
      <c r="BT446" s="37">
        <v>0</v>
      </c>
      <c r="BU446" s="37">
        <v>0</v>
      </c>
      <c r="BV446" s="37">
        <v>0</v>
      </c>
      <c r="BW446" s="59">
        <v>0</v>
      </c>
      <c r="BX446" s="59">
        <v>0</v>
      </c>
      <c r="BZ446" s="37">
        <v>4000</v>
      </c>
      <c r="CA446" s="37">
        <v>2000</v>
      </c>
      <c r="CB446" s="37">
        <v>800</v>
      </c>
      <c r="CC446" s="37">
        <v>400</v>
      </c>
      <c r="CD446" s="37">
        <v>200</v>
      </c>
      <c r="CE446" s="37">
        <v>80</v>
      </c>
      <c r="CF446" s="37">
        <v>0</v>
      </c>
      <c r="CG446" s="59">
        <v>7480</v>
      </c>
      <c r="CH446" s="37">
        <v>0</v>
      </c>
      <c r="CI446" s="37">
        <v>5</v>
      </c>
      <c r="CJ446" s="37">
        <v>4</v>
      </c>
      <c r="CK446" s="37">
        <v>2</v>
      </c>
      <c r="CL446" s="37">
        <v>0</v>
      </c>
      <c r="CM446" s="37">
        <v>0</v>
      </c>
      <c r="CN446" s="59">
        <v>11</v>
      </c>
      <c r="CO446" s="59">
        <v>7491</v>
      </c>
      <c r="CP446" s="58"/>
      <c r="CQ446" s="3">
        <v>7491</v>
      </c>
    </row>
    <row r="447" spans="1:95" customFormat="1" x14ac:dyDescent="0.2">
      <c r="A447" s="209">
        <v>43382</v>
      </c>
      <c r="B447" s="33" t="s">
        <v>53</v>
      </c>
      <c r="C447" s="33" t="s">
        <v>54</v>
      </c>
      <c r="D447" s="43">
        <v>1</v>
      </c>
      <c r="E447" s="43">
        <v>0</v>
      </c>
      <c r="F447" s="43">
        <v>0</v>
      </c>
      <c r="G447" s="43">
        <v>0</v>
      </c>
      <c r="H447" s="43">
        <v>0</v>
      </c>
      <c r="I447" s="43">
        <v>0</v>
      </c>
      <c r="J447" s="43">
        <v>0</v>
      </c>
      <c r="K447" s="43">
        <v>0</v>
      </c>
      <c r="L447" s="43"/>
      <c r="M447" s="43"/>
      <c r="N447" s="43">
        <v>0</v>
      </c>
      <c r="O447" s="43">
        <v>0</v>
      </c>
      <c r="P447" s="47" t="s">
        <v>45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59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100</v>
      </c>
      <c r="AQ447" s="37">
        <v>0</v>
      </c>
      <c r="AR447" s="37">
        <v>0</v>
      </c>
      <c r="AS447" s="59">
        <v>100</v>
      </c>
      <c r="AT447" s="59">
        <v>100</v>
      </c>
      <c r="AU447" s="45"/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>
        <v>0</v>
      </c>
      <c r="BB447" s="37">
        <v>0</v>
      </c>
      <c r="BC447" s="37">
        <v>0</v>
      </c>
      <c r="BD447" s="37">
        <v>0</v>
      </c>
      <c r="BE447" s="37">
        <v>0</v>
      </c>
      <c r="BF447" s="37">
        <v>0</v>
      </c>
      <c r="BG447" s="37">
        <v>0</v>
      </c>
      <c r="BH447" s="37">
        <v>0</v>
      </c>
      <c r="BI447" s="37">
        <v>0</v>
      </c>
      <c r="BJ447" s="37">
        <v>0</v>
      </c>
      <c r="BK447" s="59">
        <v>0</v>
      </c>
      <c r="BL447" s="37">
        <v>0</v>
      </c>
      <c r="BM447" s="37">
        <v>0</v>
      </c>
      <c r="BN447" s="37">
        <v>0</v>
      </c>
      <c r="BO447" s="37">
        <v>0</v>
      </c>
      <c r="BP447" s="37">
        <v>0</v>
      </c>
      <c r="BQ447" s="37">
        <v>0</v>
      </c>
      <c r="BR447" s="37">
        <v>0</v>
      </c>
      <c r="BS447" s="37">
        <v>0</v>
      </c>
      <c r="BT447" s="37">
        <v>0</v>
      </c>
      <c r="BU447" s="37">
        <v>0</v>
      </c>
      <c r="BV447" s="37">
        <v>0</v>
      </c>
      <c r="BW447" s="59">
        <v>0</v>
      </c>
      <c r="BX447" s="59">
        <v>0</v>
      </c>
      <c r="BZ447" s="37">
        <v>0</v>
      </c>
      <c r="CA447" s="37">
        <v>0</v>
      </c>
      <c r="CB447" s="37">
        <v>0</v>
      </c>
      <c r="CC447" s="37">
        <v>0</v>
      </c>
      <c r="CD447" s="37">
        <v>0</v>
      </c>
      <c r="CE447" s="37">
        <v>0</v>
      </c>
      <c r="CF447" s="37">
        <v>0</v>
      </c>
      <c r="CG447" s="59">
        <v>0</v>
      </c>
      <c r="CH447" s="37">
        <v>0</v>
      </c>
      <c r="CI447" s="37">
        <v>0</v>
      </c>
      <c r="CJ447" s="37">
        <v>0</v>
      </c>
      <c r="CK447" s="37">
        <v>100</v>
      </c>
      <c r="CL447" s="37">
        <v>0</v>
      </c>
      <c r="CM447" s="37">
        <v>0</v>
      </c>
      <c r="CN447" s="59">
        <v>100</v>
      </c>
      <c r="CO447" s="59">
        <v>100</v>
      </c>
      <c r="CP447" s="58"/>
      <c r="CQ447" s="3">
        <v>100</v>
      </c>
    </row>
    <row r="448" spans="1:95" customFormat="1" x14ac:dyDescent="0.2">
      <c r="A448" s="209">
        <v>43383</v>
      </c>
      <c r="B448" s="33" t="s">
        <v>55</v>
      </c>
      <c r="C448" s="33" t="s">
        <v>56</v>
      </c>
      <c r="D448" s="43">
        <v>0</v>
      </c>
      <c r="E448" s="43">
        <v>0</v>
      </c>
      <c r="F448" s="43">
        <v>0</v>
      </c>
      <c r="G448" s="43">
        <v>0</v>
      </c>
      <c r="H448" s="43">
        <v>0</v>
      </c>
      <c r="I448" s="43">
        <v>0</v>
      </c>
      <c r="J448" s="43">
        <v>0</v>
      </c>
      <c r="K448" s="43">
        <v>0</v>
      </c>
      <c r="L448" s="43">
        <v>0</v>
      </c>
      <c r="M448" s="43">
        <v>0</v>
      </c>
      <c r="N448" s="43">
        <v>0</v>
      </c>
      <c r="O448" s="43">
        <v>0</v>
      </c>
      <c r="P448" s="47">
        <v>0</v>
      </c>
      <c r="R448" s="37">
        <v>0</v>
      </c>
      <c r="S448" s="37">
        <v>0</v>
      </c>
      <c r="T448" s="37">
        <v>4000</v>
      </c>
      <c r="U448" s="37">
        <v>0</v>
      </c>
      <c r="V448" s="37">
        <v>2000</v>
      </c>
      <c r="W448" s="37">
        <v>0</v>
      </c>
      <c r="X448" s="37">
        <v>800</v>
      </c>
      <c r="Y448" s="37">
        <v>0</v>
      </c>
      <c r="Z448" s="37">
        <v>400</v>
      </c>
      <c r="AA448" s="37">
        <v>0</v>
      </c>
      <c r="AB448" s="37">
        <v>200</v>
      </c>
      <c r="AC448" s="37">
        <v>0</v>
      </c>
      <c r="AD448" s="37">
        <v>80</v>
      </c>
      <c r="AE448" s="37">
        <v>0</v>
      </c>
      <c r="AF448" s="37">
        <v>0</v>
      </c>
      <c r="AG448" s="59">
        <v>7480</v>
      </c>
      <c r="AH448" s="37">
        <v>0</v>
      </c>
      <c r="AI448" s="37">
        <v>0</v>
      </c>
      <c r="AJ448" s="37">
        <v>0</v>
      </c>
      <c r="AK448" s="37">
        <v>0</v>
      </c>
      <c r="AL448" s="37">
        <v>0</v>
      </c>
      <c r="AM448" s="37">
        <v>0</v>
      </c>
      <c r="AN448" s="37">
        <v>0</v>
      </c>
      <c r="AO448" s="37">
        <v>0</v>
      </c>
      <c r="AP448" s="37">
        <v>0</v>
      </c>
      <c r="AQ448" s="37">
        <v>0</v>
      </c>
      <c r="AR448" s="37">
        <v>0</v>
      </c>
      <c r="AS448" s="59">
        <v>0</v>
      </c>
      <c r="AT448" s="59">
        <v>7480</v>
      </c>
      <c r="AU448" s="45"/>
      <c r="AV448" s="37">
        <v>0</v>
      </c>
      <c r="AW448" s="37">
        <v>0</v>
      </c>
      <c r="AX448" s="37">
        <v>0</v>
      </c>
      <c r="AY448" s="37">
        <v>0</v>
      </c>
      <c r="AZ448" s="37">
        <v>0</v>
      </c>
      <c r="BA448" s="37">
        <v>0</v>
      </c>
      <c r="BB448" s="37">
        <v>0</v>
      </c>
      <c r="BC448" s="37">
        <v>0</v>
      </c>
      <c r="BD448" s="37">
        <v>0</v>
      </c>
      <c r="BE448" s="37">
        <v>0</v>
      </c>
      <c r="BF448" s="37">
        <v>0</v>
      </c>
      <c r="BG448" s="37">
        <v>0</v>
      </c>
      <c r="BH448" s="37">
        <v>0</v>
      </c>
      <c r="BI448" s="37">
        <v>0</v>
      </c>
      <c r="BJ448" s="37">
        <v>0</v>
      </c>
      <c r="BK448" s="59">
        <v>0</v>
      </c>
      <c r="BL448" s="37">
        <v>0</v>
      </c>
      <c r="BM448" s="37">
        <v>0</v>
      </c>
      <c r="BN448" s="37">
        <v>0</v>
      </c>
      <c r="BO448" s="37">
        <v>0</v>
      </c>
      <c r="BP448" s="37">
        <v>0</v>
      </c>
      <c r="BQ448" s="37">
        <v>0</v>
      </c>
      <c r="BR448" s="37">
        <v>0</v>
      </c>
      <c r="BS448" s="37">
        <v>0</v>
      </c>
      <c r="BT448" s="37">
        <v>0</v>
      </c>
      <c r="BU448" s="37">
        <v>0</v>
      </c>
      <c r="BV448" s="37">
        <v>0</v>
      </c>
      <c r="BW448" s="59">
        <v>0</v>
      </c>
      <c r="BX448" s="59">
        <v>0</v>
      </c>
      <c r="BZ448" s="37">
        <v>4000</v>
      </c>
      <c r="CA448" s="37">
        <v>2000</v>
      </c>
      <c r="CB448" s="37">
        <v>800</v>
      </c>
      <c r="CC448" s="37">
        <v>400</v>
      </c>
      <c r="CD448" s="37">
        <v>200</v>
      </c>
      <c r="CE448" s="37">
        <v>80</v>
      </c>
      <c r="CF448" s="37">
        <v>0</v>
      </c>
      <c r="CG448" s="59">
        <v>7480</v>
      </c>
      <c r="CH448" s="37">
        <v>0</v>
      </c>
      <c r="CI448" s="37">
        <v>0</v>
      </c>
      <c r="CJ448" s="37">
        <v>0</v>
      </c>
      <c r="CK448" s="37">
        <v>0</v>
      </c>
      <c r="CL448" s="37">
        <v>0</v>
      </c>
      <c r="CM448" s="37">
        <v>0</v>
      </c>
      <c r="CN448" s="59">
        <v>0</v>
      </c>
      <c r="CO448" s="59">
        <v>7480</v>
      </c>
      <c r="CP448" s="58"/>
      <c r="CQ448" s="3">
        <v>7480</v>
      </c>
    </row>
    <row r="449" spans="1:95" customFormat="1" x14ac:dyDescent="0.2">
      <c r="A449" s="209">
        <v>43383</v>
      </c>
      <c r="B449" s="33" t="s">
        <v>53</v>
      </c>
      <c r="C449" s="33" t="s">
        <v>54</v>
      </c>
      <c r="D449" s="43">
        <v>1</v>
      </c>
      <c r="E449" s="43">
        <v>0</v>
      </c>
      <c r="F449" s="43">
        <v>0</v>
      </c>
      <c r="G449" s="43">
        <v>0</v>
      </c>
      <c r="H449" s="43">
        <v>0</v>
      </c>
      <c r="I449" s="43">
        <v>0</v>
      </c>
      <c r="J449" s="43">
        <v>0</v>
      </c>
      <c r="K449" s="43">
        <v>0</v>
      </c>
      <c r="L449" s="43">
        <v>0</v>
      </c>
      <c r="M449" s="43">
        <v>0</v>
      </c>
      <c r="N449" s="43">
        <v>0</v>
      </c>
      <c r="O449" s="43">
        <v>0</v>
      </c>
      <c r="P449" s="47" t="s">
        <v>45</v>
      </c>
      <c r="R449" s="37">
        <v>0</v>
      </c>
      <c r="S449" s="37">
        <v>1200000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v>0</v>
      </c>
      <c r="AD449" s="37">
        <v>0</v>
      </c>
      <c r="AE449" s="37">
        <v>0</v>
      </c>
      <c r="AF449" s="37">
        <v>0</v>
      </c>
      <c r="AG449" s="59">
        <v>1200000</v>
      </c>
      <c r="AH449" s="37">
        <v>0</v>
      </c>
      <c r="AI449" s="37">
        <v>0</v>
      </c>
      <c r="AJ449" s="37">
        <v>0</v>
      </c>
      <c r="AK449" s="37">
        <v>0</v>
      </c>
      <c r="AL449" s="37">
        <v>0</v>
      </c>
      <c r="AM449" s="37">
        <v>0</v>
      </c>
      <c r="AN449" s="37">
        <v>0</v>
      </c>
      <c r="AO449" s="37">
        <v>0</v>
      </c>
      <c r="AP449" s="37">
        <v>0</v>
      </c>
      <c r="AQ449" s="37">
        <v>0</v>
      </c>
      <c r="AR449" s="37">
        <v>0</v>
      </c>
      <c r="AS449" s="59">
        <v>0</v>
      </c>
      <c r="AT449" s="59">
        <v>1200000</v>
      </c>
      <c r="AU449" s="45"/>
      <c r="AV449" s="37">
        <v>0</v>
      </c>
      <c r="AW449" s="37">
        <v>0</v>
      </c>
      <c r="AX449" s="37">
        <v>0</v>
      </c>
      <c r="AY449" s="37">
        <v>0</v>
      </c>
      <c r="AZ449" s="37">
        <v>0</v>
      </c>
      <c r="BA449" s="37">
        <v>0</v>
      </c>
      <c r="BB449" s="37">
        <v>0</v>
      </c>
      <c r="BC449" s="37">
        <v>0</v>
      </c>
      <c r="BD449" s="37">
        <v>0</v>
      </c>
      <c r="BE449" s="37">
        <v>0</v>
      </c>
      <c r="BF449" s="37">
        <v>0</v>
      </c>
      <c r="BG449" s="37">
        <v>0</v>
      </c>
      <c r="BH449" s="37">
        <v>0</v>
      </c>
      <c r="BI449" s="37">
        <v>0</v>
      </c>
      <c r="BJ449" s="37">
        <v>0</v>
      </c>
      <c r="BK449" s="59">
        <v>0</v>
      </c>
      <c r="BL449" s="37">
        <v>0</v>
      </c>
      <c r="BM449" s="37">
        <v>0</v>
      </c>
      <c r="BN449" s="37">
        <v>0</v>
      </c>
      <c r="BO449" s="37">
        <v>0</v>
      </c>
      <c r="BP449" s="37">
        <v>0</v>
      </c>
      <c r="BQ449" s="37">
        <v>0</v>
      </c>
      <c r="BR449" s="37">
        <v>0</v>
      </c>
      <c r="BS449" s="37">
        <v>0</v>
      </c>
      <c r="BT449" s="37">
        <v>0</v>
      </c>
      <c r="BU449" s="37">
        <v>0</v>
      </c>
      <c r="BV449" s="37">
        <v>0</v>
      </c>
      <c r="BW449" s="59">
        <v>0</v>
      </c>
      <c r="BX449" s="59">
        <v>0</v>
      </c>
      <c r="BZ449" s="37">
        <v>1200000</v>
      </c>
      <c r="CA449" s="37">
        <v>0</v>
      </c>
      <c r="CB449" s="37">
        <v>0</v>
      </c>
      <c r="CC449" s="37">
        <v>0</v>
      </c>
      <c r="CD449" s="37">
        <v>0</v>
      </c>
      <c r="CE449" s="37">
        <v>0</v>
      </c>
      <c r="CF449" s="37">
        <v>0</v>
      </c>
      <c r="CG449" s="59">
        <v>1200000</v>
      </c>
      <c r="CH449" s="37">
        <v>0</v>
      </c>
      <c r="CI449" s="37">
        <v>0</v>
      </c>
      <c r="CJ449" s="37">
        <v>0</v>
      </c>
      <c r="CK449" s="37">
        <v>0</v>
      </c>
      <c r="CL449" s="37">
        <v>0</v>
      </c>
      <c r="CM449" s="37">
        <v>0</v>
      </c>
      <c r="CN449" s="59">
        <v>0</v>
      </c>
      <c r="CO449" s="59">
        <v>1200000</v>
      </c>
      <c r="CP449" s="58"/>
      <c r="CQ449" s="3">
        <v>1200000</v>
      </c>
    </row>
    <row r="450" spans="1:95" customFormat="1" x14ac:dyDescent="0.2">
      <c r="A450" s="209">
        <v>43384</v>
      </c>
      <c r="B450" s="33" t="s">
        <v>55</v>
      </c>
      <c r="C450" s="33" t="s">
        <v>56</v>
      </c>
      <c r="D450" s="43">
        <v>0</v>
      </c>
      <c r="E450" s="43">
        <v>0</v>
      </c>
      <c r="F450" s="43">
        <v>0</v>
      </c>
      <c r="G450" s="43">
        <v>0</v>
      </c>
      <c r="H450" s="43">
        <v>0</v>
      </c>
      <c r="I450" s="43">
        <v>0</v>
      </c>
      <c r="J450" s="43">
        <v>0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  <c r="P450" s="47">
        <v>0</v>
      </c>
      <c r="R450" s="37">
        <v>0</v>
      </c>
      <c r="S450" s="37">
        <v>0</v>
      </c>
      <c r="T450" s="37">
        <v>4000</v>
      </c>
      <c r="U450" s="37">
        <v>0</v>
      </c>
      <c r="V450" s="37">
        <v>2000</v>
      </c>
      <c r="W450" s="37">
        <v>0</v>
      </c>
      <c r="X450" s="37">
        <v>800</v>
      </c>
      <c r="Y450" s="37">
        <v>0</v>
      </c>
      <c r="Z450" s="37">
        <v>400</v>
      </c>
      <c r="AA450" s="37">
        <v>0</v>
      </c>
      <c r="AB450" s="37">
        <v>200</v>
      </c>
      <c r="AC450" s="37">
        <v>0</v>
      </c>
      <c r="AD450" s="37">
        <v>80</v>
      </c>
      <c r="AE450" s="37">
        <v>0</v>
      </c>
      <c r="AF450" s="37">
        <v>0</v>
      </c>
      <c r="AG450" s="59">
        <v>7480</v>
      </c>
      <c r="AH450" s="37">
        <v>0</v>
      </c>
      <c r="AI450" s="37">
        <v>0</v>
      </c>
      <c r="AJ450" s="37">
        <v>0</v>
      </c>
      <c r="AK450" s="37">
        <v>0</v>
      </c>
      <c r="AL450" s="37">
        <v>5</v>
      </c>
      <c r="AM450" s="37">
        <v>0</v>
      </c>
      <c r="AN450" s="37">
        <v>4</v>
      </c>
      <c r="AO450" s="37">
        <v>0</v>
      </c>
      <c r="AP450" s="37">
        <v>2</v>
      </c>
      <c r="AQ450" s="37">
        <v>0</v>
      </c>
      <c r="AR450" s="37">
        <v>0</v>
      </c>
      <c r="AS450" s="59">
        <v>11</v>
      </c>
      <c r="AT450" s="59">
        <v>7491</v>
      </c>
      <c r="AU450" s="45"/>
      <c r="AV450" s="37">
        <v>0</v>
      </c>
      <c r="AW450" s="37">
        <v>0</v>
      </c>
      <c r="AX450" s="37">
        <v>0</v>
      </c>
      <c r="AY450" s="37">
        <v>0</v>
      </c>
      <c r="AZ450" s="37">
        <v>0</v>
      </c>
      <c r="BA450" s="37">
        <v>0</v>
      </c>
      <c r="BB450" s="37">
        <v>0</v>
      </c>
      <c r="BC450" s="37">
        <v>0</v>
      </c>
      <c r="BD450" s="37">
        <v>0</v>
      </c>
      <c r="BE450" s="37">
        <v>0</v>
      </c>
      <c r="BF450" s="37">
        <v>0</v>
      </c>
      <c r="BG450" s="37">
        <v>0</v>
      </c>
      <c r="BH450" s="37">
        <v>0</v>
      </c>
      <c r="BI450" s="37">
        <v>0</v>
      </c>
      <c r="BJ450" s="37">
        <v>0</v>
      </c>
      <c r="BK450" s="59">
        <v>0</v>
      </c>
      <c r="BL450" s="37">
        <v>0</v>
      </c>
      <c r="BM450" s="37">
        <v>0</v>
      </c>
      <c r="BN450" s="37">
        <v>0</v>
      </c>
      <c r="BO450" s="37">
        <v>0</v>
      </c>
      <c r="BP450" s="37">
        <v>0</v>
      </c>
      <c r="BQ450" s="37">
        <v>0</v>
      </c>
      <c r="BR450" s="37">
        <v>0</v>
      </c>
      <c r="BS450" s="37">
        <v>0</v>
      </c>
      <c r="BT450" s="37">
        <v>0</v>
      </c>
      <c r="BU450" s="37">
        <v>0</v>
      </c>
      <c r="BV450" s="37">
        <v>0</v>
      </c>
      <c r="BW450" s="59">
        <v>0</v>
      </c>
      <c r="BX450" s="59">
        <v>0</v>
      </c>
      <c r="BZ450" s="37">
        <v>4000</v>
      </c>
      <c r="CA450" s="37">
        <v>2000</v>
      </c>
      <c r="CB450" s="37">
        <v>800</v>
      </c>
      <c r="CC450" s="37">
        <v>400</v>
      </c>
      <c r="CD450" s="37">
        <v>200</v>
      </c>
      <c r="CE450" s="37">
        <v>80</v>
      </c>
      <c r="CF450" s="37">
        <v>0</v>
      </c>
      <c r="CG450" s="59">
        <v>7480</v>
      </c>
      <c r="CH450" s="37">
        <v>0</v>
      </c>
      <c r="CI450" s="37">
        <v>5</v>
      </c>
      <c r="CJ450" s="37">
        <v>4</v>
      </c>
      <c r="CK450" s="37">
        <v>2</v>
      </c>
      <c r="CL450" s="37">
        <v>0</v>
      </c>
      <c r="CM450" s="37">
        <v>0</v>
      </c>
      <c r="CN450" s="59">
        <v>11</v>
      </c>
      <c r="CO450" s="59">
        <v>7491</v>
      </c>
      <c r="CP450" s="58"/>
      <c r="CQ450" s="3">
        <v>7491</v>
      </c>
    </row>
    <row r="451" spans="1:95" customFormat="1" x14ac:dyDescent="0.2">
      <c r="A451" s="209">
        <v>43384</v>
      </c>
      <c r="B451" s="33" t="s">
        <v>53</v>
      </c>
      <c r="C451" s="33" t="s">
        <v>54</v>
      </c>
      <c r="D451" s="43">
        <v>1</v>
      </c>
      <c r="E451" s="43">
        <v>0</v>
      </c>
      <c r="F451" s="43">
        <v>0</v>
      </c>
      <c r="G451" s="43">
        <v>0</v>
      </c>
      <c r="H451" s="43">
        <v>0</v>
      </c>
      <c r="I451" s="43">
        <v>0</v>
      </c>
      <c r="J451" s="43">
        <v>0</v>
      </c>
      <c r="K451" s="43">
        <v>0</v>
      </c>
      <c r="L451" s="43">
        <v>0</v>
      </c>
      <c r="M451" s="43">
        <v>0</v>
      </c>
      <c r="N451" s="43">
        <v>0</v>
      </c>
      <c r="O451" s="43">
        <v>0</v>
      </c>
      <c r="P451" s="47" t="s">
        <v>45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v>0</v>
      </c>
      <c r="AD451" s="37">
        <v>0</v>
      </c>
      <c r="AE451" s="37">
        <v>0</v>
      </c>
      <c r="AF451" s="37">
        <v>0</v>
      </c>
      <c r="AG451" s="59">
        <v>0</v>
      </c>
      <c r="AH451" s="37">
        <v>0</v>
      </c>
      <c r="AI451" s="37">
        <v>0</v>
      </c>
      <c r="AJ451" s="37">
        <v>0</v>
      </c>
      <c r="AK451" s="37">
        <v>0</v>
      </c>
      <c r="AL451" s="37">
        <v>0</v>
      </c>
      <c r="AM451" s="37">
        <v>0</v>
      </c>
      <c r="AN451" s="37">
        <v>0</v>
      </c>
      <c r="AO451" s="37">
        <v>0</v>
      </c>
      <c r="AP451" s="37">
        <v>200</v>
      </c>
      <c r="AQ451" s="37">
        <v>0</v>
      </c>
      <c r="AR451" s="37">
        <v>0</v>
      </c>
      <c r="AS451" s="59">
        <v>200</v>
      </c>
      <c r="AT451" s="59">
        <v>200</v>
      </c>
      <c r="AU451" s="45"/>
      <c r="AV451" s="37">
        <v>0</v>
      </c>
      <c r="AW451" s="37">
        <v>0</v>
      </c>
      <c r="AX451" s="37">
        <v>0</v>
      </c>
      <c r="AY451" s="37">
        <v>0</v>
      </c>
      <c r="AZ451" s="37">
        <v>0</v>
      </c>
      <c r="BA451" s="37">
        <v>0</v>
      </c>
      <c r="BB451" s="37">
        <v>0</v>
      </c>
      <c r="BC451" s="37">
        <v>0</v>
      </c>
      <c r="BD451" s="37">
        <v>0</v>
      </c>
      <c r="BE451" s="37">
        <v>0</v>
      </c>
      <c r="BF451" s="37">
        <v>0</v>
      </c>
      <c r="BG451" s="37">
        <v>0</v>
      </c>
      <c r="BH451" s="37">
        <v>0</v>
      </c>
      <c r="BI451" s="37">
        <v>0</v>
      </c>
      <c r="BJ451" s="37">
        <v>0</v>
      </c>
      <c r="BK451" s="59">
        <v>0</v>
      </c>
      <c r="BL451" s="37">
        <v>0</v>
      </c>
      <c r="BM451" s="37">
        <v>0</v>
      </c>
      <c r="BN451" s="37">
        <v>0</v>
      </c>
      <c r="BO451" s="37">
        <v>0</v>
      </c>
      <c r="BP451" s="37">
        <v>0</v>
      </c>
      <c r="BQ451" s="37">
        <v>0</v>
      </c>
      <c r="BR451" s="37">
        <v>0</v>
      </c>
      <c r="BS451" s="37">
        <v>0</v>
      </c>
      <c r="BT451" s="37">
        <v>0</v>
      </c>
      <c r="BU451" s="37">
        <v>0</v>
      </c>
      <c r="BV451" s="37">
        <v>0</v>
      </c>
      <c r="BW451" s="59">
        <v>0</v>
      </c>
      <c r="BX451" s="59">
        <v>0</v>
      </c>
      <c r="BZ451" s="37">
        <v>0</v>
      </c>
      <c r="CA451" s="37">
        <v>0</v>
      </c>
      <c r="CB451" s="37">
        <v>0</v>
      </c>
      <c r="CC451" s="37">
        <v>0</v>
      </c>
      <c r="CD451" s="37">
        <v>0</v>
      </c>
      <c r="CE451" s="37">
        <v>0</v>
      </c>
      <c r="CF451" s="37">
        <v>0</v>
      </c>
      <c r="CG451" s="59">
        <v>0</v>
      </c>
      <c r="CH451" s="37">
        <v>0</v>
      </c>
      <c r="CI451" s="37">
        <v>0</v>
      </c>
      <c r="CJ451" s="37">
        <v>0</v>
      </c>
      <c r="CK451" s="37">
        <v>200</v>
      </c>
      <c r="CL451" s="37">
        <v>0</v>
      </c>
      <c r="CM451" s="37">
        <v>0</v>
      </c>
      <c r="CN451" s="59">
        <v>200</v>
      </c>
      <c r="CO451" s="59">
        <v>200</v>
      </c>
      <c r="CP451" s="58"/>
      <c r="CQ451" s="3">
        <v>200</v>
      </c>
    </row>
    <row r="452" spans="1:95" customFormat="1" x14ac:dyDescent="0.2">
      <c r="A452" s="209">
        <v>43384</v>
      </c>
      <c r="B452" s="33" t="s">
        <v>148</v>
      </c>
      <c r="C452" s="33" t="s">
        <v>149</v>
      </c>
      <c r="D452" s="43">
        <v>0</v>
      </c>
      <c r="E452" s="43">
        <v>0</v>
      </c>
      <c r="F452" s="43">
        <v>0</v>
      </c>
      <c r="G452" s="43">
        <v>0</v>
      </c>
      <c r="H452" s="43">
        <v>0</v>
      </c>
      <c r="I452" s="43">
        <v>0</v>
      </c>
      <c r="J452" s="43">
        <v>0</v>
      </c>
      <c r="K452" s="43">
        <v>0</v>
      </c>
      <c r="L452" s="43">
        <v>0</v>
      </c>
      <c r="M452" s="43">
        <v>0</v>
      </c>
      <c r="N452" s="43">
        <v>0</v>
      </c>
      <c r="O452" s="43">
        <v>0</v>
      </c>
      <c r="P452" s="47">
        <v>0</v>
      </c>
      <c r="R452" s="37">
        <v>700000</v>
      </c>
      <c r="S452" s="37">
        <v>300000</v>
      </c>
      <c r="T452" s="37">
        <v>0</v>
      </c>
      <c r="U452" s="37">
        <v>500000</v>
      </c>
      <c r="V452" s="37">
        <v>0</v>
      </c>
      <c r="W452" s="37">
        <v>0</v>
      </c>
      <c r="X452" s="37">
        <v>0</v>
      </c>
      <c r="Y452" s="37">
        <v>0</v>
      </c>
      <c r="Z452" s="37">
        <v>0</v>
      </c>
      <c r="AA452" s="37">
        <v>0</v>
      </c>
      <c r="AB452" s="37">
        <v>0</v>
      </c>
      <c r="AC452" s="37">
        <v>0</v>
      </c>
      <c r="AD452" s="37">
        <v>0</v>
      </c>
      <c r="AE452" s="37">
        <v>0</v>
      </c>
      <c r="AF452" s="37">
        <v>0</v>
      </c>
      <c r="AG452" s="59">
        <v>1500000</v>
      </c>
      <c r="AH452" s="37">
        <v>0</v>
      </c>
      <c r="AI452" s="37">
        <v>0</v>
      </c>
      <c r="AJ452" s="37">
        <v>0</v>
      </c>
      <c r="AK452" s="37">
        <v>0</v>
      </c>
      <c r="AL452" s="37">
        <v>0</v>
      </c>
      <c r="AM452" s="37">
        <v>0</v>
      </c>
      <c r="AN452" s="37">
        <v>0</v>
      </c>
      <c r="AO452" s="37">
        <v>0</v>
      </c>
      <c r="AP452" s="37">
        <v>0</v>
      </c>
      <c r="AQ452" s="37">
        <v>0</v>
      </c>
      <c r="AR452" s="37">
        <v>0</v>
      </c>
      <c r="AS452" s="59">
        <v>0</v>
      </c>
      <c r="AT452" s="59">
        <v>1500000</v>
      </c>
      <c r="AU452" s="45"/>
      <c r="AV452" s="37">
        <v>0</v>
      </c>
      <c r="AW452" s="37">
        <v>0</v>
      </c>
      <c r="AX452" s="37">
        <v>0</v>
      </c>
      <c r="AY452" s="37">
        <v>0</v>
      </c>
      <c r="AZ452" s="37">
        <v>0</v>
      </c>
      <c r="BA452" s="37">
        <v>0</v>
      </c>
      <c r="BB452" s="37">
        <v>0</v>
      </c>
      <c r="BC452" s="37">
        <v>0</v>
      </c>
      <c r="BD452" s="37">
        <v>0</v>
      </c>
      <c r="BE452" s="37">
        <v>0</v>
      </c>
      <c r="BF452" s="37">
        <v>0</v>
      </c>
      <c r="BG452" s="37">
        <v>0</v>
      </c>
      <c r="BH452" s="37">
        <v>0</v>
      </c>
      <c r="BI452" s="37">
        <v>0</v>
      </c>
      <c r="BJ452" s="37">
        <v>0</v>
      </c>
      <c r="BK452" s="59">
        <v>0</v>
      </c>
      <c r="BL452" s="37">
        <v>0</v>
      </c>
      <c r="BM452" s="37">
        <v>0</v>
      </c>
      <c r="BN452" s="37">
        <v>0</v>
      </c>
      <c r="BO452" s="37">
        <v>0</v>
      </c>
      <c r="BP452" s="37">
        <v>0</v>
      </c>
      <c r="BQ452" s="37">
        <v>0</v>
      </c>
      <c r="BR452" s="37">
        <v>0</v>
      </c>
      <c r="BS452" s="37">
        <v>0</v>
      </c>
      <c r="BT452" s="37">
        <v>0</v>
      </c>
      <c r="BU452" s="37">
        <v>0</v>
      </c>
      <c r="BV452" s="37">
        <v>0</v>
      </c>
      <c r="BW452" s="59">
        <v>0</v>
      </c>
      <c r="BX452" s="59">
        <v>0</v>
      </c>
      <c r="BZ452" s="37">
        <v>1000000</v>
      </c>
      <c r="CA452" s="37">
        <v>500000</v>
      </c>
      <c r="CB452" s="37">
        <v>0</v>
      </c>
      <c r="CC452" s="37">
        <v>0</v>
      </c>
      <c r="CD452" s="37">
        <v>0</v>
      </c>
      <c r="CE452" s="37">
        <v>0</v>
      </c>
      <c r="CF452" s="37">
        <v>0</v>
      </c>
      <c r="CG452" s="59">
        <v>1500000</v>
      </c>
      <c r="CH452" s="37">
        <v>0</v>
      </c>
      <c r="CI452" s="37">
        <v>0</v>
      </c>
      <c r="CJ452" s="37">
        <v>0</v>
      </c>
      <c r="CK452" s="37">
        <v>0</v>
      </c>
      <c r="CL452" s="37">
        <v>0</v>
      </c>
      <c r="CM452" s="37">
        <v>0</v>
      </c>
      <c r="CN452" s="59">
        <v>0</v>
      </c>
      <c r="CO452" s="59">
        <v>1500000</v>
      </c>
      <c r="CP452" s="58"/>
      <c r="CQ452" s="3">
        <v>1500000</v>
      </c>
    </row>
    <row r="453" spans="1:95" customFormat="1" x14ac:dyDescent="0.2">
      <c r="A453" s="209">
        <v>43385</v>
      </c>
      <c r="B453" s="33" t="s">
        <v>55</v>
      </c>
      <c r="C453" s="33" t="s">
        <v>56</v>
      </c>
      <c r="D453" s="43">
        <v>0</v>
      </c>
      <c r="E453" s="43">
        <v>0</v>
      </c>
      <c r="F453" s="43">
        <v>0</v>
      </c>
      <c r="G453" s="43">
        <v>0</v>
      </c>
      <c r="H453" s="43">
        <v>0</v>
      </c>
      <c r="I453" s="43">
        <v>0</v>
      </c>
      <c r="J453" s="43">
        <v>0</v>
      </c>
      <c r="K453" s="43">
        <v>0</v>
      </c>
      <c r="L453" s="43">
        <v>0</v>
      </c>
      <c r="M453" s="43">
        <v>0</v>
      </c>
      <c r="N453" s="43">
        <v>0</v>
      </c>
      <c r="O453" s="43">
        <v>0</v>
      </c>
      <c r="P453" s="47">
        <v>0</v>
      </c>
      <c r="R453" s="37">
        <v>0</v>
      </c>
      <c r="S453" s="37">
        <v>0</v>
      </c>
      <c r="T453" s="37">
        <v>4000</v>
      </c>
      <c r="U453" s="37">
        <v>0</v>
      </c>
      <c r="V453" s="37">
        <v>2000</v>
      </c>
      <c r="W453" s="37">
        <v>0</v>
      </c>
      <c r="X453" s="37">
        <v>800</v>
      </c>
      <c r="Y453" s="37">
        <v>0</v>
      </c>
      <c r="Z453" s="37">
        <v>400</v>
      </c>
      <c r="AA453" s="37">
        <v>0</v>
      </c>
      <c r="AB453" s="37">
        <v>200</v>
      </c>
      <c r="AC453" s="37">
        <v>0</v>
      </c>
      <c r="AD453" s="37">
        <v>80</v>
      </c>
      <c r="AE453" s="37">
        <v>0</v>
      </c>
      <c r="AF453" s="37">
        <v>0</v>
      </c>
      <c r="AG453" s="59">
        <v>7480</v>
      </c>
      <c r="AH453" s="37">
        <v>0</v>
      </c>
      <c r="AI453" s="37">
        <v>0</v>
      </c>
      <c r="AJ453" s="37">
        <v>0</v>
      </c>
      <c r="AK453" s="37">
        <v>0</v>
      </c>
      <c r="AL453" s="37">
        <v>0</v>
      </c>
      <c r="AM453" s="37">
        <v>0</v>
      </c>
      <c r="AN453" s="37">
        <v>0</v>
      </c>
      <c r="AO453" s="37">
        <v>0</v>
      </c>
      <c r="AP453" s="37">
        <v>0</v>
      </c>
      <c r="AQ453" s="37">
        <v>0</v>
      </c>
      <c r="AR453" s="37">
        <v>0</v>
      </c>
      <c r="AS453" s="59">
        <v>0</v>
      </c>
      <c r="AT453" s="59">
        <v>7480</v>
      </c>
      <c r="AU453" s="45"/>
      <c r="AV453" s="37">
        <v>0</v>
      </c>
      <c r="AW453" s="37">
        <v>0</v>
      </c>
      <c r="AX453" s="37">
        <v>0</v>
      </c>
      <c r="AY453" s="37">
        <v>0</v>
      </c>
      <c r="AZ453" s="37">
        <v>0</v>
      </c>
      <c r="BA453" s="37">
        <v>0</v>
      </c>
      <c r="BB453" s="37">
        <v>0</v>
      </c>
      <c r="BC453" s="37">
        <v>0</v>
      </c>
      <c r="BD453" s="37">
        <v>0</v>
      </c>
      <c r="BE453" s="37">
        <v>0</v>
      </c>
      <c r="BF453" s="37">
        <v>0</v>
      </c>
      <c r="BG453" s="37">
        <v>0</v>
      </c>
      <c r="BH453" s="37">
        <v>0</v>
      </c>
      <c r="BI453" s="37">
        <v>0</v>
      </c>
      <c r="BJ453" s="37">
        <v>0</v>
      </c>
      <c r="BK453" s="59">
        <v>0</v>
      </c>
      <c r="BL453" s="37">
        <v>0</v>
      </c>
      <c r="BM453" s="37">
        <v>0</v>
      </c>
      <c r="BN453" s="37">
        <v>0</v>
      </c>
      <c r="BO453" s="37">
        <v>0</v>
      </c>
      <c r="BP453" s="37">
        <v>0</v>
      </c>
      <c r="BQ453" s="37">
        <v>0</v>
      </c>
      <c r="BR453" s="37">
        <v>0</v>
      </c>
      <c r="BS453" s="37">
        <v>0</v>
      </c>
      <c r="BT453" s="37">
        <v>0</v>
      </c>
      <c r="BU453" s="37">
        <v>0</v>
      </c>
      <c r="BV453" s="37">
        <v>0</v>
      </c>
      <c r="BW453" s="59">
        <v>0</v>
      </c>
      <c r="BX453" s="59">
        <v>0</v>
      </c>
      <c r="BZ453" s="37">
        <v>4000</v>
      </c>
      <c r="CA453" s="37">
        <v>2000</v>
      </c>
      <c r="CB453" s="37">
        <v>800</v>
      </c>
      <c r="CC453" s="37">
        <v>400</v>
      </c>
      <c r="CD453" s="37">
        <v>200</v>
      </c>
      <c r="CE453" s="37">
        <v>80</v>
      </c>
      <c r="CF453" s="37">
        <v>0</v>
      </c>
      <c r="CG453" s="59">
        <v>7480</v>
      </c>
      <c r="CH453" s="37">
        <v>0</v>
      </c>
      <c r="CI453" s="37">
        <v>0</v>
      </c>
      <c r="CJ453" s="37">
        <v>0</v>
      </c>
      <c r="CK453" s="37">
        <v>0</v>
      </c>
      <c r="CL453" s="37">
        <v>0</v>
      </c>
      <c r="CM453" s="37">
        <v>0</v>
      </c>
      <c r="CN453" s="59">
        <v>0</v>
      </c>
      <c r="CO453" s="59">
        <v>7480</v>
      </c>
      <c r="CP453" s="58"/>
      <c r="CQ453" s="3">
        <v>7480</v>
      </c>
    </row>
    <row r="454" spans="1:95" customFormat="1" x14ac:dyDescent="0.2">
      <c r="A454" s="209">
        <v>43385</v>
      </c>
      <c r="B454" s="33" t="s">
        <v>53</v>
      </c>
      <c r="C454" s="33" t="s">
        <v>54</v>
      </c>
      <c r="D454" s="43">
        <v>1</v>
      </c>
      <c r="E454" s="43">
        <v>0</v>
      </c>
      <c r="F454" s="43">
        <v>0</v>
      </c>
      <c r="G454" s="43">
        <v>0</v>
      </c>
      <c r="H454" s="43">
        <v>0</v>
      </c>
      <c r="I454" s="43">
        <v>0</v>
      </c>
      <c r="J454" s="43">
        <v>0</v>
      </c>
      <c r="K454" s="43">
        <v>0</v>
      </c>
      <c r="L454" s="43">
        <v>0</v>
      </c>
      <c r="M454" s="43">
        <v>0</v>
      </c>
      <c r="N454" s="43">
        <v>0</v>
      </c>
      <c r="O454" s="43">
        <v>0</v>
      </c>
      <c r="P454" s="47" t="s">
        <v>45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59">
        <v>0</v>
      </c>
      <c r="AH454" s="37">
        <v>0</v>
      </c>
      <c r="AI454" s="37">
        <v>0</v>
      </c>
      <c r="AJ454" s="37">
        <v>1250</v>
      </c>
      <c r="AK454" s="37">
        <v>0</v>
      </c>
      <c r="AL454" s="37">
        <v>0</v>
      </c>
      <c r="AM454" s="37">
        <v>0</v>
      </c>
      <c r="AN454" s="37">
        <v>0</v>
      </c>
      <c r="AO454" s="37">
        <v>0</v>
      </c>
      <c r="AP454" s="37">
        <v>0</v>
      </c>
      <c r="AQ454" s="37">
        <v>0</v>
      </c>
      <c r="AR454" s="37">
        <v>0</v>
      </c>
      <c r="AS454" s="59">
        <v>1250</v>
      </c>
      <c r="AT454" s="59">
        <v>1250</v>
      </c>
      <c r="AU454" s="45"/>
      <c r="AV454" s="37">
        <v>0</v>
      </c>
      <c r="AW454" s="37">
        <v>0</v>
      </c>
      <c r="AX454" s="37">
        <v>0</v>
      </c>
      <c r="AY454" s="37">
        <v>0</v>
      </c>
      <c r="AZ454" s="37">
        <v>0</v>
      </c>
      <c r="BA454" s="37">
        <v>0</v>
      </c>
      <c r="BB454" s="37">
        <v>0</v>
      </c>
      <c r="BC454" s="37">
        <v>0</v>
      </c>
      <c r="BD454" s="37">
        <v>0</v>
      </c>
      <c r="BE454" s="37">
        <v>0</v>
      </c>
      <c r="BF454" s="37">
        <v>0</v>
      </c>
      <c r="BG454" s="37">
        <v>0</v>
      </c>
      <c r="BH454" s="37">
        <v>0</v>
      </c>
      <c r="BI454" s="37">
        <v>0</v>
      </c>
      <c r="BJ454" s="37">
        <v>0</v>
      </c>
      <c r="BK454" s="59">
        <v>0</v>
      </c>
      <c r="BL454" s="37">
        <v>0</v>
      </c>
      <c r="BM454" s="37">
        <v>0</v>
      </c>
      <c r="BN454" s="37">
        <v>0</v>
      </c>
      <c r="BO454" s="37">
        <v>0</v>
      </c>
      <c r="BP454" s="37">
        <v>0</v>
      </c>
      <c r="BQ454" s="37">
        <v>0</v>
      </c>
      <c r="BR454" s="37">
        <v>0</v>
      </c>
      <c r="BS454" s="37">
        <v>0</v>
      </c>
      <c r="BT454" s="37">
        <v>0</v>
      </c>
      <c r="BU454" s="37">
        <v>0</v>
      </c>
      <c r="BV454" s="37">
        <v>0</v>
      </c>
      <c r="BW454" s="59">
        <v>0</v>
      </c>
      <c r="BX454" s="59">
        <v>0</v>
      </c>
      <c r="BZ454" s="37">
        <v>0</v>
      </c>
      <c r="CA454" s="37">
        <v>0</v>
      </c>
      <c r="CB454" s="37">
        <v>0</v>
      </c>
      <c r="CC454" s="37">
        <v>0</v>
      </c>
      <c r="CD454" s="37">
        <v>0</v>
      </c>
      <c r="CE454" s="37">
        <v>0</v>
      </c>
      <c r="CF454" s="37">
        <v>0</v>
      </c>
      <c r="CG454" s="59">
        <v>0</v>
      </c>
      <c r="CH454" s="37">
        <v>0</v>
      </c>
      <c r="CI454" s="37">
        <v>1250</v>
      </c>
      <c r="CJ454" s="37">
        <v>0</v>
      </c>
      <c r="CK454" s="37">
        <v>0</v>
      </c>
      <c r="CL454" s="37">
        <v>0</v>
      </c>
      <c r="CM454" s="37">
        <v>0</v>
      </c>
      <c r="CN454" s="59">
        <v>1250</v>
      </c>
      <c r="CO454" s="59">
        <v>1250</v>
      </c>
      <c r="CP454" s="58"/>
      <c r="CQ454" s="3">
        <v>1250</v>
      </c>
    </row>
    <row r="455" spans="1:95" customFormat="1" x14ac:dyDescent="0.2">
      <c r="A455" s="209">
        <v>43385</v>
      </c>
      <c r="B455" s="33" t="s">
        <v>62</v>
      </c>
      <c r="C455" s="33" t="s">
        <v>71</v>
      </c>
      <c r="D455" s="43">
        <v>0</v>
      </c>
      <c r="E455" s="43">
        <v>0</v>
      </c>
      <c r="F455" s="43">
        <v>0</v>
      </c>
      <c r="G455" s="43">
        <v>0</v>
      </c>
      <c r="H455" s="43">
        <v>0</v>
      </c>
      <c r="I455" s="43">
        <v>1</v>
      </c>
      <c r="J455" s="43">
        <v>0</v>
      </c>
      <c r="K455" s="43">
        <v>0</v>
      </c>
      <c r="L455" s="43">
        <v>0</v>
      </c>
      <c r="M455" s="43">
        <v>0</v>
      </c>
      <c r="N455" s="43">
        <v>0</v>
      </c>
      <c r="O455" s="43">
        <v>0</v>
      </c>
      <c r="P455" s="47" t="s">
        <v>45</v>
      </c>
      <c r="R455" s="37">
        <v>700000</v>
      </c>
      <c r="S455" s="37">
        <v>700000</v>
      </c>
      <c r="T455" s="37">
        <v>600000</v>
      </c>
      <c r="U455" s="37">
        <v>0</v>
      </c>
      <c r="V455" s="37">
        <v>850000</v>
      </c>
      <c r="W455" s="37">
        <v>0</v>
      </c>
      <c r="X455" s="37">
        <v>0</v>
      </c>
      <c r="Y455" s="37">
        <v>0</v>
      </c>
      <c r="Z455" s="37">
        <v>140000</v>
      </c>
      <c r="AA455" s="37">
        <v>0</v>
      </c>
      <c r="AB455" s="37">
        <v>30000</v>
      </c>
      <c r="AC455" s="37">
        <v>0</v>
      </c>
      <c r="AD455" s="37">
        <v>16000</v>
      </c>
      <c r="AE455" s="37">
        <v>0</v>
      </c>
      <c r="AF455" s="37">
        <v>0</v>
      </c>
      <c r="AG455" s="59">
        <v>3036000</v>
      </c>
      <c r="AH455" s="37">
        <v>0</v>
      </c>
      <c r="AI455" s="37">
        <v>0</v>
      </c>
      <c r="AJ455" s="37">
        <v>0</v>
      </c>
      <c r="AK455" s="37">
        <v>0</v>
      </c>
      <c r="AL455" s="37">
        <v>0</v>
      </c>
      <c r="AM455" s="37">
        <v>0</v>
      </c>
      <c r="AN455" s="37">
        <v>1000</v>
      </c>
      <c r="AO455" s="37">
        <v>0</v>
      </c>
      <c r="AP455" s="37">
        <v>100</v>
      </c>
      <c r="AQ455" s="37">
        <v>0</v>
      </c>
      <c r="AR455" s="37">
        <v>0</v>
      </c>
      <c r="AS455" s="59">
        <v>1100</v>
      </c>
      <c r="AT455" s="59">
        <v>3037100</v>
      </c>
      <c r="AU455" s="45"/>
      <c r="AV455" s="37">
        <v>0</v>
      </c>
      <c r="AW455" s="37">
        <v>0</v>
      </c>
      <c r="AX455" s="37">
        <v>0</v>
      </c>
      <c r="AY455" s="37">
        <v>0</v>
      </c>
      <c r="AZ455" s="37">
        <v>0</v>
      </c>
      <c r="BA455" s="37">
        <v>0</v>
      </c>
      <c r="BB455" s="37">
        <v>0</v>
      </c>
      <c r="BC455" s="37">
        <v>0</v>
      </c>
      <c r="BD455" s="37">
        <v>0</v>
      </c>
      <c r="BE455" s="37">
        <v>0</v>
      </c>
      <c r="BF455" s="37">
        <v>0</v>
      </c>
      <c r="BG455" s="37">
        <v>0</v>
      </c>
      <c r="BH455" s="37">
        <v>0</v>
      </c>
      <c r="BI455" s="37">
        <v>0</v>
      </c>
      <c r="BJ455" s="37">
        <v>0</v>
      </c>
      <c r="BK455" s="59">
        <v>0</v>
      </c>
      <c r="BL455" s="37">
        <v>0</v>
      </c>
      <c r="BM455" s="37">
        <v>0</v>
      </c>
      <c r="BN455" s="37">
        <v>0</v>
      </c>
      <c r="BO455" s="37">
        <v>0</v>
      </c>
      <c r="BP455" s="37">
        <v>0</v>
      </c>
      <c r="BQ455" s="37">
        <v>0</v>
      </c>
      <c r="BR455" s="37">
        <v>0</v>
      </c>
      <c r="BS455" s="37">
        <v>0</v>
      </c>
      <c r="BT455" s="37">
        <v>0</v>
      </c>
      <c r="BU455" s="37">
        <v>0</v>
      </c>
      <c r="BV455" s="37">
        <v>0</v>
      </c>
      <c r="BW455" s="59">
        <v>0</v>
      </c>
      <c r="BX455" s="59">
        <v>0</v>
      </c>
      <c r="BZ455" s="37">
        <v>2000000</v>
      </c>
      <c r="CA455" s="37">
        <v>850000</v>
      </c>
      <c r="CB455" s="37">
        <v>0</v>
      </c>
      <c r="CC455" s="37">
        <v>140000</v>
      </c>
      <c r="CD455" s="37">
        <v>30000</v>
      </c>
      <c r="CE455" s="37">
        <v>16000</v>
      </c>
      <c r="CF455" s="37">
        <v>0</v>
      </c>
      <c r="CG455" s="59">
        <v>3036000</v>
      </c>
      <c r="CH455" s="37">
        <v>0</v>
      </c>
      <c r="CI455" s="37">
        <v>0</v>
      </c>
      <c r="CJ455" s="37">
        <v>1000</v>
      </c>
      <c r="CK455" s="37">
        <v>100</v>
      </c>
      <c r="CL455" s="37">
        <v>0</v>
      </c>
      <c r="CM455" s="37">
        <v>0</v>
      </c>
      <c r="CN455" s="59">
        <v>1100</v>
      </c>
      <c r="CO455" s="59">
        <v>3037100</v>
      </c>
      <c r="CP455" s="58"/>
      <c r="CQ455" s="3">
        <v>3037100</v>
      </c>
    </row>
    <row r="456" spans="1:95" customFormat="1" x14ac:dyDescent="0.2">
      <c r="A456" s="209">
        <v>43385</v>
      </c>
      <c r="B456" s="33" t="s">
        <v>74</v>
      </c>
      <c r="C456" s="33" t="s">
        <v>71</v>
      </c>
      <c r="D456" s="43">
        <v>0</v>
      </c>
      <c r="E456" s="43">
        <v>0</v>
      </c>
      <c r="F456" s="43">
        <v>0</v>
      </c>
      <c r="G456" s="43">
        <v>0</v>
      </c>
      <c r="H456" s="43">
        <v>0</v>
      </c>
      <c r="I456" s="43">
        <v>1</v>
      </c>
      <c r="J456" s="43">
        <v>0</v>
      </c>
      <c r="K456" s="43">
        <v>0</v>
      </c>
      <c r="L456" s="43">
        <v>0</v>
      </c>
      <c r="M456" s="43">
        <v>0</v>
      </c>
      <c r="N456" s="43">
        <v>0</v>
      </c>
      <c r="O456" s="43">
        <v>0</v>
      </c>
      <c r="P456" s="47" t="s">
        <v>45</v>
      </c>
      <c r="R456" s="37">
        <v>0</v>
      </c>
      <c r="S456" s="37">
        <v>0</v>
      </c>
      <c r="T456" s="37">
        <v>400000</v>
      </c>
      <c r="U456" s="37">
        <v>0</v>
      </c>
      <c r="V456" s="37">
        <v>700000</v>
      </c>
      <c r="W456" s="37">
        <v>0</v>
      </c>
      <c r="X456" s="37">
        <v>0</v>
      </c>
      <c r="Y456" s="37">
        <v>0</v>
      </c>
      <c r="Z456" s="37">
        <v>120000</v>
      </c>
      <c r="AA456" s="37">
        <v>0</v>
      </c>
      <c r="AB456" s="37">
        <v>30000</v>
      </c>
      <c r="AC456" s="37">
        <v>0</v>
      </c>
      <c r="AD456" s="37">
        <v>4000</v>
      </c>
      <c r="AE456" s="37">
        <v>0</v>
      </c>
      <c r="AF456" s="37">
        <v>0</v>
      </c>
      <c r="AG456" s="59">
        <v>1254000</v>
      </c>
      <c r="AH456" s="37">
        <v>500</v>
      </c>
      <c r="AI456" s="37">
        <v>0</v>
      </c>
      <c r="AJ456" s="37">
        <v>0</v>
      </c>
      <c r="AK456" s="37">
        <v>0</v>
      </c>
      <c r="AL456" s="37">
        <v>0</v>
      </c>
      <c r="AM456" s="37">
        <v>0</v>
      </c>
      <c r="AN456" s="37">
        <v>200</v>
      </c>
      <c r="AO456" s="37">
        <v>0</v>
      </c>
      <c r="AP456" s="37">
        <v>100</v>
      </c>
      <c r="AQ456" s="37">
        <v>0</v>
      </c>
      <c r="AR456" s="37">
        <v>0</v>
      </c>
      <c r="AS456" s="59">
        <v>800</v>
      </c>
      <c r="AT456" s="59">
        <v>1254800</v>
      </c>
      <c r="AU456" s="45"/>
      <c r="AV456" s="37">
        <v>0</v>
      </c>
      <c r="AW456" s="37">
        <v>0</v>
      </c>
      <c r="AX456" s="37">
        <v>0</v>
      </c>
      <c r="AY456" s="37">
        <v>0</v>
      </c>
      <c r="AZ456" s="37">
        <v>0</v>
      </c>
      <c r="BA456" s="37">
        <v>0</v>
      </c>
      <c r="BB456" s="37">
        <v>0</v>
      </c>
      <c r="BC456" s="37">
        <v>0</v>
      </c>
      <c r="BD456" s="37">
        <v>0</v>
      </c>
      <c r="BE456" s="37">
        <v>0</v>
      </c>
      <c r="BF456" s="37">
        <v>0</v>
      </c>
      <c r="BG456" s="37">
        <v>0</v>
      </c>
      <c r="BH456" s="37">
        <v>0</v>
      </c>
      <c r="BI456" s="37">
        <v>0</v>
      </c>
      <c r="BJ456" s="37">
        <v>0</v>
      </c>
      <c r="BK456" s="59">
        <v>0</v>
      </c>
      <c r="BL456" s="37">
        <v>0</v>
      </c>
      <c r="BM456" s="37">
        <v>0</v>
      </c>
      <c r="BN456" s="37">
        <v>0</v>
      </c>
      <c r="BO456" s="37">
        <v>0</v>
      </c>
      <c r="BP456" s="37">
        <v>0</v>
      </c>
      <c r="BQ456" s="37">
        <v>0</v>
      </c>
      <c r="BR456" s="37">
        <v>0</v>
      </c>
      <c r="BS456" s="37">
        <v>0</v>
      </c>
      <c r="BT456" s="37">
        <v>0</v>
      </c>
      <c r="BU456" s="37">
        <v>0</v>
      </c>
      <c r="BV456" s="37">
        <v>0</v>
      </c>
      <c r="BW456" s="59">
        <v>0</v>
      </c>
      <c r="BX456" s="59">
        <v>0</v>
      </c>
      <c r="BZ456" s="37">
        <v>400000</v>
      </c>
      <c r="CA456" s="37">
        <v>700000</v>
      </c>
      <c r="CB456" s="37">
        <v>0</v>
      </c>
      <c r="CC456" s="37">
        <v>120000</v>
      </c>
      <c r="CD456" s="37">
        <v>30000</v>
      </c>
      <c r="CE456" s="37">
        <v>4000</v>
      </c>
      <c r="CF456" s="37">
        <v>0</v>
      </c>
      <c r="CG456" s="59">
        <v>1254000</v>
      </c>
      <c r="CH456" s="37">
        <v>500</v>
      </c>
      <c r="CI456" s="37">
        <v>0</v>
      </c>
      <c r="CJ456" s="37">
        <v>200</v>
      </c>
      <c r="CK456" s="37">
        <v>100</v>
      </c>
      <c r="CL456" s="37">
        <v>0</v>
      </c>
      <c r="CM456" s="37">
        <v>0</v>
      </c>
      <c r="CN456" s="59">
        <v>800</v>
      </c>
      <c r="CO456" s="59">
        <v>1254800</v>
      </c>
      <c r="CP456" s="58"/>
      <c r="CQ456" s="3">
        <v>1254800</v>
      </c>
    </row>
    <row r="457" spans="1:95" customFormat="1" x14ac:dyDescent="0.2">
      <c r="A457" s="209">
        <v>43385</v>
      </c>
      <c r="B457" s="33" t="s">
        <v>72</v>
      </c>
      <c r="C457" s="33" t="s">
        <v>137</v>
      </c>
      <c r="D457" s="43">
        <v>0</v>
      </c>
      <c r="E457" s="43">
        <v>0</v>
      </c>
      <c r="F457" s="43">
        <v>0</v>
      </c>
      <c r="G457" s="43">
        <v>0</v>
      </c>
      <c r="H457" s="43">
        <v>0</v>
      </c>
      <c r="I457" s="43">
        <v>0</v>
      </c>
      <c r="J457" s="43">
        <v>0</v>
      </c>
      <c r="K457" s="43">
        <v>1</v>
      </c>
      <c r="L457" s="43">
        <v>0</v>
      </c>
      <c r="M457" s="43">
        <v>0</v>
      </c>
      <c r="N457" s="43">
        <v>0</v>
      </c>
      <c r="O457" s="43">
        <v>0</v>
      </c>
      <c r="P457" s="47" t="s">
        <v>45</v>
      </c>
      <c r="R457" s="37">
        <v>0</v>
      </c>
      <c r="S457" s="37">
        <v>0</v>
      </c>
      <c r="T457" s="37">
        <v>600000</v>
      </c>
      <c r="U457" s="37">
        <v>0</v>
      </c>
      <c r="V457" s="37">
        <v>1000000</v>
      </c>
      <c r="W457" s="37">
        <v>0</v>
      </c>
      <c r="X457" s="37">
        <v>0</v>
      </c>
      <c r="Y457" s="37">
        <v>0</v>
      </c>
      <c r="Z457" s="37">
        <v>120000</v>
      </c>
      <c r="AA457" s="37">
        <v>0</v>
      </c>
      <c r="AB457" s="37">
        <v>0</v>
      </c>
      <c r="AC457" s="37">
        <v>0</v>
      </c>
      <c r="AD457" s="37">
        <v>0</v>
      </c>
      <c r="AE457" s="37">
        <v>0</v>
      </c>
      <c r="AF457" s="37">
        <v>0</v>
      </c>
      <c r="AG457" s="59">
        <v>1720000</v>
      </c>
      <c r="AH457" s="37">
        <v>0</v>
      </c>
      <c r="AI457" s="37">
        <v>0</v>
      </c>
      <c r="AJ457" s="37">
        <v>500</v>
      </c>
      <c r="AK457" s="37">
        <v>0</v>
      </c>
      <c r="AL457" s="37">
        <v>0</v>
      </c>
      <c r="AM457" s="37">
        <v>0</v>
      </c>
      <c r="AN457" s="37">
        <v>200</v>
      </c>
      <c r="AO457" s="37">
        <v>0</v>
      </c>
      <c r="AP457" s="37">
        <v>0</v>
      </c>
      <c r="AQ457" s="37">
        <v>0</v>
      </c>
      <c r="AR457" s="37">
        <v>0</v>
      </c>
      <c r="AS457" s="59">
        <v>700</v>
      </c>
      <c r="AT457" s="59">
        <v>1720700</v>
      </c>
      <c r="AU457" s="45"/>
      <c r="AV457" s="37">
        <v>0</v>
      </c>
      <c r="AW457" s="37">
        <v>0</v>
      </c>
      <c r="AX457" s="37">
        <v>0</v>
      </c>
      <c r="AY457" s="37">
        <v>0</v>
      </c>
      <c r="AZ457" s="37">
        <v>0</v>
      </c>
      <c r="BA457" s="37">
        <v>0</v>
      </c>
      <c r="BB457" s="37">
        <v>0</v>
      </c>
      <c r="BC457" s="37">
        <v>0</v>
      </c>
      <c r="BD457" s="37">
        <v>0</v>
      </c>
      <c r="BE457" s="37">
        <v>0</v>
      </c>
      <c r="BF457" s="37">
        <v>0</v>
      </c>
      <c r="BG457" s="37">
        <v>0</v>
      </c>
      <c r="BH457" s="37">
        <v>0</v>
      </c>
      <c r="BI457" s="37">
        <v>0</v>
      </c>
      <c r="BJ457" s="37">
        <v>0</v>
      </c>
      <c r="BK457" s="59">
        <v>0</v>
      </c>
      <c r="BL457" s="37">
        <v>0</v>
      </c>
      <c r="BM457" s="37">
        <v>0</v>
      </c>
      <c r="BN457" s="37">
        <v>0</v>
      </c>
      <c r="BO457" s="37">
        <v>0</v>
      </c>
      <c r="BP457" s="37">
        <v>0</v>
      </c>
      <c r="BQ457" s="37">
        <v>0</v>
      </c>
      <c r="BR457" s="37">
        <v>0</v>
      </c>
      <c r="BS457" s="37">
        <v>0</v>
      </c>
      <c r="BT457" s="37">
        <v>0</v>
      </c>
      <c r="BU457" s="37">
        <v>0</v>
      </c>
      <c r="BV457" s="37">
        <v>0</v>
      </c>
      <c r="BW457" s="59">
        <v>0</v>
      </c>
      <c r="BX457" s="59">
        <v>0</v>
      </c>
      <c r="BZ457" s="37">
        <v>600000</v>
      </c>
      <c r="CA457" s="37">
        <v>1000000</v>
      </c>
      <c r="CB457" s="37">
        <v>0</v>
      </c>
      <c r="CC457" s="37">
        <v>120000</v>
      </c>
      <c r="CD457" s="37">
        <v>0</v>
      </c>
      <c r="CE457" s="37">
        <v>0</v>
      </c>
      <c r="CF457" s="37">
        <v>0</v>
      </c>
      <c r="CG457" s="59">
        <v>1720000</v>
      </c>
      <c r="CH457" s="37">
        <v>0</v>
      </c>
      <c r="CI457" s="37">
        <v>500</v>
      </c>
      <c r="CJ457" s="37">
        <v>200</v>
      </c>
      <c r="CK457" s="37">
        <v>0</v>
      </c>
      <c r="CL457" s="37">
        <v>0</v>
      </c>
      <c r="CM457" s="37">
        <v>0</v>
      </c>
      <c r="CN457" s="59">
        <v>700</v>
      </c>
      <c r="CO457" s="59">
        <v>1720700</v>
      </c>
      <c r="CP457" s="58"/>
      <c r="CQ457" s="3">
        <v>1720700</v>
      </c>
    </row>
    <row r="458" spans="1:95" customFormat="1" x14ac:dyDescent="0.2">
      <c r="A458" s="209">
        <v>43385</v>
      </c>
      <c r="B458" s="33" t="s">
        <v>53</v>
      </c>
      <c r="C458" s="33" t="s">
        <v>84</v>
      </c>
      <c r="D458" s="43">
        <v>0</v>
      </c>
      <c r="E458" s="43">
        <v>1</v>
      </c>
      <c r="F458" s="43">
        <v>0</v>
      </c>
      <c r="G458" s="43">
        <v>0</v>
      </c>
      <c r="H458" s="43">
        <v>0</v>
      </c>
      <c r="I458" s="43">
        <v>0</v>
      </c>
      <c r="J458" s="43">
        <v>0</v>
      </c>
      <c r="K458" s="43">
        <v>0</v>
      </c>
      <c r="L458" s="43">
        <v>0</v>
      </c>
      <c r="M458" s="43">
        <v>0</v>
      </c>
      <c r="N458" s="43">
        <v>0</v>
      </c>
      <c r="O458" s="43">
        <v>0</v>
      </c>
      <c r="P458" s="47" t="s">
        <v>45</v>
      </c>
      <c r="R458" s="37">
        <v>0</v>
      </c>
      <c r="S458" s="37">
        <v>0</v>
      </c>
      <c r="T458" s="37">
        <v>0</v>
      </c>
      <c r="U458" s="37">
        <v>0</v>
      </c>
      <c r="V458" s="37">
        <v>0</v>
      </c>
      <c r="W458" s="37">
        <v>0</v>
      </c>
      <c r="X458" s="37">
        <v>0</v>
      </c>
      <c r="Y458" s="37">
        <v>0</v>
      </c>
      <c r="Z458" s="37">
        <v>0</v>
      </c>
      <c r="AA458" s="37">
        <v>0</v>
      </c>
      <c r="AB458" s="37">
        <v>0</v>
      </c>
      <c r="AC458" s="37">
        <v>0</v>
      </c>
      <c r="AD458" s="37">
        <v>0</v>
      </c>
      <c r="AE458" s="37">
        <v>0</v>
      </c>
      <c r="AF458" s="37">
        <v>0</v>
      </c>
      <c r="AG458" s="59">
        <v>0</v>
      </c>
      <c r="AH458" s="37">
        <v>0</v>
      </c>
      <c r="AI458" s="37">
        <v>0</v>
      </c>
      <c r="AJ458" s="37">
        <v>1875</v>
      </c>
      <c r="AK458" s="37">
        <v>0</v>
      </c>
      <c r="AL458" s="37">
        <v>0</v>
      </c>
      <c r="AM458" s="37">
        <v>0</v>
      </c>
      <c r="AN458" s="37">
        <v>0</v>
      </c>
      <c r="AO458" s="37">
        <v>0</v>
      </c>
      <c r="AP458" s="37">
        <v>0</v>
      </c>
      <c r="AQ458" s="37">
        <v>0</v>
      </c>
      <c r="AR458" s="37">
        <v>0</v>
      </c>
      <c r="AS458" s="59">
        <v>1875</v>
      </c>
      <c r="AT458" s="59">
        <v>1875</v>
      </c>
      <c r="AU458" s="45"/>
      <c r="AV458" s="37">
        <v>0</v>
      </c>
      <c r="AW458" s="37">
        <v>0</v>
      </c>
      <c r="AX458" s="37">
        <v>0</v>
      </c>
      <c r="AY458" s="37">
        <v>0</v>
      </c>
      <c r="AZ458" s="37">
        <v>0</v>
      </c>
      <c r="BA458" s="37">
        <v>0</v>
      </c>
      <c r="BB458" s="37">
        <v>0</v>
      </c>
      <c r="BC458" s="37">
        <v>0</v>
      </c>
      <c r="BD458" s="37">
        <v>0</v>
      </c>
      <c r="BE458" s="37">
        <v>0</v>
      </c>
      <c r="BF458" s="37">
        <v>0</v>
      </c>
      <c r="BG458" s="37">
        <v>0</v>
      </c>
      <c r="BH458" s="37">
        <v>0</v>
      </c>
      <c r="BI458" s="37">
        <v>0</v>
      </c>
      <c r="BJ458" s="37">
        <v>0</v>
      </c>
      <c r="BK458" s="59">
        <v>0</v>
      </c>
      <c r="BL458" s="37">
        <v>0</v>
      </c>
      <c r="BM458" s="37">
        <v>0</v>
      </c>
      <c r="BN458" s="37">
        <v>0</v>
      </c>
      <c r="BO458" s="37">
        <v>0</v>
      </c>
      <c r="BP458" s="37">
        <v>0</v>
      </c>
      <c r="BQ458" s="37">
        <v>0</v>
      </c>
      <c r="BR458" s="37">
        <v>0</v>
      </c>
      <c r="BS458" s="37">
        <v>0</v>
      </c>
      <c r="BT458" s="37">
        <v>0</v>
      </c>
      <c r="BU458" s="37">
        <v>0</v>
      </c>
      <c r="BV458" s="37">
        <v>0</v>
      </c>
      <c r="BW458" s="59">
        <v>0</v>
      </c>
      <c r="BX458" s="59">
        <v>0</v>
      </c>
      <c r="BZ458" s="37">
        <v>0</v>
      </c>
      <c r="CA458" s="37">
        <v>0</v>
      </c>
      <c r="CB458" s="37">
        <v>0</v>
      </c>
      <c r="CC458" s="37">
        <v>0</v>
      </c>
      <c r="CD458" s="37">
        <v>0</v>
      </c>
      <c r="CE458" s="37">
        <v>0</v>
      </c>
      <c r="CF458" s="37">
        <v>0</v>
      </c>
      <c r="CG458" s="59">
        <v>0</v>
      </c>
      <c r="CH458" s="37">
        <v>0</v>
      </c>
      <c r="CI458" s="37">
        <v>1875</v>
      </c>
      <c r="CJ458" s="37">
        <v>0</v>
      </c>
      <c r="CK458" s="37">
        <v>0</v>
      </c>
      <c r="CL458" s="37">
        <v>0</v>
      </c>
      <c r="CM458" s="37">
        <v>0</v>
      </c>
      <c r="CN458" s="59">
        <v>1875</v>
      </c>
      <c r="CO458" s="59">
        <v>1875</v>
      </c>
      <c r="CP458" s="58"/>
      <c r="CQ458" s="3">
        <v>1875</v>
      </c>
    </row>
    <row r="459" spans="1:95" customFormat="1" x14ac:dyDescent="0.2">
      <c r="A459" s="209">
        <v>43388</v>
      </c>
      <c r="B459" s="33" t="s">
        <v>55</v>
      </c>
      <c r="C459" s="33" t="s">
        <v>56</v>
      </c>
      <c r="D459" s="43">
        <v>0</v>
      </c>
      <c r="E459" s="43">
        <v>0</v>
      </c>
      <c r="F459" s="43">
        <v>0</v>
      </c>
      <c r="G459" s="43">
        <v>0</v>
      </c>
      <c r="H459" s="43">
        <v>0</v>
      </c>
      <c r="I459" s="43">
        <v>0</v>
      </c>
      <c r="J459" s="43">
        <v>0</v>
      </c>
      <c r="K459" s="43">
        <v>0</v>
      </c>
      <c r="L459" s="43">
        <v>0</v>
      </c>
      <c r="M459" s="43">
        <v>0</v>
      </c>
      <c r="N459" s="43">
        <v>0</v>
      </c>
      <c r="O459" s="43">
        <v>0</v>
      </c>
      <c r="P459" s="47">
        <v>0</v>
      </c>
      <c r="R459" s="37">
        <v>0</v>
      </c>
      <c r="S459" s="37">
        <v>0</v>
      </c>
      <c r="T459" s="37">
        <v>4000</v>
      </c>
      <c r="U459" s="37">
        <v>0</v>
      </c>
      <c r="V459" s="37">
        <v>2000</v>
      </c>
      <c r="W459" s="37">
        <v>0</v>
      </c>
      <c r="X459" s="37">
        <v>800</v>
      </c>
      <c r="Y459" s="37">
        <v>0</v>
      </c>
      <c r="Z459" s="37">
        <v>400</v>
      </c>
      <c r="AA459" s="37">
        <v>0</v>
      </c>
      <c r="AB459" s="37">
        <v>200</v>
      </c>
      <c r="AC459" s="37">
        <v>0</v>
      </c>
      <c r="AD459" s="37">
        <v>80</v>
      </c>
      <c r="AE459" s="37">
        <v>0</v>
      </c>
      <c r="AF459" s="37">
        <v>0</v>
      </c>
      <c r="AG459" s="59">
        <v>7480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59">
        <v>0</v>
      </c>
      <c r="AT459" s="59">
        <v>7480</v>
      </c>
      <c r="AU459" s="45"/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>
        <v>0</v>
      </c>
      <c r="BB459" s="37">
        <v>0</v>
      </c>
      <c r="BC459" s="37">
        <v>0</v>
      </c>
      <c r="BD459" s="37">
        <v>0</v>
      </c>
      <c r="BE459" s="37">
        <v>0</v>
      </c>
      <c r="BF459" s="37">
        <v>0</v>
      </c>
      <c r="BG459" s="37">
        <v>0</v>
      </c>
      <c r="BH459" s="37">
        <v>0</v>
      </c>
      <c r="BI459" s="37">
        <v>0</v>
      </c>
      <c r="BJ459" s="37">
        <v>0</v>
      </c>
      <c r="BK459" s="59">
        <v>0</v>
      </c>
      <c r="BL459" s="37">
        <v>0</v>
      </c>
      <c r="BM459" s="37">
        <v>0</v>
      </c>
      <c r="BN459" s="37">
        <v>0</v>
      </c>
      <c r="BO459" s="37">
        <v>0</v>
      </c>
      <c r="BP459" s="37">
        <v>0</v>
      </c>
      <c r="BQ459" s="37">
        <v>0</v>
      </c>
      <c r="BR459" s="37">
        <v>0</v>
      </c>
      <c r="BS459" s="37">
        <v>0</v>
      </c>
      <c r="BT459" s="37">
        <v>0</v>
      </c>
      <c r="BU459" s="37">
        <v>0</v>
      </c>
      <c r="BV459" s="37">
        <v>0</v>
      </c>
      <c r="BW459" s="59">
        <v>0</v>
      </c>
      <c r="BX459" s="59">
        <v>0</v>
      </c>
      <c r="BZ459" s="37">
        <v>4000</v>
      </c>
      <c r="CA459" s="37">
        <v>2000</v>
      </c>
      <c r="CB459" s="37">
        <v>800</v>
      </c>
      <c r="CC459" s="37">
        <v>400</v>
      </c>
      <c r="CD459" s="37">
        <v>200</v>
      </c>
      <c r="CE459" s="37">
        <v>80</v>
      </c>
      <c r="CF459" s="37">
        <v>0</v>
      </c>
      <c r="CG459" s="59">
        <v>7480</v>
      </c>
      <c r="CH459" s="37">
        <v>0</v>
      </c>
      <c r="CI459" s="37">
        <v>0</v>
      </c>
      <c r="CJ459" s="37">
        <v>0</v>
      </c>
      <c r="CK459" s="37">
        <v>0</v>
      </c>
      <c r="CL459" s="37">
        <v>0</v>
      </c>
      <c r="CM459" s="37">
        <v>0</v>
      </c>
      <c r="CN459" s="59">
        <v>0</v>
      </c>
      <c r="CO459" s="59">
        <v>7480</v>
      </c>
      <c r="CP459" s="58"/>
      <c r="CQ459" s="3">
        <v>7480</v>
      </c>
    </row>
    <row r="460" spans="1:95" customFormat="1" x14ac:dyDescent="0.2">
      <c r="A460" s="209">
        <v>43388</v>
      </c>
      <c r="B460" s="33" t="s">
        <v>83</v>
      </c>
      <c r="C460" s="33" t="s">
        <v>76</v>
      </c>
      <c r="D460" s="43">
        <v>0</v>
      </c>
      <c r="E460" s="43">
        <v>1</v>
      </c>
      <c r="F460" s="43">
        <v>0</v>
      </c>
      <c r="G460" s="43">
        <v>0</v>
      </c>
      <c r="H460" s="43">
        <v>0</v>
      </c>
      <c r="I460" s="43">
        <v>0</v>
      </c>
      <c r="J460" s="43">
        <v>0</v>
      </c>
      <c r="K460" s="43">
        <v>0</v>
      </c>
      <c r="L460" s="43">
        <v>0</v>
      </c>
      <c r="M460" s="43">
        <v>0</v>
      </c>
      <c r="N460" s="43">
        <v>0</v>
      </c>
      <c r="O460" s="43">
        <v>0</v>
      </c>
      <c r="P460" s="47" t="s">
        <v>45</v>
      </c>
      <c r="R460" s="37">
        <v>0</v>
      </c>
      <c r="S460" s="37">
        <v>0</v>
      </c>
      <c r="T460" s="37">
        <v>600000</v>
      </c>
      <c r="U460" s="37">
        <v>0</v>
      </c>
      <c r="V460" s="37">
        <v>0</v>
      </c>
      <c r="W460" s="37">
        <v>0</v>
      </c>
      <c r="X460" s="37">
        <v>0</v>
      </c>
      <c r="Y460" s="37">
        <v>0</v>
      </c>
      <c r="Z460" s="37">
        <v>0</v>
      </c>
      <c r="AA460" s="37">
        <v>0</v>
      </c>
      <c r="AB460" s="37">
        <v>0</v>
      </c>
      <c r="AC460" s="37">
        <v>0</v>
      </c>
      <c r="AD460" s="37">
        <v>0</v>
      </c>
      <c r="AE460" s="37">
        <v>0</v>
      </c>
      <c r="AF460" s="37">
        <v>0</v>
      </c>
      <c r="AG460" s="59">
        <v>600000</v>
      </c>
      <c r="AH460" s="37">
        <v>2250</v>
      </c>
      <c r="AI460" s="37">
        <v>250</v>
      </c>
      <c r="AJ460" s="37">
        <v>250</v>
      </c>
      <c r="AK460" s="37">
        <v>0</v>
      </c>
      <c r="AL460" s="37">
        <v>0</v>
      </c>
      <c r="AM460" s="37">
        <v>0</v>
      </c>
      <c r="AN460" s="37">
        <v>200</v>
      </c>
      <c r="AO460" s="37">
        <v>0</v>
      </c>
      <c r="AP460" s="37">
        <v>0</v>
      </c>
      <c r="AQ460" s="37">
        <v>0</v>
      </c>
      <c r="AR460" s="37">
        <v>0</v>
      </c>
      <c r="AS460" s="59">
        <v>2950</v>
      </c>
      <c r="AT460" s="59">
        <v>602950</v>
      </c>
      <c r="AU460" s="45"/>
      <c r="AV460" s="37">
        <v>0</v>
      </c>
      <c r="AW460" s="37">
        <v>0</v>
      </c>
      <c r="AX460" s="37">
        <v>0</v>
      </c>
      <c r="AY460" s="37">
        <v>0</v>
      </c>
      <c r="AZ460" s="37">
        <v>0</v>
      </c>
      <c r="BA460" s="37">
        <v>0</v>
      </c>
      <c r="BB460" s="37">
        <v>0</v>
      </c>
      <c r="BC460" s="37">
        <v>0</v>
      </c>
      <c r="BD460" s="37">
        <v>0</v>
      </c>
      <c r="BE460" s="37">
        <v>0</v>
      </c>
      <c r="BF460" s="37">
        <v>0</v>
      </c>
      <c r="BG460" s="37">
        <v>0</v>
      </c>
      <c r="BH460" s="37">
        <v>0</v>
      </c>
      <c r="BI460" s="37">
        <v>0</v>
      </c>
      <c r="BJ460" s="37">
        <v>0</v>
      </c>
      <c r="BK460" s="59">
        <v>0</v>
      </c>
      <c r="BL460" s="37">
        <v>0</v>
      </c>
      <c r="BM460" s="37">
        <v>0</v>
      </c>
      <c r="BN460" s="37">
        <v>0</v>
      </c>
      <c r="BO460" s="37">
        <v>0</v>
      </c>
      <c r="BP460" s="37">
        <v>0</v>
      </c>
      <c r="BQ460" s="37">
        <v>0</v>
      </c>
      <c r="BR460" s="37">
        <v>0</v>
      </c>
      <c r="BS460" s="37">
        <v>0</v>
      </c>
      <c r="BT460" s="37">
        <v>0</v>
      </c>
      <c r="BU460" s="37">
        <v>0</v>
      </c>
      <c r="BV460" s="37">
        <v>0</v>
      </c>
      <c r="BW460" s="59">
        <v>0</v>
      </c>
      <c r="BX460" s="59">
        <v>0</v>
      </c>
      <c r="BZ460" s="37">
        <v>600000</v>
      </c>
      <c r="CA460" s="37">
        <v>0</v>
      </c>
      <c r="CB460" s="37">
        <v>0</v>
      </c>
      <c r="CC460" s="37">
        <v>0</v>
      </c>
      <c r="CD460" s="37">
        <v>0</v>
      </c>
      <c r="CE460" s="37">
        <v>0</v>
      </c>
      <c r="CF460" s="37">
        <v>0</v>
      </c>
      <c r="CG460" s="59">
        <v>600000</v>
      </c>
      <c r="CH460" s="37">
        <v>2500</v>
      </c>
      <c r="CI460" s="37">
        <v>250</v>
      </c>
      <c r="CJ460" s="37">
        <v>200</v>
      </c>
      <c r="CK460" s="37">
        <v>0</v>
      </c>
      <c r="CL460" s="37">
        <v>0</v>
      </c>
      <c r="CM460" s="37">
        <v>0</v>
      </c>
      <c r="CN460" s="59">
        <v>2950</v>
      </c>
      <c r="CO460" s="59">
        <v>602950</v>
      </c>
      <c r="CP460" s="58"/>
      <c r="CQ460" s="3">
        <v>602950</v>
      </c>
    </row>
    <row r="461" spans="1:95" customFormat="1" x14ac:dyDescent="0.2">
      <c r="A461" s="209">
        <v>43389</v>
      </c>
      <c r="B461" s="33" t="s">
        <v>55</v>
      </c>
      <c r="C461" s="33" t="s">
        <v>56</v>
      </c>
      <c r="D461" s="43">
        <v>0</v>
      </c>
      <c r="E461" s="43">
        <v>0</v>
      </c>
      <c r="F461" s="43">
        <v>0</v>
      </c>
      <c r="G461" s="43">
        <v>0</v>
      </c>
      <c r="H461" s="43">
        <v>0</v>
      </c>
      <c r="I461" s="43">
        <v>0</v>
      </c>
      <c r="J461" s="43">
        <v>0</v>
      </c>
      <c r="K461" s="43">
        <v>0</v>
      </c>
      <c r="L461" s="43">
        <v>0</v>
      </c>
      <c r="M461" s="43">
        <v>0</v>
      </c>
      <c r="N461" s="43">
        <v>0</v>
      </c>
      <c r="O461" s="43">
        <v>0</v>
      </c>
      <c r="P461" s="47">
        <v>0</v>
      </c>
      <c r="R461" s="37">
        <v>0</v>
      </c>
      <c r="S461" s="37">
        <v>0</v>
      </c>
      <c r="T461" s="37">
        <v>4000</v>
      </c>
      <c r="U461" s="37">
        <v>0</v>
      </c>
      <c r="V461" s="37">
        <v>2000</v>
      </c>
      <c r="W461" s="37">
        <v>0</v>
      </c>
      <c r="X461" s="37">
        <v>800</v>
      </c>
      <c r="Y461" s="37">
        <v>0</v>
      </c>
      <c r="Z461" s="37">
        <v>400</v>
      </c>
      <c r="AA461" s="37">
        <v>0</v>
      </c>
      <c r="AB461" s="37">
        <v>200</v>
      </c>
      <c r="AC461" s="37">
        <v>0</v>
      </c>
      <c r="AD461" s="37">
        <v>80</v>
      </c>
      <c r="AE461" s="37">
        <v>0</v>
      </c>
      <c r="AF461" s="37">
        <v>0</v>
      </c>
      <c r="AG461" s="59">
        <v>7480</v>
      </c>
      <c r="AH461" s="37">
        <v>0</v>
      </c>
      <c r="AI461" s="37">
        <v>0</v>
      </c>
      <c r="AJ461" s="37">
        <v>0</v>
      </c>
      <c r="AK461" s="37">
        <v>0</v>
      </c>
      <c r="AL461" s="37">
        <v>5</v>
      </c>
      <c r="AM461" s="37">
        <v>0</v>
      </c>
      <c r="AN461" s="37">
        <v>4</v>
      </c>
      <c r="AO461" s="37">
        <v>0</v>
      </c>
      <c r="AP461" s="37">
        <v>2</v>
      </c>
      <c r="AQ461" s="37">
        <v>0</v>
      </c>
      <c r="AR461" s="37">
        <v>0</v>
      </c>
      <c r="AS461" s="59">
        <v>11</v>
      </c>
      <c r="AT461" s="59">
        <v>7491</v>
      </c>
      <c r="AU461" s="45"/>
      <c r="AV461" s="37">
        <v>0</v>
      </c>
      <c r="AW461" s="37">
        <v>0</v>
      </c>
      <c r="AX461" s="37">
        <v>0</v>
      </c>
      <c r="AY461" s="37">
        <v>0</v>
      </c>
      <c r="AZ461" s="37">
        <v>0</v>
      </c>
      <c r="BA461" s="37">
        <v>0</v>
      </c>
      <c r="BB461" s="37">
        <v>0</v>
      </c>
      <c r="BC461" s="37">
        <v>0</v>
      </c>
      <c r="BD461" s="37">
        <v>0</v>
      </c>
      <c r="BE461" s="37">
        <v>0</v>
      </c>
      <c r="BF461" s="37">
        <v>0</v>
      </c>
      <c r="BG461" s="37">
        <v>0</v>
      </c>
      <c r="BH461" s="37">
        <v>0</v>
      </c>
      <c r="BI461" s="37">
        <v>0</v>
      </c>
      <c r="BJ461" s="37">
        <v>0</v>
      </c>
      <c r="BK461" s="59">
        <v>0</v>
      </c>
      <c r="BL461" s="37">
        <v>0</v>
      </c>
      <c r="BM461" s="37">
        <v>0</v>
      </c>
      <c r="BN461" s="37">
        <v>0</v>
      </c>
      <c r="BO461" s="37">
        <v>0</v>
      </c>
      <c r="BP461" s="37">
        <v>0</v>
      </c>
      <c r="BQ461" s="37">
        <v>0</v>
      </c>
      <c r="BR461" s="37">
        <v>0</v>
      </c>
      <c r="BS461" s="37">
        <v>0</v>
      </c>
      <c r="BT461" s="37">
        <v>0</v>
      </c>
      <c r="BU461" s="37">
        <v>0</v>
      </c>
      <c r="BV461" s="37">
        <v>0</v>
      </c>
      <c r="BW461" s="59">
        <v>0</v>
      </c>
      <c r="BX461" s="59">
        <v>0</v>
      </c>
      <c r="BZ461" s="37">
        <v>4000</v>
      </c>
      <c r="CA461" s="37">
        <v>2000</v>
      </c>
      <c r="CB461" s="37">
        <v>800</v>
      </c>
      <c r="CC461" s="37">
        <v>400</v>
      </c>
      <c r="CD461" s="37">
        <v>200</v>
      </c>
      <c r="CE461" s="37">
        <v>80</v>
      </c>
      <c r="CF461" s="37">
        <v>0</v>
      </c>
      <c r="CG461" s="59">
        <v>7480</v>
      </c>
      <c r="CH461" s="37">
        <v>0</v>
      </c>
      <c r="CI461" s="37">
        <v>5</v>
      </c>
      <c r="CJ461" s="37">
        <v>4</v>
      </c>
      <c r="CK461" s="37">
        <v>2</v>
      </c>
      <c r="CL461" s="37">
        <v>0</v>
      </c>
      <c r="CM461" s="37">
        <v>0</v>
      </c>
      <c r="CN461" s="59">
        <v>11</v>
      </c>
      <c r="CO461" s="59">
        <v>7491</v>
      </c>
      <c r="CP461" s="58"/>
      <c r="CQ461" s="3">
        <v>7491</v>
      </c>
    </row>
    <row r="462" spans="1:95" customFormat="1" x14ac:dyDescent="0.2">
      <c r="A462" s="209">
        <v>43389</v>
      </c>
      <c r="B462" s="33" t="s">
        <v>53</v>
      </c>
      <c r="C462" s="33" t="s">
        <v>57</v>
      </c>
      <c r="D462" s="43">
        <v>0</v>
      </c>
      <c r="E462" s="43">
        <v>0</v>
      </c>
      <c r="F462" s="43">
        <v>0</v>
      </c>
      <c r="G462" s="43">
        <v>0</v>
      </c>
      <c r="H462" s="43">
        <v>0</v>
      </c>
      <c r="I462" s="43">
        <v>0</v>
      </c>
      <c r="J462" s="43">
        <v>0</v>
      </c>
      <c r="K462" s="43">
        <v>0</v>
      </c>
      <c r="L462" s="43">
        <v>0</v>
      </c>
      <c r="M462" s="43">
        <v>0</v>
      </c>
      <c r="N462" s="43">
        <v>0</v>
      </c>
      <c r="O462" s="43">
        <v>0</v>
      </c>
      <c r="P462" s="47">
        <v>0</v>
      </c>
      <c r="R462" s="37">
        <v>0</v>
      </c>
      <c r="S462" s="37">
        <v>0</v>
      </c>
      <c r="T462" s="37">
        <v>36000</v>
      </c>
      <c r="U462" s="37">
        <v>0</v>
      </c>
      <c r="V462" s="37">
        <v>20000</v>
      </c>
      <c r="W462" s="37">
        <v>0</v>
      </c>
      <c r="X462" s="37">
        <v>8000</v>
      </c>
      <c r="Y462" s="37">
        <v>0</v>
      </c>
      <c r="Z462" s="37">
        <v>4000</v>
      </c>
      <c r="AA462" s="37">
        <v>0</v>
      </c>
      <c r="AB462" s="37">
        <v>2200</v>
      </c>
      <c r="AC462" s="37">
        <v>0</v>
      </c>
      <c r="AD462" s="37">
        <v>800</v>
      </c>
      <c r="AE462" s="37">
        <v>0</v>
      </c>
      <c r="AF462" s="37">
        <v>0</v>
      </c>
      <c r="AG462" s="59">
        <v>71000</v>
      </c>
      <c r="AH462" s="37">
        <v>0</v>
      </c>
      <c r="AI462" s="37">
        <v>0</v>
      </c>
      <c r="AJ462" s="37">
        <v>0</v>
      </c>
      <c r="AK462" s="37">
        <v>0</v>
      </c>
      <c r="AL462" s="37">
        <v>20</v>
      </c>
      <c r="AM462" s="37">
        <v>0</v>
      </c>
      <c r="AN462" s="37">
        <v>16</v>
      </c>
      <c r="AO462" s="37">
        <v>0</v>
      </c>
      <c r="AP462" s="37">
        <v>10</v>
      </c>
      <c r="AQ462" s="37">
        <v>0</v>
      </c>
      <c r="AR462" s="37">
        <v>0</v>
      </c>
      <c r="AS462" s="59">
        <v>46</v>
      </c>
      <c r="AT462" s="59">
        <v>71046</v>
      </c>
      <c r="AU462" s="45"/>
      <c r="AV462" s="37">
        <v>0</v>
      </c>
      <c r="AW462" s="37">
        <v>0</v>
      </c>
      <c r="AX462" s="37">
        <v>0</v>
      </c>
      <c r="AY462" s="37">
        <v>0</v>
      </c>
      <c r="AZ462" s="37">
        <v>0</v>
      </c>
      <c r="BA462" s="37">
        <v>0</v>
      </c>
      <c r="BB462" s="37">
        <v>0</v>
      </c>
      <c r="BC462" s="37">
        <v>0</v>
      </c>
      <c r="BD462" s="37">
        <v>0</v>
      </c>
      <c r="BE462" s="37">
        <v>0</v>
      </c>
      <c r="BF462" s="37">
        <v>0</v>
      </c>
      <c r="BG462" s="37">
        <v>0</v>
      </c>
      <c r="BH462" s="37">
        <v>0</v>
      </c>
      <c r="BI462" s="37">
        <v>0</v>
      </c>
      <c r="BJ462" s="37">
        <v>0</v>
      </c>
      <c r="BK462" s="59">
        <v>0</v>
      </c>
      <c r="BL462" s="37">
        <v>0</v>
      </c>
      <c r="BM462" s="37">
        <v>0</v>
      </c>
      <c r="BN462" s="37">
        <v>0</v>
      </c>
      <c r="BO462" s="37">
        <v>0</v>
      </c>
      <c r="BP462" s="37">
        <v>0</v>
      </c>
      <c r="BQ462" s="37">
        <v>0</v>
      </c>
      <c r="BR462" s="37">
        <v>0</v>
      </c>
      <c r="BS462" s="37">
        <v>0</v>
      </c>
      <c r="BT462" s="37">
        <v>0</v>
      </c>
      <c r="BU462" s="37">
        <v>0</v>
      </c>
      <c r="BV462" s="37">
        <v>0</v>
      </c>
      <c r="BW462" s="59">
        <v>0</v>
      </c>
      <c r="BX462" s="59">
        <v>0</v>
      </c>
      <c r="BZ462" s="37">
        <v>36000</v>
      </c>
      <c r="CA462" s="37">
        <v>20000</v>
      </c>
      <c r="CB462" s="37">
        <v>8000</v>
      </c>
      <c r="CC462" s="37">
        <v>4000</v>
      </c>
      <c r="CD462" s="37">
        <v>2200</v>
      </c>
      <c r="CE462" s="37">
        <v>800</v>
      </c>
      <c r="CF462" s="37">
        <v>0</v>
      </c>
      <c r="CG462" s="59">
        <v>71000</v>
      </c>
      <c r="CH462" s="37">
        <v>0</v>
      </c>
      <c r="CI462" s="37">
        <v>20</v>
      </c>
      <c r="CJ462" s="37">
        <v>16</v>
      </c>
      <c r="CK462" s="37">
        <v>10</v>
      </c>
      <c r="CL462" s="37">
        <v>0</v>
      </c>
      <c r="CM462" s="37">
        <v>0</v>
      </c>
      <c r="CN462" s="59">
        <v>46</v>
      </c>
      <c r="CO462" s="59">
        <v>71046</v>
      </c>
      <c r="CP462" s="58"/>
      <c r="CQ462" s="3">
        <v>71046</v>
      </c>
    </row>
    <row r="463" spans="1:95" customFormat="1" x14ac:dyDescent="0.2">
      <c r="A463" s="209">
        <v>43389</v>
      </c>
      <c r="B463" s="33" t="s">
        <v>53</v>
      </c>
      <c r="C463" s="33" t="s">
        <v>54</v>
      </c>
      <c r="D463" s="43">
        <v>1</v>
      </c>
      <c r="E463" s="43">
        <v>0</v>
      </c>
      <c r="F463" s="43">
        <v>0</v>
      </c>
      <c r="G463" s="43">
        <v>0</v>
      </c>
      <c r="H463" s="43">
        <v>0</v>
      </c>
      <c r="I463" s="43">
        <v>0</v>
      </c>
      <c r="J463" s="43">
        <v>0</v>
      </c>
      <c r="K463" s="43">
        <v>0</v>
      </c>
      <c r="L463" s="43">
        <v>0</v>
      </c>
      <c r="M463" s="43">
        <v>0</v>
      </c>
      <c r="N463" s="43">
        <v>0</v>
      </c>
      <c r="O463" s="43">
        <v>0</v>
      </c>
      <c r="P463" s="47" t="s">
        <v>45</v>
      </c>
      <c r="R463" s="37">
        <v>0</v>
      </c>
      <c r="S463" s="37">
        <v>0</v>
      </c>
      <c r="T463" s="37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v>0</v>
      </c>
      <c r="AD463" s="37">
        <v>0</v>
      </c>
      <c r="AE463" s="37">
        <v>0</v>
      </c>
      <c r="AF463" s="37">
        <v>0</v>
      </c>
      <c r="AG463" s="59">
        <v>0</v>
      </c>
      <c r="AH463" s="37">
        <v>0</v>
      </c>
      <c r="AI463" s="37">
        <v>0</v>
      </c>
      <c r="AJ463" s="37">
        <v>0</v>
      </c>
      <c r="AK463" s="37">
        <v>0</v>
      </c>
      <c r="AL463" s="37">
        <v>0</v>
      </c>
      <c r="AM463" s="37">
        <v>0</v>
      </c>
      <c r="AN463" s="37">
        <v>0</v>
      </c>
      <c r="AO463" s="37">
        <v>0</v>
      </c>
      <c r="AP463" s="37">
        <v>200</v>
      </c>
      <c r="AQ463" s="37">
        <v>0</v>
      </c>
      <c r="AR463" s="37">
        <v>0</v>
      </c>
      <c r="AS463" s="59">
        <v>200</v>
      </c>
      <c r="AT463" s="59">
        <v>200</v>
      </c>
      <c r="AU463" s="45"/>
      <c r="AV463" s="37">
        <v>0</v>
      </c>
      <c r="AW463" s="37">
        <v>0</v>
      </c>
      <c r="AX463" s="37">
        <v>0</v>
      </c>
      <c r="AY463" s="37">
        <v>0</v>
      </c>
      <c r="AZ463" s="37">
        <v>0</v>
      </c>
      <c r="BA463" s="37">
        <v>0</v>
      </c>
      <c r="BB463" s="37">
        <v>0</v>
      </c>
      <c r="BC463" s="37">
        <v>0</v>
      </c>
      <c r="BD463" s="37">
        <v>0</v>
      </c>
      <c r="BE463" s="37">
        <v>0</v>
      </c>
      <c r="BF463" s="37">
        <v>0</v>
      </c>
      <c r="BG463" s="37">
        <v>0</v>
      </c>
      <c r="BH463" s="37">
        <v>0</v>
      </c>
      <c r="BI463" s="37">
        <v>0</v>
      </c>
      <c r="BJ463" s="37">
        <v>0</v>
      </c>
      <c r="BK463" s="59">
        <v>0</v>
      </c>
      <c r="BL463" s="37">
        <v>0</v>
      </c>
      <c r="BM463" s="37">
        <v>0</v>
      </c>
      <c r="BN463" s="37">
        <v>0</v>
      </c>
      <c r="BO463" s="37">
        <v>0</v>
      </c>
      <c r="BP463" s="37">
        <v>0</v>
      </c>
      <c r="BQ463" s="37">
        <v>0</v>
      </c>
      <c r="BR463" s="37">
        <v>0</v>
      </c>
      <c r="BS463" s="37">
        <v>0</v>
      </c>
      <c r="BT463" s="37">
        <v>0</v>
      </c>
      <c r="BU463" s="37">
        <v>0</v>
      </c>
      <c r="BV463" s="37">
        <v>0</v>
      </c>
      <c r="BW463" s="59">
        <v>0</v>
      </c>
      <c r="BX463" s="59">
        <v>0</v>
      </c>
      <c r="BZ463" s="37">
        <v>0</v>
      </c>
      <c r="CA463" s="37">
        <v>0</v>
      </c>
      <c r="CB463" s="37">
        <v>0</v>
      </c>
      <c r="CC463" s="37">
        <v>0</v>
      </c>
      <c r="CD463" s="37">
        <v>0</v>
      </c>
      <c r="CE463" s="37">
        <v>0</v>
      </c>
      <c r="CF463" s="37">
        <v>0</v>
      </c>
      <c r="CG463" s="59">
        <v>0</v>
      </c>
      <c r="CH463" s="37">
        <v>0</v>
      </c>
      <c r="CI463" s="37">
        <v>0</v>
      </c>
      <c r="CJ463" s="37">
        <v>0</v>
      </c>
      <c r="CK463" s="37">
        <v>200</v>
      </c>
      <c r="CL463" s="37">
        <v>0</v>
      </c>
      <c r="CM463" s="37">
        <v>0</v>
      </c>
      <c r="CN463" s="59">
        <v>200</v>
      </c>
      <c r="CO463" s="59">
        <v>200</v>
      </c>
      <c r="CP463" s="58"/>
      <c r="CQ463" s="3">
        <v>200</v>
      </c>
    </row>
    <row r="464" spans="1:95" customFormat="1" x14ac:dyDescent="0.2">
      <c r="A464" s="209">
        <v>43388</v>
      </c>
      <c r="B464" s="33" t="s">
        <v>148</v>
      </c>
      <c r="C464" s="33" t="s">
        <v>149</v>
      </c>
      <c r="D464" s="43">
        <v>0</v>
      </c>
      <c r="E464" s="43">
        <v>0</v>
      </c>
      <c r="F464" s="43">
        <v>0</v>
      </c>
      <c r="G464" s="43">
        <v>0</v>
      </c>
      <c r="H464" s="43">
        <v>0</v>
      </c>
      <c r="I464" s="43">
        <v>0</v>
      </c>
      <c r="J464" s="43">
        <v>0</v>
      </c>
      <c r="K464" s="43">
        <v>0</v>
      </c>
      <c r="L464" s="43">
        <v>0</v>
      </c>
      <c r="M464" s="43">
        <v>0</v>
      </c>
      <c r="N464" s="43">
        <v>0</v>
      </c>
      <c r="O464" s="43">
        <v>0</v>
      </c>
      <c r="P464" s="47">
        <v>0</v>
      </c>
      <c r="R464" s="37">
        <v>0</v>
      </c>
      <c r="S464" s="37">
        <v>0</v>
      </c>
      <c r="T464" s="37">
        <v>0</v>
      </c>
      <c r="U464" s="37">
        <v>1000000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0</v>
      </c>
      <c r="AB464" s="37">
        <v>0</v>
      </c>
      <c r="AC464" s="37">
        <v>0</v>
      </c>
      <c r="AD464" s="37">
        <v>0</v>
      </c>
      <c r="AE464" s="37">
        <v>0</v>
      </c>
      <c r="AF464" s="37">
        <v>0</v>
      </c>
      <c r="AG464" s="59">
        <v>1000000</v>
      </c>
      <c r="AH464" s="37">
        <v>0</v>
      </c>
      <c r="AI464" s="37">
        <v>0</v>
      </c>
      <c r="AJ464" s="37">
        <v>0</v>
      </c>
      <c r="AK464" s="37">
        <v>0</v>
      </c>
      <c r="AL464" s="37">
        <v>0</v>
      </c>
      <c r="AM464" s="37">
        <v>0</v>
      </c>
      <c r="AN464" s="37">
        <v>0</v>
      </c>
      <c r="AO464" s="37">
        <v>0</v>
      </c>
      <c r="AP464" s="37">
        <v>0</v>
      </c>
      <c r="AQ464" s="37">
        <v>0</v>
      </c>
      <c r="AR464" s="37">
        <v>0</v>
      </c>
      <c r="AS464" s="59">
        <v>0</v>
      </c>
      <c r="AT464" s="59">
        <v>1000000</v>
      </c>
      <c r="AU464" s="45"/>
      <c r="AV464" s="37">
        <v>0</v>
      </c>
      <c r="AW464" s="37">
        <v>0</v>
      </c>
      <c r="AX464" s="37">
        <v>0</v>
      </c>
      <c r="AY464" s="37">
        <v>0</v>
      </c>
      <c r="AZ464" s="37">
        <v>0</v>
      </c>
      <c r="BA464" s="37">
        <v>0</v>
      </c>
      <c r="BB464" s="37">
        <v>0</v>
      </c>
      <c r="BC464" s="37">
        <v>0</v>
      </c>
      <c r="BD464" s="37">
        <v>0</v>
      </c>
      <c r="BE464" s="37">
        <v>0</v>
      </c>
      <c r="BF464" s="37">
        <v>0</v>
      </c>
      <c r="BG464" s="37">
        <v>0</v>
      </c>
      <c r="BH464" s="37">
        <v>0</v>
      </c>
      <c r="BI464" s="37">
        <v>0</v>
      </c>
      <c r="BJ464" s="37">
        <v>0</v>
      </c>
      <c r="BK464" s="59">
        <v>0</v>
      </c>
      <c r="BL464" s="37">
        <v>0</v>
      </c>
      <c r="BM464" s="37">
        <v>0</v>
      </c>
      <c r="BN464" s="37">
        <v>0</v>
      </c>
      <c r="BO464" s="37">
        <v>0</v>
      </c>
      <c r="BP464" s="37">
        <v>0</v>
      </c>
      <c r="BQ464" s="37">
        <v>0</v>
      </c>
      <c r="BR464" s="37">
        <v>0</v>
      </c>
      <c r="BS464" s="37">
        <v>0</v>
      </c>
      <c r="BT464" s="37">
        <v>0</v>
      </c>
      <c r="BU464" s="37">
        <v>0</v>
      </c>
      <c r="BV464" s="37">
        <v>0</v>
      </c>
      <c r="BW464" s="59">
        <v>0</v>
      </c>
      <c r="BX464" s="59">
        <v>0</v>
      </c>
      <c r="BZ464" s="37">
        <v>0</v>
      </c>
      <c r="CA464" s="37">
        <v>1000000</v>
      </c>
      <c r="CB464" s="37">
        <v>0</v>
      </c>
      <c r="CC464" s="37">
        <v>0</v>
      </c>
      <c r="CD464" s="37">
        <v>0</v>
      </c>
      <c r="CE464" s="37">
        <v>0</v>
      </c>
      <c r="CF464" s="37">
        <v>0</v>
      </c>
      <c r="CG464" s="59">
        <v>1000000</v>
      </c>
      <c r="CH464" s="37">
        <v>0</v>
      </c>
      <c r="CI464" s="37">
        <v>0</v>
      </c>
      <c r="CJ464" s="37">
        <v>0</v>
      </c>
      <c r="CK464" s="37">
        <v>0</v>
      </c>
      <c r="CL464" s="37">
        <v>0</v>
      </c>
      <c r="CM464" s="37">
        <v>0</v>
      </c>
      <c r="CN464" s="59">
        <v>0</v>
      </c>
      <c r="CO464" s="59">
        <v>1000000</v>
      </c>
      <c r="CP464" s="58"/>
      <c r="CQ464" s="3">
        <v>1000000</v>
      </c>
    </row>
    <row r="465" spans="1:95" customFormat="1" x14ac:dyDescent="0.2">
      <c r="A465" s="209">
        <v>43390</v>
      </c>
      <c r="B465" s="33" t="s">
        <v>55</v>
      </c>
      <c r="C465" s="33" t="s">
        <v>56</v>
      </c>
      <c r="D465" s="43">
        <v>0</v>
      </c>
      <c r="E465" s="43">
        <v>0</v>
      </c>
      <c r="F465" s="43">
        <v>0</v>
      </c>
      <c r="G465" s="43">
        <v>0</v>
      </c>
      <c r="H465" s="43">
        <v>0</v>
      </c>
      <c r="I465" s="43">
        <v>0</v>
      </c>
      <c r="J465" s="43">
        <v>0</v>
      </c>
      <c r="K465" s="43">
        <v>0</v>
      </c>
      <c r="L465" s="43">
        <v>0</v>
      </c>
      <c r="M465" s="43">
        <v>0</v>
      </c>
      <c r="N465" s="43">
        <v>0</v>
      </c>
      <c r="O465" s="43">
        <v>0</v>
      </c>
      <c r="P465" s="47">
        <v>0</v>
      </c>
      <c r="R465" s="37">
        <v>0</v>
      </c>
      <c r="S465" s="37">
        <v>0</v>
      </c>
      <c r="T465" s="37">
        <v>4000</v>
      </c>
      <c r="U465" s="37">
        <v>0</v>
      </c>
      <c r="V465" s="37">
        <v>2000</v>
      </c>
      <c r="W465" s="37">
        <v>0</v>
      </c>
      <c r="X465" s="37">
        <v>0</v>
      </c>
      <c r="Y465" s="37">
        <v>0</v>
      </c>
      <c r="Z465" s="37">
        <v>400</v>
      </c>
      <c r="AA465" s="37">
        <v>0</v>
      </c>
      <c r="AB465" s="37">
        <v>200</v>
      </c>
      <c r="AC465" s="37">
        <v>0</v>
      </c>
      <c r="AD465" s="37">
        <v>80</v>
      </c>
      <c r="AE465" s="37">
        <v>0</v>
      </c>
      <c r="AF465" s="37">
        <v>0</v>
      </c>
      <c r="AG465" s="59">
        <v>6680</v>
      </c>
      <c r="AH465" s="37">
        <v>0</v>
      </c>
      <c r="AI465" s="37">
        <v>0</v>
      </c>
      <c r="AJ465" s="37">
        <v>0</v>
      </c>
      <c r="AK465" s="37">
        <v>0</v>
      </c>
      <c r="AL465" s="37">
        <v>0</v>
      </c>
      <c r="AM465" s="37">
        <v>0</v>
      </c>
      <c r="AN465" s="37">
        <v>0</v>
      </c>
      <c r="AO465" s="37">
        <v>0</v>
      </c>
      <c r="AP465" s="37">
        <v>0</v>
      </c>
      <c r="AQ465" s="37">
        <v>0</v>
      </c>
      <c r="AR465" s="37">
        <v>0</v>
      </c>
      <c r="AS465" s="59">
        <v>0</v>
      </c>
      <c r="AT465" s="59">
        <v>6680</v>
      </c>
      <c r="AU465" s="45"/>
      <c r="AV465" s="37">
        <v>0</v>
      </c>
      <c r="AW465" s="37">
        <v>0</v>
      </c>
      <c r="AX465" s="37">
        <v>0</v>
      </c>
      <c r="AY465" s="37">
        <v>0</v>
      </c>
      <c r="AZ465" s="37">
        <v>0</v>
      </c>
      <c r="BA465" s="37">
        <v>0</v>
      </c>
      <c r="BB465" s="37">
        <v>0</v>
      </c>
      <c r="BC465" s="37">
        <v>0</v>
      </c>
      <c r="BD465" s="37">
        <v>0</v>
      </c>
      <c r="BE465" s="37">
        <v>0</v>
      </c>
      <c r="BF465" s="37">
        <v>0</v>
      </c>
      <c r="BG465" s="37">
        <v>0</v>
      </c>
      <c r="BH465" s="37">
        <v>0</v>
      </c>
      <c r="BI465" s="37">
        <v>0</v>
      </c>
      <c r="BJ465" s="37">
        <v>0</v>
      </c>
      <c r="BK465" s="59">
        <v>0</v>
      </c>
      <c r="BL465" s="37">
        <v>0</v>
      </c>
      <c r="BM465" s="37">
        <v>0</v>
      </c>
      <c r="BN465" s="37">
        <v>0</v>
      </c>
      <c r="BO465" s="37">
        <v>0</v>
      </c>
      <c r="BP465" s="37">
        <v>0</v>
      </c>
      <c r="BQ465" s="37">
        <v>0</v>
      </c>
      <c r="BR465" s="37">
        <v>0</v>
      </c>
      <c r="BS465" s="37">
        <v>0</v>
      </c>
      <c r="BT465" s="37">
        <v>0</v>
      </c>
      <c r="BU465" s="37">
        <v>0</v>
      </c>
      <c r="BV465" s="37">
        <v>0</v>
      </c>
      <c r="BW465" s="59">
        <v>0</v>
      </c>
      <c r="BX465" s="59">
        <v>0</v>
      </c>
      <c r="BZ465" s="37">
        <v>4000</v>
      </c>
      <c r="CA465" s="37">
        <v>2000</v>
      </c>
      <c r="CB465" s="37">
        <v>0</v>
      </c>
      <c r="CC465" s="37">
        <v>400</v>
      </c>
      <c r="CD465" s="37">
        <v>200</v>
      </c>
      <c r="CE465" s="37">
        <v>80</v>
      </c>
      <c r="CF465" s="37">
        <v>0</v>
      </c>
      <c r="CG465" s="59">
        <v>6680</v>
      </c>
      <c r="CH465" s="37">
        <v>0</v>
      </c>
      <c r="CI465" s="37">
        <v>0</v>
      </c>
      <c r="CJ465" s="37">
        <v>0</v>
      </c>
      <c r="CK465" s="37">
        <v>0</v>
      </c>
      <c r="CL465" s="37">
        <v>0</v>
      </c>
      <c r="CM465" s="37">
        <v>0</v>
      </c>
      <c r="CN465" s="59">
        <v>0</v>
      </c>
      <c r="CO465" s="59">
        <v>6680</v>
      </c>
      <c r="CP465" s="58"/>
      <c r="CQ465" s="3">
        <v>6680</v>
      </c>
    </row>
    <row r="466" spans="1:95" customFormat="1" x14ac:dyDescent="0.2">
      <c r="A466" s="209">
        <v>43390</v>
      </c>
      <c r="B466" s="33" t="s">
        <v>53</v>
      </c>
      <c r="C466" s="33" t="s">
        <v>150</v>
      </c>
      <c r="D466" s="43">
        <v>0</v>
      </c>
      <c r="E466" s="43">
        <v>0</v>
      </c>
      <c r="F466" s="43">
        <v>0</v>
      </c>
      <c r="G466" s="43">
        <v>0</v>
      </c>
      <c r="H466" s="43">
        <v>0</v>
      </c>
      <c r="I466" s="43">
        <v>0</v>
      </c>
      <c r="J466" s="43">
        <v>0</v>
      </c>
      <c r="K466" s="43">
        <v>0</v>
      </c>
      <c r="L466" s="43">
        <v>0</v>
      </c>
      <c r="M466" s="43">
        <v>0</v>
      </c>
      <c r="N466" s="43">
        <v>1</v>
      </c>
      <c r="O466" s="43">
        <v>0</v>
      </c>
      <c r="P466" s="47" t="s">
        <v>67</v>
      </c>
      <c r="R466" s="37">
        <v>1000000</v>
      </c>
      <c r="S466" s="37">
        <v>1000000</v>
      </c>
      <c r="T466" s="37">
        <v>0</v>
      </c>
      <c r="U466" s="37">
        <v>500000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7">
        <v>0</v>
      </c>
      <c r="AB466" s="37">
        <v>0</v>
      </c>
      <c r="AC466" s="37">
        <v>0</v>
      </c>
      <c r="AD466" s="37">
        <v>0</v>
      </c>
      <c r="AE466" s="37">
        <v>0</v>
      </c>
      <c r="AF466" s="37">
        <v>0</v>
      </c>
      <c r="AG466" s="59">
        <v>2500000</v>
      </c>
      <c r="AH466" s="37">
        <v>0</v>
      </c>
      <c r="AI466" s="37">
        <v>0</v>
      </c>
      <c r="AJ466" s="37">
        <v>0</v>
      </c>
      <c r="AK466" s="37">
        <v>0</v>
      </c>
      <c r="AL466" s="37">
        <v>0</v>
      </c>
      <c r="AM466" s="37">
        <v>0</v>
      </c>
      <c r="AN466" s="37">
        <v>0</v>
      </c>
      <c r="AO466" s="37">
        <v>0</v>
      </c>
      <c r="AP466" s="37">
        <v>0</v>
      </c>
      <c r="AQ466" s="37">
        <v>0</v>
      </c>
      <c r="AR466" s="37">
        <v>0</v>
      </c>
      <c r="AS466" s="59">
        <v>0</v>
      </c>
      <c r="AT466" s="59">
        <v>2500000</v>
      </c>
      <c r="AU466" s="45"/>
      <c r="AV466" s="37">
        <v>0</v>
      </c>
      <c r="AW466" s="37">
        <v>0</v>
      </c>
      <c r="AX466" s="37">
        <v>0</v>
      </c>
      <c r="AY466" s="37">
        <v>0</v>
      </c>
      <c r="AZ466" s="37">
        <v>0</v>
      </c>
      <c r="BA466" s="37">
        <v>0</v>
      </c>
      <c r="BB466" s="37">
        <v>0</v>
      </c>
      <c r="BC466" s="37">
        <v>0</v>
      </c>
      <c r="BD466" s="37">
        <v>0</v>
      </c>
      <c r="BE466" s="37">
        <v>0</v>
      </c>
      <c r="BF466" s="37">
        <v>0</v>
      </c>
      <c r="BG466" s="37">
        <v>0</v>
      </c>
      <c r="BH466" s="37">
        <v>0</v>
      </c>
      <c r="BI466" s="37">
        <v>0</v>
      </c>
      <c r="BJ466" s="37">
        <v>0</v>
      </c>
      <c r="BK466" s="59">
        <v>0</v>
      </c>
      <c r="BL466" s="37">
        <v>0</v>
      </c>
      <c r="BM466" s="37">
        <v>0</v>
      </c>
      <c r="BN466" s="37">
        <v>0</v>
      </c>
      <c r="BO466" s="37">
        <v>0</v>
      </c>
      <c r="BP466" s="37">
        <v>0</v>
      </c>
      <c r="BQ466" s="37">
        <v>0</v>
      </c>
      <c r="BR466" s="37">
        <v>0</v>
      </c>
      <c r="BS466" s="37">
        <v>0</v>
      </c>
      <c r="BT466" s="37">
        <v>0</v>
      </c>
      <c r="BU466" s="37">
        <v>0</v>
      </c>
      <c r="BV466" s="37">
        <v>0</v>
      </c>
      <c r="BW466" s="59">
        <v>0</v>
      </c>
      <c r="BX466" s="59">
        <v>0</v>
      </c>
      <c r="BZ466" s="37">
        <v>2000000</v>
      </c>
      <c r="CA466" s="37">
        <v>500000</v>
      </c>
      <c r="CB466" s="37">
        <v>0</v>
      </c>
      <c r="CC466" s="37">
        <v>0</v>
      </c>
      <c r="CD466" s="37">
        <v>0</v>
      </c>
      <c r="CE466" s="37">
        <v>0</v>
      </c>
      <c r="CF466" s="37">
        <v>0</v>
      </c>
      <c r="CG466" s="59">
        <v>2500000</v>
      </c>
      <c r="CH466" s="37">
        <v>0</v>
      </c>
      <c r="CI466" s="37">
        <v>0</v>
      </c>
      <c r="CJ466" s="37">
        <v>0</v>
      </c>
      <c r="CK466" s="37">
        <v>0</v>
      </c>
      <c r="CL466" s="37">
        <v>0</v>
      </c>
      <c r="CM466" s="37">
        <v>0</v>
      </c>
      <c r="CN466" s="59">
        <v>0</v>
      </c>
      <c r="CO466" s="59">
        <v>2500000</v>
      </c>
      <c r="CP466" s="58"/>
      <c r="CQ466" s="3">
        <v>2500000</v>
      </c>
    </row>
    <row r="467" spans="1:95" customFormat="1" x14ac:dyDescent="0.2">
      <c r="A467" s="209">
        <v>43390</v>
      </c>
      <c r="B467" s="33" t="s">
        <v>53</v>
      </c>
      <c r="C467" s="33" t="s">
        <v>54</v>
      </c>
      <c r="D467" s="43">
        <v>1</v>
      </c>
      <c r="E467" s="43">
        <v>0</v>
      </c>
      <c r="F467" s="43">
        <v>0</v>
      </c>
      <c r="G467" s="43">
        <v>0</v>
      </c>
      <c r="H467" s="43">
        <v>0</v>
      </c>
      <c r="I467" s="43">
        <v>0</v>
      </c>
      <c r="J467" s="43">
        <v>0</v>
      </c>
      <c r="K467" s="43">
        <v>0</v>
      </c>
      <c r="L467" s="43">
        <v>0</v>
      </c>
      <c r="M467" s="43">
        <v>0</v>
      </c>
      <c r="N467" s="43">
        <v>0</v>
      </c>
      <c r="O467" s="43">
        <v>0</v>
      </c>
      <c r="P467" s="47" t="s">
        <v>45</v>
      </c>
      <c r="R467" s="37">
        <v>0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0</v>
      </c>
      <c r="AB467" s="37">
        <v>0</v>
      </c>
      <c r="AC467" s="37">
        <v>0</v>
      </c>
      <c r="AD467" s="37">
        <v>0</v>
      </c>
      <c r="AE467" s="37">
        <v>0</v>
      </c>
      <c r="AF467" s="37">
        <v>0</v>
      </c>
      <c r="AG467" s="59">
        <v>0</v>
      </c>
      <c r="AH467" s="37">
        <v>0</v>
      </c>
      <c r="AI467" s="37">
        <v>0</v>
      </c>
      <c r="AJ467" s="37">
        <v>2500</v>
      </c>
      <c r="AK467" s="37">
        <v>0</v>
      </c>
      <c r="AL467" s="37">
        <v>0</v>
      </c>
      <c r="AM467" s="37">
        <v>0</v>
      </c>
      <c r="AN467" s="37">
        <v>1000</v>
      </c>
      <c r="AO467" s="37">
        <v>0</v>
      </c>
      <c r="AP467" s="37">
        <v>0</v>
      </c>
      <c r="AQ467" s="37">
        <v>0</v>
      </c>
      <c r="AR467" s="37">
        <v>0</v>
      </c>
      <c r="AS467" s="59">
        <v>3500</v>
      </c>
      <c r="AT467" s="59">
        <v>3500</v>
      </c>
      <c r="AU467" s="45"/>
      <c r="AV467" s="37">
        <v>0</v>
      </c>
      <c r="AW467" s="37">
        <v>0</v>
      </c>
      <c r="AX467" s="37">
        <v>0</v>
      </c>
      <c r="AY467" s="37">
        <v>0</v>
      </c>
      <c r="AZ467" s="37">
        <v>0</v>
      </c>
      <c r="BA467" s="37">
        <v>0</v>
      </c>
      <c r="BB467" s="37">
        <v>0</v>
      </c>
      <c r="BC467" s="37">
        <v>0</v>
      </c>
      <c r="BD467" s="37">
        <v>0</v>
      </c>
      <c r="BE467" s="37">
        <v>0</v>
      </c>
      <c r="BF467" s="37">
        <v>0</v>
      </c>
      <c r="BG467" s="37">
        <v>0</v>
      </c>
      <c r="BH467" s="37">
        <v>0</v>
      </c>
      <c r="BI467" s="37">
        <v>0</v>
      </c>
      <c r="BJ467" s="37">
        <v>0</v>
      </c>
      <c r="BK467" s="59">
        <v>0</v>
      </c>
      <c r="BL467" s="37">
        <v>0</v>
      </c>
      <c r="BM467" s="37">
        <v>0</v>
      </c>
      <c r="BN467" s="37">
        <v>0</v>
      </c>
      <c r="BO467" s="37">
        <v>0</v>
      </c>
      <c r="BP467" s="37">
        <v>0</v>
      </c>
      <c r="BQ467" s="37">
        <v>0</v>
      </c>
      <c r="BR467" s="37">
        <v>0</v>
      </c>
      <c r="BS467" s="37">
        <v>0</v>
      </c>
      <c r="BT467" s="37">
        <v>0</v>
      </c>
      <c r="BU467" s="37">
        <v>0</v>
      </c>
      <c r="BV467" s="37">
        <v>0</v>
      </c>
      <c r="BW467" s="59">
        <v>0</v>
      </c>
      <c r="BX467" s="59"/>
      <c r="BZ467" s="37">
        <v>0</v>
      </c>
      <c r="CA467" s="37">
        <v>0</v>
      </c>
      <c r="CB467" s="37">
        <v>0</v>
      </c>
      <c r="CC467" s="37">
        <v>0</v>
      </c>
      <c r="CD467" s="37">
        <v>0</v>
      </c>
      <c r="CE467" s="37">
        <v>0</v>
      </c>
      <c r="CF467" s="37">
        <v>0</v>
      </c>
      <c r="CG467" s="59">
        <v>0</v>
      </c>
      <c r="CH467" s="37">
        <v>0</v>
      </c>
      <c r="CI467" s="37">
        <v>2500</v>
      </c>
      <c r="CJ467" s="37">
        <v>1000</v>
      </c>
      <c r="CK467" s="37">
        <v>0</v>
      </c>
      <c r="CL467" s="37">
        <v>0</v>
      </c>
      <c r="CM467" s="37">
        <v>0</v>
      </c>
      <c r="CN467" s="59">
        <v>3500</v>
      </c>
      <c r="CO467" s="59">
        <v>3500</v>
      </c>
      <c r="CP467" s="58"/>
      <c r="CQ467" s="3">
        <v>3500</v>
      </c>
    </row>
    <row r="468" spans="1:95" customFormat="1" x14ac:dyDescent="0.2">
      <c r="A468" s="209">
        <v>43391</v>
      </c>
      <c r="B468" s="33" t="s">
        <v>55</v>
      </c>
      <c r="C468" s="33" t="s">
        <v>56</v>
      </c>
      <c r="D468" s="43">
        <v>0</v>
      </c>
      <c r="E468" s="43">
        <v>0</v>
      </c>
      <c r="F468" s="43">
        <v>0</v>
      </c>
      <c r="G468" s="43">
        <v>0</v>
      </c>
      <c r="H468" s="43">
        <v>0</v>
      </c>
      <c r="I468" s="43">
        <v>0</v>
      </c>
      <c r="J468" s="43">
        <v>0</v>
      </c>
      <c r="K468" s="43">
        <v>0</v>
      </c>
      <c r="L468" s="43">
        <v>0</v>
      </c>
      <c r="M468" s="43">
        <v>0</v>
      </c>
      <c r="N468" s="43">
        <v>0</v>
      </c>
      <c r="O468" s="43">
        <v>0</v>
      </c>
      <c r="P468" s="47">
        <v>0</v>
      </c>
      <c r="R468" s="37">
        <v>0</v>
      </c>
      <c r="S468" s="37">
        <v>0</v>
      </c>
      <c r="T468" s="37">
        <v>4000</v>
      </c>
      <c r="U468" s="37">
        <v>0</v>
      </c>
      <c r="V468" s="37">
        <v>2000</v>
      </c>
      <c r="W468" s="37">
        <v>0</v>
      </c>
      <c r="X468" s="37">
        <v>0</v>
      </c>
      <c r="Y468" s="37">
        <v>0</v>
      </c>
      <c r="Z468" s="37">
        <v>400</v>
      </c>
      <c r="AA468" s="37">
        <v>0</v>
      </c>
      <c r="AB468" s="37">
        <v>200</v>
      </c>
      <c r="AC468" s="37">
        <v>0</v>
      </c>
      <c r="AD468" s="37">
        <v>80</v>
      </c>
      <c r="AE468" s="37">
        <v>0</v>
      </c>
      <c r="AF468" s="37">
        <v>0</v>
      </c>
      <c r="AG468" s="59">
        <v>6680</v>
      </c>
      <c r="AH468" s="37">
        <v>0</v>
      </c>
      <c r="AI468" s="37">
        <v>0</v>
      </c>
      <c r="AJ468" s="37">
        <v>0</v>
      </c>
      <c r="AK468" s="37">
        <v>0</v>
      </c>
      <c r="AL468" s="37">
        <v>5</v>
      </c>
      <c r="AM468" s="37">
        <v>0</v>
      </c>
      <c r="AN468" s="37">
        <v>4</v>
      </c>
      <c r="AO468" s="37">
        <v>0</v>
      </c>
      <c r="AP468" s="37">
        <v>2</v>
      </c>
      <c r="AQ468" s="37">
        <v>0</v>
      </c>
      <c r="AR468" s="37">
        <v>0</v>
      </c>
      <c r="AS468" s="59">
        <v>11</v>
      </c>
      <c r="AT468" s="59">
        <v>6691</v>
      </c>
      <c r="AU468" s="45"/>
      <c r="AV468" s="37">
        <v>0</v>
      </c>
      <c r="AW468" s="37">
        <v>0</v>
      </c>
      <c r="AX468" s="37">
        <v>0</v>
      </c>
      <c r="AY468" s="37">
        <v>0</v>
      </c>
      <c r="AZ468" s="37">
        <v>0</v>
      </c>
      <c r="BA468" s="37">
        <v>0</v>
      </c>
      <c r="BB468" s="37">
        <v>0</v>
      </c>
      <c r="BC468" s="37">
        <v>0</v>
      </c>
      <c r="BD468" s="37">
        <v>0</v>
      </c>
      <c r="BE468" s="37">
        <v>0</v>
      </c>
      <c r="BF468" s="37">
        <v>0</v>
      </c>
      <c r="BG468" s="37">
        <v>0</v>
      </c>
      <c r="BH468" s="37">
        <v>0</v>
      </c>
      <c r="BI468" s="37">
        <v>0</v>
      </c>
      <c r="BJ468" s="37">
        <v>0</v>
      </c>
      <c r="BK468" s="59">
        <v>0</v>
      </c>
      <c r="BL468" s="37">
        <v>0</v>
      </c>
      <c r="BM468" s="37">
        <v>0</v>
      </c>
      <c r="BN468" s="37">
        <v>0</v>
      </c>
      <c r="BO468" s="37">
        <v>0</v>
      </c>
      <c r="BP468" s="37">
        <v>0</v>
      </c>
      <c r="BQ468" s="37">
        <v>0</v>
      </c>
      <c r="BR468" s="37">
        <v>0</v>
      </c>
      <c r="BS468" s="37">
        <v>0</v>
      </c>
      <c r="BT468" s="37">
        <v>0</v>
      </c>
      <c r="BU468" s="37">
        <v>0</v>
      </c>
      <c r="BV468" s="37">
        <v>0</v>
      </c>
      <c r="BW468" s="59">
        <v>0</v>
      </c>
      <c r="BX468" s="59">
        <v>0</v>
      </c>
      <c r="BZ468" s="37">
        <v>4000</v>
      </c>
      <c r="CA468" s="37">
        <v>2000</v>
      </c>
      <c r="CB468" s="37">
        <v>0</v>
      </c>
      <c r="CC468" s="37">
        <v>400</v>
      </c>
      <c r="CD468" s="37">
        <v>200</v>
      </c>
      <c r="CE468" s="37">
        <v>80</v>
      </c>
      <c r="CF468" s="37">
        <v>0</v>
      </c>
      <c r="CG468" s="59">
        <v>6680</v>
      </c>
      <c r="CH468" s="37">
        <v>0</v>
      </c>
      <c r="CI468" s="37">
        <v>5</v>
      </c>
      <c r="CJ468" s="37">
        <v>4</v>
      </c>
      <c r="CK468" s="37">
        <v>2</v>
      </c>
      <c r="CL468" s="37">
        <v>0</v>
      </c>
      <c r="CM468" s="37">
        <v>0</v>
      </c>
      <c r="CN468" s="59">
        <v>11</v>
      </c>
      <c r="CO468" s="59">
        <v>6691</v>
      </c>
      <c r="CP468" s="58"/>
      <c r="CQ468" s="3">
        <v>6691</v>
      </c>
    </row>
    <row r="469" spans="1:95" customFormat="1" x14ac:dyDescent="0.2">
      <c r="A469" s="209">
        <v>43391</v>
      </c>
      <c r="B469" s="33" t="s">
        <v>53</v>
      </c>
      <c r="C469" s="33" t="s">
        <v>84</v>
      </c>
      <c r="D469" s="43">
        <v>0</v>
      </c>
      <c r="E469" s="43">
        <v>1</v>
      </c>
      <c r="F469" s="43">
        <v>0</v>
      </c>
      <c r="G469" s="43">
        <v>0</v>
      </c>
      <c r="H469" s="43">
        <v>0</v>
      </c>
      <c r="I469" s="43">
        <v>0</v>
      </c>
      <c r="J469" s="43">
        <v>0</v>
      </c>
      <c r="K469" s="43">
        <v>0</v>
      </c>
      <c r="L469" s="43">
        <v>0</v>
      </c>
      <c r="M469" s="43">
        <v>0</v>
      </c>
      <c r="N469" s="43">
        <v>0</v>
      </c>
      <c r="O469" s="43">
        <v>0</v>
      </c>
      <c r="P469" s="47" t="s">
        <v>45</v>
      </c>
      <c r="R469" s="37">
        <v>0</v>
      </c>
      <c r="S469" s="37">
        <v>0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v>0</v>
      </c>
      <c r="AD469" s="37">
        <v>0</v>
      </c>
      <c r="AE469" s="37">
        <v>0</v>
      </c>
      <c r="AF469" s="37">
        <v>0</v>
      </c>
      <c r="AG469" s="59">
        <v>0</v>
      </c>
      <c r="AH469" s="37">
        <v>0</v>
      </c>
      <c r="AI469" s="37">
        <v>5000</v>
      </c>
      <c r="AJ469" s="37">
        <v>0</v>
      </c>
      <c r="AK469" s="37">
        <v>0</v>
      </c>
      <c r="AL469" s="37">
        <v>0</v>
      </c>
      <c r="AM469" s="37">
        <v>0</v>
      </c>
      <c r="AN469" s="37">
        <v>0</v>
      </c>
      <c r="AO469" s="37">
        <v>0</v>
      </c>
      <c r="AP469" s="37">
        <v>0</v>
      </c>
      <c r="AQ469" s="37">
        <v>0</v>
      </c>
      <c r="AR469" s="37">
        <v>0</v>
      </c>
      <c r="AS469" s="59">
        <v>5000</v>
      </c>
      <c r="AT469" s="59">
        <v>5000</v>
      </c>
      <c r="AU469" s="45"/>
      <c r="AV469" s="37">
        <v>0</v>
      </c>
      <c r="AW469" s="37">
        <v>0</v>
      </c>
      <c r="AX469" s="37">
        <v>0</v>
      </c>
      <c r="AY469" s="37">
        <v>0</v>
      </c>
      <c r="AZ469" s="37">
        <v>0</v>
      </c>
      <c r="BA469" s="37">
        <v>0</v>
      </c>
      <c r="BB469" s="37">
        <v>0</v>
      </c>
      <c r="BC469" s="37">
        <v>0</v>
      </c>
      <c r="BD469" s="37">
        <v>0</v>
      </c>
      <c r="BE469" s="37">
        <v>0</v>
      </c>
      <c r="BF469" s="37">
        <v>0</v>
      </c>
      <c r="BG469" s="37">
        <v>0</v>
      </c>
      <c r="BH469" s="37">
        <v>0</v>
      </c>
      <c r="BI469" s="37">
        <v>0</v>
      </c>
      <c r="BJ469" s="37">
        <v>0</v>
      </c>
      <c r="BK469" s="59">
        <v>0</v>
      </c>
      <c r="BL469" s="37">
        <v>0</v>
      </c>
      <c r="BM469" s="37">
        <v>0</v>
      </c>
      <c r="BN469" s="37">
        <v>0</v>
      </c>
      <c r="BO469" s="37">
        <v>0</v>
      </c>
      <c r="BP469" s="37">
        <v>0</v>
      </c>
      <c r="BQ469" s="37">
        <v>0</v>
      </c>
      <c r="BR469" s="37">
        <v>0</v>
      </c>
      <c r="BS469" s="37">
        <v>0</v>
      </c>
      <c r="BT469" s="37">
        <v>0</v>
      </c>
      <c r="BU469" s="37">
        <v>0</v>
      </c>
      <c r="BV469" s="37">
        <v>0</v>
      </c>
      <c r="BW469" s="59">
        <v>0</v>
      </c>
      <c r="BX469" s="59">
        <v>0</v>
      </c>
      <c r="BZ469" s="37">
        <v>0</v>
      </c>
      <c r="CA469" s="37">
        <v>0</v>
      </c>
      <c r="CB469" s="37">
        <v>0</v>
      </c>
      <c r="CC469" s="37">
        <v>0</v>
      </c>
      <c r="CD469" s="37">
        <v>0</v>
      </c>
      <c r="CE469" s="37">
        <v>0</v>
      </c>
      <c r="CF469" s="37">
        <v>0</v>
      </c>
      <c r="CG469" s="59">
        <v>0</v>
      </c>
      <c r="CH469" s="37">
        <v>5000</v>
      </c>
      <c r="CI469" s="37">
        <v>0</v>
      </c>
      <c r="CJ469" s="37">
        <v>0</v>
      </c>
      <c r="CK469" s="37">
        <v>0</v>
      </c>
      <c r="CL469" s="37">
        <v>0</v>
      </c>
      <c r="CM469" s="37">
        <v>0</v>
      </c>
      <c r="CN469" s="59">
        <v>5000</v>
      </c>
      <c r="CO469" s="59">
        <v>5000</v>
      </c>
      <c r="CP469" s="58"/>
      <c r="CQ469" s="3">
        <v>5000</v>
      </c>
    </row>
    <row r="470" spans="1:95" customFormat="1" x14ac:dyDescent="0.2">
      <c r="A470" s="209">
        <v>43391</v>
      </c>
      <c r="B470" s="33" t="s">
        <v>81</v>
      </c>
      <c r="C470" s="33" t="s">
        <v>78</v>
      </c>
      <c r="D470" s="43">
        <v>0</v>
      </c>
      <c r="E470" s="43">
        <v>0</v>
      </c>
      <c r="F470" s="43">
        <v>0</v>
      </c>
      <c r="G470" s="43">
        <v>0</v>
      </c>
      <c r="H470" s="43">
        <v>0</v>
      </c>
      <c r="I470" s="43">
        <v>0</v>
      </c>
      <c r="J470" s="43">
        <v>0</v>
      </c>
      <c r="K470" s="43">
        <v>1</v>
      </c>
      <c r="L470" s="43">
        <v>0</v>
      </c>
      <c r="M470" s="43">
        <v>0</v>
      </c>
      <c r="N470" s="43">
        <v>0</v>
      </c>
      <c r="O470" s="43">
        <v>0</v>
      </c>
      <c r="P470" s="47" t="s">
        <v>45</v>
      </c>
      <c r="R470" s="37">
        <v>0</v>
      </c>
      <c r="S470" s="37">
        <v>0</v>
      </c>
      <c r="T470" s="37">
        <v>750000</v>
      </c>
      <c r="U470" s="37">
        <v>100000</v>
      </c>
      <c r="V470" s="37">
        <v>300000</v>
      </c>
      <c r="W470" s="37">
        <v>0</v>
      </c>
      <c r="X470" s="37">
        <v>0</v>
      </c>
      <c r="Y470" s="37">
        <v>0</v>
      </c>
      <c r="Z470" s="37">
        <v>20000</v>
      </c>
      <c r="AA470" s="37">
        <v>0</v>
      </c>
      <c r="AB470" s="37">
        <v>0</v>
      </c>
      <c r="AC470" s="37">
        <v>0</v>
      </c>
      <c r="AD470" s="37">
        <v>0</v>
      </c>
      <c r="AE470" s="37">
        <v>0</v>
      </c>
      <c r="AF470" s="37">
        <v>0</v>
      </c>
      <c r="AG470" s="59">
        <v>1170000</v>
      </c>
      <c r="AH470" s="37">
        <v>2500</v>
      </c>
      <c r="AI470" s="37">
        <v>0</v>
      </c>
      <c r="AJ470" s="37">
        <v>250</v>
      </c>
      <c r="AK470" s="37">
        <v>0</v>
      </c>
      <c r="AL470" s="37">
        <v>0</v>
      </c>
      <c r="AM470" s="37">
        <v>0</v>
      </c>
      <c r="AN470" s="37">
        <v>400</v>
      </c>
      <c r="AO470" s="37">
        <v>0</v>
      </c>
      <c r="AP470" s="37">
        <v>0</v>
      </c>
      <c r="AQ470" s="37">
        <v>0</v>
      </c>
      <c r="AR470" s="37">
        <v>0</v>
      </c>
      <c r="AS470" s="59">
        <v>3150</v>
      </c>
      <c r="AT470" s="59">
        <v>1173150</v>
      </c>
      <c r="AU470" s="45"/>
      <c r="AV470" s="37">
        <v>0</v>
      </c>
      <c r="AW470" s="37">
        <v>0</v>
      </c>
      <c r="AX470" s="37">
        <v>0</v>
      </c>
      <c r="AY470" s="37">
        <v>0</v>
      </c>
      <c r="AZ470" s="37">
        <v>0</v>
      </c>
      <c r="BA470" s="37">
        <v>0</v>
      </c>
      <c r="BB470" s="37">
        <v>0</v>
      </c>
      <c r="BC470" s="37">
        <v>0</v>
      </c>
      <c r="BD470" s="37">
        <v>0</v>
      </c>
      <c r="BE470" s="37">
        <v>0</v>
      </c>
      <c r="BF470" s="37">
        <v>0</v>
      </c>
      <c r="BG470" s="37">
        <v>0</v>
      </c>
      <c r="BH470" s="37">
        <v>0</v>
      </c>
      <c r="BI470" s="37">
        <v>0</v>
      </c>
      <c r="BJ470" s="37">
        <v>0</v>
      </c>
      <c r="BK470" s="59">
        <v>0</v>
      </c>
      <c r="BL470" s="37">
        <v>0</v>
      </c>
      <c r="BM470" s="37">
        <v>0</v>
      </c>
      <c r="BN470" s="37">
        <v>0</v>
      </c>
      <c r="BO470" s="37">
        <v>0</v>
      </c>
      <c r="BP470" s="37">
        <v>0</v>
      </c>
      <c r="BQ470" s="37">
        <v>0</v>
      </c>
      <c r="BR470" s="37">
        <v>0</v>
      </c>
      <c r="BS470" s="37">
        <v>0</v>
      </c>
      <c r="BT470" s="37">
        <v>0</v>
      </c>
      <c r="BU470" s="37">
        <v>0</v>
      </c>
      <c r="BV470" s="37">
        <v>0</v>
      </c>
      <c r="BW470" s="59">
        <v>0</v>
      </c>
      <c r="BX470" s="59">
        <v>0</v>
      </c>
      <c r="BZ470" s="37">
        <v>750000</v>
      </c>
      <c r="CA470" s="37">
        <v>400000</v>
      </c>
      <c r="CB470" s="37">
        <v>0</v>
      </c>
      <c r="CC470" s="37">
        <v>20000</v>
      </c>
      <c r="CD470" s="37">
        <v>0</v>
      </c>
      <c r="CE470" s="37">
        <v>0</v>
      </c>
      <c r="CF470" s="37">
        <v>0</v>
      </c>
      <c r="CG470" s="59">
        <v>1170000</v>
      </c>
      <c r="CH470" s="37">
        <v>2500</v>
      </c>
      <c r="CI470" s="37">
        <v>250</v>
      </c>
      <c r="CJ470" s="37">
        <v>400</v>
      </c>
      <c r="CK470" s="37">
        <v>0</v>
      </c>
      <c r="CL470" s="37">
        <v>0</v>
      </c>
      <c r="CM470" s="37">
        <v>0</v>
      </c>
      <c r="CN470" s="59">
        <v>3150</v>
      </c>
      <c r="CO470" s="59">
        <v>1173150</v>
      </c>
      <c r="CP470" s="58"/>
      <c r="CQ470" s="3">
        <v>1173150</v>
      </c>
    </row>
    <row r="471" spans="1:95" customFormat="1" x14ac:dyDescent="0.2">
      <c r="A471" s="209">
        <v>43391</v>
      </c>
      <c r="B471" s="33" t="s">
        <v>132</v>
      </c>
      <c r="C471" s="33" t="s">
        <v>78</v>
      </c>
      <c r="D471" s="43">
        <v>0</v>
      </c>
      <c r="E471" s="43">
        <v>0</v>
      </c>
      <c r="F471" s="43">
        <v>0</v>
      </c>
      <c r="G471" s="43">
        <v>0</v>
      </c>
      <c r="H471" s="43">
        <v>0</v>
      </c>
      <c r="I471" s="43">
        <v>0</v>
      </c>
      <c r="J471" s="43">
        <v>0</v>
      </c>
      <c r="K471" s="43">
        <v>1</v>
      </c>
      <c r="L471" s="43">
        <v>0</v>
      </c>
      <c r="M471" s="43">
        <v>0</v>
      </c>
      <c r="N471" s="43">
        <v>0</v>
      </c>
      <c r="O471" s="43">
        <v>0</v>
      </c>
      <c r="P471" s="47" t="s">
        <v>45</v>
      </c>
      <c r="R471" s="37">
        <v>0</v>
      </c>
      <c r="S471" s="37">
        <v>0</v>
      </c>
      <c r="T471" s="37">
        <v>300000</v>
      </c>
      <c r="U471" s="37">
        <v>0</v>
      </c>
      <c r="V471" s="37">
        <v>400000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59">
        <v>700000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59">
        <v>0</v>
      </c>
      <c r="AT471" s="59">
        <v>700000</v>
      </c>
      <c r="AU471" s="45"/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>
        <v>0</v>
      </c>
      <c r="BB471" s="37">
        <v>0</v>
      </c>
      <c r="BC471" s="37">
        <v>0</v>
      </c>
      <c r="BD471" s="37">
        <v>0</v>
      </c>
      <c r="BE471" s="37">
        <v>0</v>
      </c>
      <c r="BF471" s="37">
        <v>0</v>
      </c>
      <c r="BG471" s="37">
        <v>0</v>
      </c>
      <c r="BH471" s="37">
        <v>0</v>
      </c>
      <c r="BI471" s="37">
        <v>0</v>
      </c>
      <c r="BJ471" s="37">
        <v>0</v>
      </c>
      <c r="BK471" s="59">
        <v>0</v>
      </c>
      <c r="BL471" s="37">
        <v>0</v>
      </c>
      <c r="BM471" s="37">
        <v>0</v>
      </c>
      <c r="BN471" s="37">
        <v>0</v>
      </c>
      <c r="BO471" s="37">
        <v>0</v>
      </c>
      <c r="BP471" s="37">
        <v>0</v>
      </c>
      <c r="BQ471" s="37">
        <v>0</v>
      </c>
      <c r="BR471" s="37">
        <v>0</v>
      </c>
      <c r="BS471" s="37">
        <v>0</v>
      </c>
      <c r="BT471" s="37">
        <v>0</v>
      </c>
      <c r="BU471" s="37">
        <v>0</v>
      </c>
      <c r="BV471" s="37">
        <v>0</v>
      </c>
      <c r="BW471" s="59">
        <v>0</v>
      </c>
      <c r="BX471" s="59">
        <v>0</v>
      </c>
      <c r="BZ471" s="37">
        <v>300000</v>
      </c>
      <c r="CA471" s="37">
        <v>400000</v>
      </c>
      <c r="CB471" s="37">
        <v>0</v>
      </c>
      <c r="CC471" s="37">
        <v>0</v>
      </c>
      <c r="CD471" s="37">
        <v>0</v>
      </c>
      <c r="CE471" s="37">
        <v>0</v>
      </c>
      <c r="CF471" s="37">
        <v>0</v>
      </c>
      <c r="CG471" s="59">
        <v>700000</v>
      </c>
      <c r="CH471" s="37">
        <v>0</v>
      </c>
      <c r="CI471" s="37">
        <v>0</v>
      </c>
      <c r="CJ471" s="37">
        <v>0</v>
      </c>
      <c r="CK471" s="37">
        <v>0</v>
      </c>
      <c r="CL471" s="37">
        <v>0</v>
      </c>
      <c r="CM471" s="37">
        <v>0</v>
      </c>
      <c r="CN471" s="59">
        <v>0</v>
      </c>
      <c r="CO471" s="59">
        <v>700000</v>
      </c>
      <c r="CP471" s="58"/>
      <c r="CQ471" s="3">
        <v>700000</v>
      </c>
    </row>
    <row r="472" spans="1:95" customFormat="1" x14ac:dyDescent="0.2">
      <c r="A472" s="209">
        <v>43392</v>
      </c>
      <c r="B472" s="33" t="s">
        <v>55</v>
      </c>
      <c r="C472" s="33" t="s">
        <v>56</v>
      </c>
      <c r="D472" s="43">
        <v>0</v>
      </c>
      <c r="E472" s="43">
        <v>0</v>
      </c>
      <c r="F472" s="43">
        <v>0</v>
      </c>
      <c r="G472" s="43">
        <v>0</v>
      </c>
      <c r="H472" s="43">
        <v>0</v>
      </c>
      <c r="I472" s="43">
        <v>0</v>
      </c>
      <c r="J472" s="43">
        <v>0</v>
      </c>
      <c r="K472" s="43">
        <v>0</v>
      </c>
      <c r="L472" s="43">
        <v>0</v>
      </c>
      <c r="M472" s="43">
        <v>0</v>
      </c>
      <c r="N472" s="43">
        <v>0</v>
      </c>
      <c r="O472" s="43">
        <v>0</v>
      </c>
      <c r="P472" s="47">
        <v>0</v>
      </c>
      <c r="R472" s="37">
        <v>0</v>
      </c>
      <c r="S472" s="37">
        <v>0</v>
      </c>
      <c r="T472" s="37">
        <v>4000</v>
      </c>
      <c r="U472" s="37">
        <v>0</v>
      </c>
      <c r="V472" s="37">
        <v>2000</v>
      </c>
      <c r="W472" s="37">
        <v>0</v>
      </c>
      <c r="X472" s="37">
        <v>0</v>
      </c>
      <c r="Y472" s="37">
        <v>0</v>
      </c>
      <c r="Z472" s="37">
        <v>400</v>
      </c>
      <c r="AA472" s="37">
        <v>0</v>
      </c>
      <c r="AB472" s="37">
        <v>200</v>
      </c>
      <c r="AC472" s="37">
        <v>0</v>
      </c>
      <c r="AD472" s="37">
        <v>80</v>
      </c>
      <c r="AE472" s="37">
        <v>0</v>
      </c>
      <c r="AF472" s="37">
        <v>0</v>
      </c>
      <c r="AG472" s="59">
        <v>6680</v>
      </c>
      <c r="AH472" s="37">
        <v>0</v>
      </c>
      <c r="AI472" s="37">
        <v>0</v>
      </c>
      <c r="AJ472" s="37">
        <v>0</v>
      </c>
      <c r="AK472" s="37">
        <v>0</v>
      </c>
      <c r="AL472" s="37">
        <v>0</v>
      </c>
      <c r="AM472" s="37">
        <v>0</v>
      </c>
      <c r="AN472" s="37">
        <v>0</v>
      </c>
      <c r="AO472" s="37">
        <v>0</v>
      </c>
      <c r="AP472" s="37">
        <v>0</v>
      </c>
      <c r="AQ472" s="37">
        <v>0</v>
      </c>
      <c r="AR472" s="37">
        <v>0</v>
      </c>
      <c r="AS472" s="59">
        <v>0</v>
      </c>
      <c r="AT472" s="59">
        <v>6680</v>
      </c>
      <c r="AU472" s="45"/>
      <c r="AV472" s="37">
        <v>0</v>
      </c>
      <c r="AW472" s="37">
        <v>0</v>
      </c>
      <c r="AX472" s="37">
        <v>0</v>
      </c>
      <c r="AY472" s="37">
        <v>0</v>
      </c>
      <c r="AZ472" s="37">
        <v>0</v>
      </c>
      <c r="BA472" s="37">
        <v>0</v>
      </c>
      <c r="BB472" s="37">
        <v>0</v>
      </c>
      <c r="BC472" s="37">
        <v>0</v>
      </c>
      <c r="BD472" s="37">
        <v>0</v>
      </c>
      <c r="BE472" s="37">
        <v>0</v>
      </c>
      <c r="BF472" s="37">
        <v>0</v>
      </c>
      <c r="BG472" s="37">
        <v>0</v>
      </c>
      <c r="BH472" s="37">
        <v>0</v>
      </c>
      <c r="BI472" s="37">
        <v>0</v>
      </c>
      <c r="BJ472" s="37">
        <v>0</v>
      </c>
      <c r="BK472" s="59">
        <v>0</v>
      </c>
      <c r="BL472" s="37">
        <v>0</v>
      </c>
      <c r="BM472" s="37">
        <v>0</v>
      </c>
      <c r="BN472" s="37">
        <v>0</v>
      </c>
      <c r="BO472" s="37">
        <v>0</v>
      </c>
      <c r="BP472" s="37">
        <v>0</v>
      </c>
      <c r="BQ472" s="37">
        <v>0</v>
      </c>
      <c r="BR472" s="37">
        <v>0</v>
      </c>
      <c r="BS472" s="37">
        <v>0</v>
      </c>
      <c r="BT472" s="37">
        <v>0</v>
      </c>
      <c r="BU472" s="37">
        <v>0</v>
      </c>
      <c r="BV472" s="37">
        <v>0</v>
      </c>
      <c r="BW472" s="59">
        <v>0</v>
      </c>
      <c r="BX472" s="59">
        <v>0</v>
      </c>
      <c r="BZ472" s="37">
        <v>4000</v>
      </c>
      <c r="CA472" s="37">
        <v>2000</v>
      </c>
      <c r="CB472" s="37">
        <v>0</v>
      </c>
      <c r="CC472" s="37">
        <v>400</v>
      </c>
      <c r="CD472" s="37">
        <v>200</v>
      </c>
      <c r="CE472" s="37">
        <v>80</v>
      </c>
      <c r="CF472" s="37">
        <v>0</v>
      </c>
      <c r="CG472" s="59">
        <v>6680</v>
      </c>
      <c r="CH472" s="37">
        <v>0</v>
      </c>
      <c r="CI472" s="37">
        <v>0</v>
      </c>
      <c r="CJ472" s="37">
        <v>0</v>
      </c>
      <c r="CK472" s="37">
        <v>0</v>
      </c>
      <c r="CL472" s="37">
        <v>0</v>
      </c>
      <c r="CM472" s="37">
        <v>0</v>
      </c>
      <c r="CN472" s="59">
        <v>0</v>
      </c>
      <c r="CO472" s="59">
        <v>6680</v>
      </c>
      <c r="CP472" s="58"/>
      <c r="CQ472" s="3">
        <v>6680</v>
      </c>
    </row>
    <row r="473" spans="1:95" customFormat="1" x14ac:dyDescent="0.2">
      <c r="A473" s="209">
        <v>43392</v>
      </c>
      <c r="B473" s="33" t="s">
        <v>64</v>
      </c>
      <c r="C473" s="33" t="s">
        <v>94</v>
      </c>
      <c r="D473" s="43">
        <v>0</v>
      </c>
      <c r="E473" s="43">
        <v>0</v>
      </c>
      <c r="F473" s="43">
        <v>0</v>
      </c>
      <c r="G473" s="43">
        <v>0</v>
      </c>
      <c r="H473" s="43">
        <v>0</v>
      </c>
      <c r="I473" s="43">
        <v>0</v>
      </c>
      <c r="J473" s="43">
        <v>0</v>
      </c>
      <c r="K473" s="43">
        <v>1</v>
      </c>
      <c r="L473" s="43">
        <v>0</v>
      </c>
      <c r="M473" s="43">
        <v>0</v>
      </c>
      <c r="N473" s="43">
        <v>0</v>
      </c>
      <c r="O473" s="43">
        <v>0</v>
      </c>
      <c r="P473" s="47" t="s">
        <v>45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100000</v>
      </c>
      <c r="AA473" s="37">
        <v>0</v>
      </c>
      <c r="AB473" s="37">
        <v>10000</v>
      </c>
      <c r="AC473" s="37">
        <v>0</v>
      </c>
      <c r="AD473" s="37">
        <v>4000</v>
      </c>
      <c r="AE473" s="37">
        <v>0</v>
      </c>
      <c r="AF473" s="37">
        <v>0</v>
      </c>
      <c r="AG473" s="59">
        <v>114000</v>
      </c>
      <c r="AH473" s="37">
        <v>0</v>
      </c>
      <c r="AI473" s="37">
        <v>500</v>
      </c>
      <c r="AJ473" s="37">
        <v>0</v>
      </c>
      <c r="AK473" s="37">
        <v>0</v>
      </c>
      <c r="AL473" s="37">
        <v>500</v>
      </c>
      <c r="AM473" s="37">
        <v>0</v>
      </c>
      <c r="AN473" s="37">
        <v>0</v>
      </c>
      <c r="AO473" s="37">
        <v>0</v>
      </c>
      <c r="AP473" s="37">
        <v>100</v>
      </c>
      <c r="AQ473" s="37">
        <v>0</v>
      </c>
      <c r="AR473" s="37">
        <v>0</v>
      </c>
      <c r="AS473" s="59">
        <v>1100</v>
      </c>
      <c r="AT473" s="59">
        <v>115100</v>
      </c>
      <c r="AU473" s="45"/>
      <c r="AV473" s="37">
        <v>0</v>
      </c>
      <c r="AW473" s="37">
        <v>0</v>
      </c>
      <c r="AX473" s="37">
        <v>0</v>
      </c>
      <c r="AY473" s="37">
        <v>0</v>
      </c>
      <c r="AZ473" s="37">
        <v>0</v>
      </c>
      <c r="BA473" s="37">
        <v>0</v>
      </c>
      <c r="BB473" s="37">
        <v>0</v>
      </c>
      <c r="BC473" s="37">
        <v>0</v>
      </c>
      <c r="BD473" s="37">
        <v>0</v>
      </c>
      <c r="BE473" s="37">
        <v>0</v>
      </c>
      <c r="BF473" s="37">
        <v>0</v>
      </c>
      <c r="BG473" s="37">
        <v>0</v>
      </c>
      <c r="BH473" s="37">
        <v>0</v>
      </c>
      <c r="BI473" s="37">
        <v>0</v>
      </c>
      <c r="BJ473" s="37">
        <v>0</v>
      </c>
      <c r="BK473" s="59">
        <v>0</v>
      </c>
      <c r="BL473" s="37">
        <v>0</v>
      </c>
      <c r="BM473" s="37">
        <v>0</v>
      </c>
      <c r="BN473" s="37">
        <v>0</v>
      </c>
      <c r="BO473" s="37">
        <v>0</v>
      </c>
      <c r="BP473" s="37">
        <v>0</v>
      </c>
      <c r="BQ473" s="37">
        <v>0</v>
      </c>
      <c r="BR473" s="37">
        <v>0</v>
      </c>
      <c r="BS473" s="37">
        <v>0</v>
      </c>
      <c r="BT473" s="37">
        <v>0</v>
      </c>
      <c r="BU473" s="37">
        <v>0</v>
      </c>
      <c r="BV473" s="37">
        <v>0</v>
      </c>
      <c r="BW473" s="59">
        <v>0</v>
      </c>
      <c r="BX473" s="59">
        <v>0</v>
      </c>
      <c r="BZ473" s="37">
        <v>0</v>
      </c>
      <c r="CA473" s="37">
        <v>0</v>
      </c>
      <c r="CB473" s="37">
        <v>0</v>
      </c>
      <c r="CC473" s="37">
        <v>100000</v>
      </c>
      <c r="CD473" s="37">
        <v>10000</v>
      </c>
      <c r="CE473" s="37">
        <v>4000</v>
      </c>
      <c r="CF473" s="37">
        <v>0</v>
      </c>
      <c r="CG473" s="59">
        <v>114000</v>
      </c>
      <c r="CH473" s="37">
        <v>500</v>
      </c>
      <c r="CI473" s="37">
        <v>500</v>
      </c>
      <c r="CJ473" s="37">
        <v>0</v>
      </c>
      <c r="CK473" s="37">
        <v>100</v>
      </c>
      <c r="CL473" s="37">
        <v>0</v>
      </c>
      <c r="CM473" s="37">
        <v>0</v>
      </c>
      <c r="CN473" s="59">
        <v>1100</v>
      </c>
      <c r="CO473" s="59">
        <v>115100</v>
      </c>
      <c r="CP473" s="58"/>
      <c r="CQ473" s="3">
        <v>115100</v>
      </c>
    </row>
    <row r="474" spans="1:95" customFormat="1" x14ac:dyDescent="0.2">
      <c r="A474" s="209">
        <v>43392</v>
      </c>
      <c r="B474" s="33" t="s">
        <v>66</v>
      </c>
      <c r="C474" s="33" t="s">
        <v>110</v>
      </c>
      <c r="D474" s="43">
        <v>0</v>
      </c>
      <c r="E474" s="43">
        <v>0</v>
      </c>
      <c r="F474" s="43">
        <v>0</v>
      </c>
      <c r="G474" s="43">
        <v>0</v>
      </c>
      <c r="H474" s="43">
        <v>0</v>
      </c>
      <c r="I474" s="43">
        <v>0</v>
      </c>
      <c r="J474" s="43">
        <v>0</v>
      </c>
      <c r="K474" s="43">
        <v>1</v>
      </c>
      <c r="L474" s="43">
        <v>0</v>
      </c>
      <c r="M474" s="43">
        <v>0</v>
      </c>
      <c r="N474" s="43">
        <v>0</v>
      </c>
      <c r="O474" s="43">
        <v>0</v>
      </c>
      <c r="P474" s="47" t="s">
        <v>45</v>
      </c>
      <c r="R474" s="37">
        <v>0</v>
      </c>
      <c r="S474" s="37">
        <v>0</v>
      </c>
      <c r="T474" s="37">
        <v>1400000</v>
      </c>
      <c r="U474" s="37">
        <v>200000</v>
      </c>
      <c r="V474" s="37">
        <v>600000</v>
      </c>
      <c r="W474" s="37">
        <v>0</v>
      </c>
      <c r="X474" s="37">
        <v>0</v>
      </c>
      <c r="Y474" s="37">
        <v>0</v>
      </c>
      <c r="Z474" s="37">
        <v>200000</v>
      </c>
      <c r="AA474" s="37">
        <v>0</v>
      </c>
      <c r="AB474" s="37">
        <v>75000</v>
      </c>
      <c r="AC474" s="37">
        <v>0</v>
      </c>
      <c r="AD474" s="37">
        <v>0</v>
      </c>
      <c r="AE474" s="37">
        <v>0</v>
      </c>
      <c r="AF474" s="37">
        <v>0</v>
      </c>
      <c r="AG474" s="59">
        <v>2475000</v>
      </c>
      <c r="AH474" s="37">
        <v>0</v>
      </c>
      <c r="AI474" s="37">
        <v>1000</v>
      </c>
      <c r="AJ474" s="37">
        <v>0</v>
      </c>
      <c r="AK474" s="37">
        <v>0</v>
      </c>
      <c r="AL474" s="37">
        <v>0</v>
      </c>
      <c r="AM474" s="37">
        <v>0</v>
      </c>
      <c r="AN474" s="37">
        <v>600</v>
      </c>
      <c r="AO474" s="37">
        <v>0</v>
      </c>
      <c r="AP474" s="37">
        <v>100</v>
      </c>
      <c r="AQ474" s="37">
        <v>0</v>
      </c>
      <c r="AR474" s="37">
        <v>0</v>
      </c>
      <c r="AS474" s="59">
        <v>1700</v>
      </c>
      <c r="AT474" s="59">
        <v>2476700</v>
      </c>
      <c r="AU474" s="45"/>
      <c r="AV474" s="37">
        <v>0</v>
      </c>
      <c r="AW474" s="37">
        <v>0</v>
      </c>
      <c r="AX474" s="37">
        <v>0</v>
      </c>
      <c r="AY474" s="37">
        <v>0</v>
      </c>
      <c r="AZ474" s="37">
        <v>0</v>
      </c>
      <c r="BA474" s="37">
        <v>0</v>
      </c>
      <c r="BB474" s="37">
        <v>0</v>
      </c>
      <c r="BC474" s="37">
        <v>0</v>
      </c>
      <c r="BD474" s="37">
        <v>0</v>
      </c>
      <c r="BE474" s="37">
        <v>0</v>
      </c>
      <c r="BF474" s="37">
        <v>0</v>
      </c>
      <c r="BG474" s="37">
        <v>0</v>
      </c>
      <c r="BH474" s="37">
        <v>0</v>
      </c>
      <c r="BI474" s="37">
        <v>0</v>
      </c>
      <c r="BJ474" s="37">
        <v>0</v>
      </c>
      <c r="BK474" s="59">
        <v>0</v>
      </c>
      <c r="BL474" s="37">
        <v>0</v>
      </c>
      <c r="BM474" s="37">
        <v>0</v>
      </c>
      <c r="BN474" s="37">
        <v>0</v>
      </c>
      <c r="BO474" s="37">
        <v>0</v>
      </c>
      <c r="BP474" s="37">
        <v>0</v>
      </c>
      <c r="BQ474" s="37">
        <v>0</v>
      </c>
      <c r="BR474" s="37">
        <v>0</v>
      </c>
      <c r="BS474" s="37">
        <v>0</v>
      </c>
      <c r="BT474" s="37">
        <v>0</v>
      </c>
      <c r="BU474" s="37">
        <v>0</v>
      </c>
      <c r="BV474" s="37">
        <v>0</v>
      </c>
      <c r="BW474" s="59">
        <v>0</v>
      </c>
      <c r="BX474" s="59">
        <v>0</v>
      </c>
      <c r="BZ474" s="37">
        <v>1400000</v>
      </c>
      <c r="CA474" s="37">
        <v>800000</v>
      </c>
      <c r="CB474" s="37">
        <v>0</v>
      </c>
      <c r="CC474" s="37">
        <v>200000</v>
      </c>
      <c r="CD474" s="37">
        <v>75000</v>
      </c>
      <c r="CE474" s="37">
        <v>0</v>
      </c>
      <c r="CF474" s="37">
        <v>0</v>
      </c>
      <c r="CG474" s="59">
        <v>2475000</v>
      </c>
      <c r="CH474" s="37">
        <v>1000</v>
      </c>
      <c r="CI474" s="37">
        <v>0</v>
      </c>
      <c r="CJ474" s="37">
        <v>600</v>
      </c>
      <c r="CK474" s="37">
        <v>100</v>
      </c>
      <c r="CL474" s="37">
        <v>0</v>
      </c>
      <c r="CM474" s="37">
        <v>0</v>
      </c>
      <c r="CN474" s="59">
        <v>1700</v>
      </c>
      <c r="CO474" s="59">
        <v>2476700</v>
      </c>
      <c r="CP474" s="58"/>
      <c r="CQ474" s="3">
        <v>2476700</v>
      </c>
    </row>
    <row r="475" spans="1:95" customFormat="1" x14ac:dyDescent="0.2">
      <c r="A475" s="209">
        <v>43392</v>
      </c>
      <c r="B475" s="33" t="s">
        <v>116</v>
      </c>
      <c r="C475" s="33" t="s">
        <v>98</v>
      </c>
      <c r="D475" s="43">
        <v>0</v>
      </c>
      <c r="E475" s="43">
        <v>0</v>
      </c>
      <c r="F475" s="43">
        <v>0</v>
      </c>
      <c r="G475" s="43">
        <v>0</v>
      </c>
      <c r="H475" s="43">
        <v>0</v>
      </c>
      <c r="I475" s="43">
        <v>0</v>
      </c>
      <c r="J475" s="43">
        <v>0</v>
      </c>
      <c r="K475" s="43">
        <v>1</v>
      </c>
      <c r="L475" s="43">
        <v>0</v>
      </c>
      <c r="M475" s="43">
        <v>0</v>
      </c>
      <c r="N475" s="43">
        <v>0</v>
      </c>
      <c r="O475" s="43">
        <v>0</v>
      </c>
      <c r="P475" s="47" t="s">
        <v>45</v>
      </c>
      <c r="R475" s="37">
        <v>0</v>
      </c>
      <c r="S475" s="37">
        <v>0</v>
      </c>
      <c r="T475" s="37">
        <v>1000000</v>
      </c>
      <c r="U475" s="37">
        <v>100000</v>
      </c>
      <c r="V475" s="37">
        <v>500000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  <c r="AB475" s="37">
        <v>0</v>
      </c>
      <c r="AC475" s="37">
        <v>0</v>
      </c>
      <c r="AD475" s="37">
        <v>0</v>
      </c>
      <c r="AE475" s="37">
        <v>0</v>
      </c>
      <c r="AF475" s="37">
        <v>0</v>
      </c>
      <c r="AG475" s="59">
        <v>1600000</v>
      </c>
      <c r="AH475" s="37">
        <v>0</v>
      </c>
      <c r="AI475" s="37">
        <v>3000</v>
      </c>
      <c r="AJ475" s="37">
        <v>0</v>
      </c>
      <c r="AK475" s="37">
        <v>0</v>
      </c>
      <c r="AL475" s="37">
        <v>750</v>
      </c>
      <c r="AM475" s="37">
        <v>0</v>
      </c>
      <c r="AN475" s="37">
        <v>200</v>
      </c>
      <c r="AO475" s="37">
        <v>0</v>
      </c>
      <c r="AP475" s="37">
        <v>100</v>
      </c>
      <c r="AQ475" s="37">
        <v>0</v>
      </c>
      <c r="AR475" s="37">
        <v>0</v>
      </c>
      <c r="AS475" s="59">
        <v>4050</v>
      </c>
      <c r="AT475" s="59">
        <v>1604050</v>
      </c>
      <c r="AU475" s="45"/>
      <c r="AV475" s="37">
        <v>0</v>
      </c>
      <c r="AW475" s="37">
        <v>0</v>
      </c>
      <c r="AX475" s="37">
        <v>0</v>
      </c>
      <c r="AY475" s="37">
        <v>0</v>
      </c>
      <c r="AZ475" s="37">
        <v>0</v>
      </c>
      <c r="BA475" s="37">
        <v>0</v>
      </c>
      <c r="BB475" s="37">
        <v>0</v>
      </c>
      <c r="BC475" s="37">
        <v>0</v>
      </c>
      <c r="BD475" s="37">
        <v>0</v>
      </c>
      <c r="BE475" s="37">
        <v>0</v>
      </c>
      <c r="BF475" s="37">
        <v>0</v>
      </c>
      <c r="BG475" s="37">
        <v>0</v>
      </c>
      <c r="BH475" s="37">
        <v>0</v>
      </c>
      <c r="BI475" s="37">
        <v>0</v>
      </c>
      <c r="BJ475" s="37">
        <v>0</v>
      </c>
      <c r="BK475" s="59">
        <v>0</v>
      </c>
      <c r="BL475" s="37">
        <v>0</v>
      </c>
      <c r="BM475" s="37">
        <v>0</v>
      </c>
      <c r="BN475" s="37">
        <v>0</v>
      </c>
      <c r="BO475" s="37">
        <v>0</v>
      </c>
      <c r="BP475" s="37">
        <v>0</v>
      </c>
      <c r="BQ475" s="37">
        <v>0</v>
      </c>
      <c r="BR475" s="37">
        <v>0</v>
      </c>
      <c r="BS475" s="37">
        <v>0</v>
      </c>
      <c r="BT475" s="37">
        <v>0</v>
      </c>
      <c r="BU475" s="37">
        <v>0</v>
      </c>
      <c r="BV475" s="37">
        <v>0</v>
      </c>
      <c r="BW475" s="59">
        <v>0</v>
      </c>
      <c r="BX475" s="59">
        <v>0</v>
      </c>
      <c r="BZ475" s="37">
        <v>1000000</v>
      </c>
      <c r="CA475" s="37">
        <v>600000</v>
      </c>
      <c r="CB475" s="37">
        <v>0</v>
      </c>
      <c r="CC475" s="37">
        <v>0</v>
      </c>
      <c r="CD475" s="37">
        <v>0</v>
      </c>
      <c r="CE475" s="37">
        <v>0</v>
      </c>
      <c r="CF475" s="37">
        <v>0</v>
      </c>
      <c r="CG475" s="59">
        <v>1600000</v>
      </c>
      <c r="CH475" s="37">
        <v>3000</v>
      </c>
      <c r="CI475" s="37">
        <v>750</v>
      </c>
      <c r="CJ475" s="37">
        <v>200</v>
      </c>
      <c r="CK475" s="37">
        <v>100</v>
      </c>
      <c r="CL475" s="37">
        <v>0</v>
      </c>
      <c r="CM475" s="37">
        <v>0</v>
      </c>
      <c r="CN475" s="59">
        <v>4050</v>
      </c>
      <c r="CO475" s="59">
        <v>1604050</v>
      </c>
      <c r="CP475" s="58"/>
      <c r="CQ475" s="3">
        <v>1604050</v>
      </c>
    </row>
    <row r="476" spans="1:95" customFormat="1" x14ac:dyDescent="0.2">
      <c r="A476" s="209">
        <v>43395</v>
      </c>
      <c r="B476" s="33" t="s">
        <v>55</v>
      </c>
      <c r="C476" s="33" t="s">
        <v>56</v>
      </c>
      <c r="D476" s="43">
        <v>0</v>
      </c>
      <c r="E476" s="43">
        <v>0</v>
      </c>
      <c r="F476" s="43">
        <v>0</v>
      </c>
      <c r="G476" s="43">
        <v>0</v>
      </c>
      <c r="H476" s="43">
        <v>0</v>
      </c>
      <c r="I476" s="43">
        <v>0</v>
      </c>
      <c r="J476" s="43">
        <v>0</v>
      </c>
      <c r="K476" s="43">
        <v>0</v>
      </c>
      <c r="L476" s="43">
        <v>0</v>
      </c>
      <c r="M476" s="43">
        <v>0</v>
      </c>
      <c r="N476" s="43">
        <v>0</v>
      </c>
      <c r="O476" s="43">
        <v>0</v>
      </c>
      <c r="P476" s="47">
        <v>0</v>
      </c>
      <c r="R476" s="37">
        <v>0</v>
      </c>
      <c r="S476" s="37">
        <v>0</v>
      </c>
      <c r="T476" s="37">
        <v>4000</v>
      </c>
      <c r="U476" s="37">
        <v>0</v>
      </c>
      <c r="V476" s="37">
        <v>2000</v>
      </c>
      <c r="W476" s="37">
        <v>0</v>
      </c>
      <c r="X476" s="37">
        <v>0</v>
      </c>
      <c r="Y476" s="37">
        <v>0</v>
      </c>
      <c r="Z476" s="37">
        <v>400</v>
      </c>
      <c r="AA476" s="37">
        <v>0</v>
      </c>
      <c r="AB476" s="37">
        <v>200</v>
      </c>
      <c r="AC476" s="37">
        <v>0</v>
      </c>
      <c r="AD476" s="37">
        <v>80</v>
      </c>
      <c r="AE476" s="37">
        <v>0</v>
      </c>
      <c r="AF476" s="37">
        <v>0</v>
      </c>
      <c r="AG476" s="59">
        <v>6680</v>
      </c>
      <c r="AH476" s="37">
        <v>0</v>
      </c>
      <c r="AI476" s="37">
        <v>0</v>
      </c>
      <c r="AJ476" s="37">
        <v>0</v>
      </c>
      <c r="AK476" s="37">
        <v>0</v>
      </c>
      <c r="AL476" s="37">
        <v>0</v>
      </c>
      <c r="AM476" s="37">
        <v>0</v>
      </c>
      <c r="AN476" s="37">
        <v>0</v>
      </c>
      <c r="AO476" s="37">
        <v>0</v>
      </c>
      <c r="AP476" s="37">
        <v>0</v>
      </c>
      <c r="AQ476" s="37">
        <v>0</v>
      </c>
      <c r="AR476" s="37">
        <v>0</v>
      </c>
      <c r="AS476" s="59">
        <v>0</v>
      </c>
      <c r="AT476" s="59">
        <v>6680</v>
      </c>
      <c r="AU476" s="45"/>
      <c r="AV476" s="37">
        <v>0</v>
      </c>
      <c r="AW476" s="37">
        <v>0</v>
      </c>
      <c r="AX476" s="37">
        <v>0</v>
      </c>
      <c r="AY476" s="37">
        <v>0</v>
      </c>
      <c r="AZ476" s="37">
        <v>0</v>
      </c>
      <c r="BA476" s="37">
        <v>0</v>
      </c>
      <c r="BB476" s="37">
        <v>0</v>
      </c>
      <c r="BC476" s="37">
        <v>0</v>
      </c>
      <c r="BD476" s="37">
        <v>0</v>
      </c>
      <c r="BE476" s="37">
        <v>0</v>
      </c>
      <c r="BF476" s="37">
        <v>0</v>
      </c>
      <c r="BG476" s="37">
        <v>0</v>
      </c>
      <c r="BH476" s="37">
        <v>0</v>
      </c>
      <c r="BI476" s="37">
        <v>0</v>
      </c>
      <c r="BJ476" s="37">
        <v>0</v>
      </c>
      <c r="BK476" s="59">
        <v>0</v>
      </c>
      <c r="BL476" s="37">
        <v>0</v>
      </c>
      <c r="BM476" s="37">
        <v>0</v>
      </c>
      <c r="BN476" s="37">
        <v>0</v>
      </c>
      <c r="BO476" s="37">
        <v>0</v>
      </c>
      <c r="BP476" s="37">
        <v>0</v>
      </c>
      <c r="BQ476" s="37">
        <v>0</v>
      </c>
      <c r="BR476" s="37">
        <v>0</v>
      </c>
      <c r="BS476" s="37">
        <v>0</v>
      </c>
      <c r="BT476" s="37">
        <v>0</v>
      </c>
      <c r="BU476" s="37">
        <v>0</v>
      </c>
      <c r="BV476" s="37">
        <v>0</v>
      </c>
      <c r="BW476" s="59">
        <v>0</v>
      </c>
      <c r="BX476" s="59">
        <v>0</v>
      </c>
      <c r="BZ476" s="37">
        <v>4000</v>
      </c>
      <c r="CA476" s="37">
        <v>2000</v>
      </c>
      <c r="CB476" s="37">
        <v>0</v>
      </c>
      <c r="CC476" s="37">
        <v>400</v>
      </c>
      <c r="CD476" s="37">
        <v>200</v>
      </c>
      <c r="CE476" s="37">
        <v>80</v>
      </c>
      <c r="CF476" s="37">
        <v>0</v>
      </c>
      <c r="CG476" s="59">
        <v>6680</v>
      </c>
      <c r="CH476" s="37">
        <v>0</v>
      </c>
      <c r="CI476" s="37">
        <v>0</v>
      </c>
      <c r="CJ476" s="37">
        <v>0</v>
      </c>
      <c r="CK476" s="37">
        <v>0</v>
      </c>
      <c r="CL476" s="37">
        <v>0</v>
      </c>
      <c r="CM476" s="37">
        <v>0</v>
      </c>
      <c r="CN476" s="59">
        <v>0</v>
      </c>
      <c r="CO476" s="59">
        <v>6680</v>
      </c>
      <c r="CP476" s="58"/>
      <c r="CQ476" s="3">
        <v>6680</v>
      </c>
    </row>
    <row r="477" spans="1:95" customFormat="1" x14ac:dyDescent="0.2">
      <c r="A477" s="209">
        <v>43395</v>
      </c>
      <c r="B477" s="33" t="s">
        <v>53</v>
      </c>
      <c r="C477" s="33" t="s">
        <v>54</v>
      </c>
      <c r="D477" s="43">
        <v>1</v>
      </c>
      <c r="E477" s="43">
        <v>0</v>
      </c>
      <c r="F477" s="43">
        <v>0</v>
      </c>
      <c r="G477" s="43">
        <v>0</v>
      </c>
      <c r="H477" s="43">
        <v>0</v>
      </c>
      <c r="I477" s="43">
        <v>0</v>
      </c>
      <c r="J477" s="43">
        <v>0</v>
      </c>
      <c r="K477" s="43">
        <v>0</v>
      </c>
      <c r="L477" s="43">
        <v>0</v>
      </c>
      <c r="M477" s="43">
        <v>0</v>
      </c>
      <c r="N477" s="43">
        <v>0</v>
      </c>
      <c r="O477" s="43">
        <v>0</v>
      </c>
      <c r="P477" s="47" t="s">
        <v>45</v>
      </c>
      <c r="R477" s="37">
        <v>0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v>0</v>
      </c>
      <c r="AD477" s="37">
        <v>0</v>
      </c>
      <c r="AE477" s="37">
        <v>0</v>
      </c>
      <c r="AF477" s="37">
        <v>0</v>
      </c>
      <c r="AG477" s="59">
        <v>0</v>
      </c>
      <c r="AH477" s="37">
        <v>0</v>
      </c>
      <c r="AI477" s="37">
        <v>0</v>
      </c>
      <c r="AJ477" s="37">
        <v>0</v>
      </c>
      <c r="AK477" s="37">
        <v>0</v>
      </c>
      <c r="AL477" s="37">
        <v>0</v>
      </c>
      <c r="AM477" s="37">
        <v>0</v>
      </c>
      <c r="AN477" s="37">
        <v>0</v>
      </c>
      <c r="AO477" s="37">
        <v>0</v>
      </c>
      <c r="AP477" s="37">
        <v>200</v>
      </c>
      <c r="AQ477" s="37">
        <v>0</v>
      </c>
      <c r="AR477" s="37">
        <v>0</v>
      </c>
      <c r="AS477" s="59">
        <v>200</v>
      </c>
      <c r="AT477" s="59">
        <v>200</v>
      </c>
      <c r="AU477" s="45"/>
      <c r="AV477" s="37">
        <v>0</v>
      </c>
      <c r="AW477" s="37">
        <v>0</v>
      </c>
      <c r="AX477" s="37">
        <v>0</v>
      </c>
      <c r="AY477" s="37">
        <v>0</v>
      </c>
      <c r="AZ477" s="37">
        <v>0</v>
      </c>
      <c r="BA477" s="37">
        <v>0</v>
      </c>
      <c r="BB477" s="37">
        <v>0</v>
      </c>
      <c r="BC477" s="37">
        <v>0</v>
      </c>
      <c r="BD477" s="37">
        <v>0</v>
      </c>
      <c r="BE477" s="37">
        <v>0</v>
      </c>
      <c r="BF477" s="37">
        <v>0</v>
      </c>
      <c r="BG477" s="37">
        <v>0</v>
      </c>
      <c r="BH477" s="37">
        <v>0</v>
      </c>
      <c r="BI477" s="37">
        <v>0</v>
      </c>
      <c r="BJ477" s="37">
        <v>0</v>
      </c>
      <c r="BK477" s="59">
        <v>0</v>
      </c>
      <c r="BL477" s="37">
        <v>0</v>
      </c>
      <c r="BM477" s="37">
        <v>0</v>
      </c>
      <c r="BN477" s="37">
        <v>0</v>
      </c>
      <c r="BO477" s="37">
        <v>0</v>
      </c>
      <c r="BP477" s="37">
        <v>0</v>
      </c>
      <c r="BQ477" s="37">
        <v>0</v>
      </c>
      <c r="BR477" s="37">
        <v>0</v>
      </c>
      <c r="BS477" s="37">
        <v>0</v>
      </c>
      <c r="BT477" s="37">
        <v>0</v>
      </c>
      <c r="BU477" s="37">
        <v>0</v>
      </c>
      <c r="BV477" s="37">
        <v>0</v>
      </c>
      <c r="BW477" s="59">
        <v>0</v>
      </c>
      <c r="BX477" s="59">
        <v>0</v>
      </c>
      <c r="BZ477" s="37">
        <v>0</v>
      </c>
      <c r="CA477" s="37">
        <v>0</v>
      </c>
      <c r="CB477" s="37">
        <v>0</v>
      </c>
      <c r="CC477" s="37">
        <v>0</v>
      </c>
      <c r="CD477" s="37">
        <v>0</v>
      </c>
      <c r="CE477" s="37">
        <v>0</v>
      </c>
      <c r="CF477" s="37">
        <v>0</v>
      </c>
      <c r="CG477" s="59">
        <v>0</v>
      </c>
      <c r="CH477" s="37">
        <v>0</v>
      </c>
      <c r="CI477" s="37">
        <v>0</v>
      </c>
      <c r="CJ477" s="37">
        <v>0</v>
      </c>
      <c r="CK477" s="37">
        <v>200</v>
      </c>
      <c r="CL477" s="37">
        <v>0</v>
      </c>
      <c r="CM477" s="37">
        <v>0</v>
      </c>
      <c r="CN477" s="59">
        <v>200</v>
      </c>
      <c r="CO477" s="59">
        <v>200</v>
      </c>
      <c r="CP477" s="58"/>
      <c r="CQ477" s="3">
        <v>200</v>
      </c>
    </row>
    <row r="478" spans="1:95" customFormat="1" x14ac:dyDescent="0.2">
      <c r="A478" s="209">
        <v>43396</v>
      </c>
      <c r="B478" s="33" t="s">
        <v>55</v>
      </c>
      <c r="C478" s="33" t="s">
        <v>56</v>
      </c>
      <c r="D478" s="43">
        <v>0</v>
      </c>
      <c r="E478" s="43">
        <v>0</v>
      </c>
      <c r="F478" s="43">
        <v>0</v>
      </c>
      <c r="G478" s="43">
        <v>0</v>
      </c>
      <c r="H478" s="43">
        <v>0</v>
      </c>
      <c r="I478" s="43">
        <v>0</v>
      </c>
      <c r="J478" s="43">
        <v>0</v>
      </c>
      <c r="K478" s="43">
        <v>0</v>
      </c>
      <c r="L478" s="43">
        <v>0</v>
      </c>
      <c r="M478" s="43">
        <v>0</v>
      </c>
      <c r="N478" s="43">
        <v>0</v>
      </c>
      <c r="O478" s="43">
        <v>0</v>
      </c>
      <c r="P478" s="47">
        <v>0</v>
      </c>
      <c r="R478" s="37">
        <v>0</v>
      </c>
      <c r="S478" s="37">
        <v>0</v>
      </c>
      <c r="T478" s="37">
        <v>4000</v>
      </c>
      <c r="U478" s="37">
        <v>0</v>
      </c>
      <c r="V478" s="37">
        <v>2000</v>
      </c>
      <c r="W478" s="37">
        <v>0</v>
      </c>
      <c r="X478" s="37">
        <v>800</v>
      </c>
      <c r="Y478" s="37">
        <v>0</v>
      </c>
      <c r="Z478" s="37">
        <v>400</v>
      </c>
      <c r="AA478" s="37">
        <v>0</v>
      </c>
      <c r="AB478" s="37">
        <v>200</v>
      </c>
      <c r="AC478" s="37">
        <v>0</v>
      </c>
      <c r="AD478" s="37">
        <v>80</v>
      </c>
      <c r="AE478" s="37">
        <v>0</v>
      </c>
      <c r="AF478" s="37">
        <v>0</v>
      </c>
      <c r="AG478" s="59">
        <v>7480</v>
      </c>
      <c r="AH478" s="37">
        <v>0</v>
      </c>
      <c r="AI478" s="37">
        <v>0</v>
      </c>
      <c r="AJ478" s="37">
        <v>0</v>
      </c>
      <c r="AK478" s="37">
        <v>0</v>
      </c>
      <c r="AL478" s="37">
        <v>5</v>
      </c>
      <c r="AM478" s="37">
        <v>0</v>
      </c>
      <c r="AN478" s="37">
        <v>4</v>
      </c>
      <c r="AO478" s="37">
        <v>0</v>
      </c>
      <c r="AP478" s="37">
        <v>2</v>
      </c>
      <c r="AQ478" s="37">
        <v>0</v>
      </c>
      <c r="AR478" s="37">
        <v>0</v>
      </c>
      <c r="AS478" s="59">
        <v>11</v>
      </c>
      <c r="AT478" s="59">
        <v>7491</v>
      </c>
      <c r="AU478" s="45"/>
      <c r="AV478" s="37">
        <v>0</v>
      </c>
      <c r="AW478" s="37">
        <v>0</v>
      </c>
      <c r="AX478" s="37">
        <v>0</v>
      </c>
      <c r="AY478" s="37">
        <v>0</v>
      </c>
      <c r="AZ478" s="37">
        <v>0</v>
      </c>
      <c r="BA478" s="37">
        <v>0</v>
      </c>
      <c r="BB478" s="37">
        <v>0</v>
      </c>
      <c r="BC478" s="37">
        <v>0</v>
      </c>
      <c r="BD478" s="37">
        <v>0</v>
      </c>
      <c r="BE478" s="37">
        <v>0</v>
      </c>
      <c r="BF478" s="37">
        <v>0</v>
      </c>
      <c r="BG478" s="37">
        <v>0</v>
      </c>
      <c r="BH478" s="37">
        <v>0</v>
      </c>
      <c r="BI478" s="37">
        <v>0</v>
      </c>
      <c r="BJ478" s="37">
        <v>0</v>
      </c>
      <c r="BK478" s="59">
        <v>0</v>
      </c>
      <c r="BL478" s="37">
        <v>0</v>
      </c>
      <c r="BM478" s="37">
        <v>0</v>
      </c>
      <c r="BN478" s="37">
        <v>0</v>
      </c>
      <c r="BO478" s="37">
        <v>0</v>
      </c>
      <c r="BP478" s="37">
        <v>0</v>
      </c>
      <c r="BQ478" s="37">
        <v>0</v>
      </c>
      <c r="BR478" s="37">
        <v>0</v>
      </c>
      <c r="BS478" s="37">
        <v>0</v>
      </c>
      <c r="BT478" s="37">
        <v>0</v>
      </c>
      <c r="BU478" s="37">
        <v>0</v>
      </c>
      <c r="BV478" s="37">
        <v>0</v>
      </c>
      <c r="BW478" s="59">
        <v>0</v>
      </c>
      <c r="BX478" s="59">
        <v>0</v>
      </c>
      <c r="BZ478" s="37">
        <v>4000</v>
      </c>
      <c r="CA478" s="37">
        <v>2000</v>
      </c>
      <c r="CB478" s="37">
        <v>800</v>
      </c>
      <c r="CC478" s="37">
        <v>400</v>
      </c>
      <c r="CD478" s="37">
        <v>200</v>
      </c>
      <c r="CE478" s="37">
        <v>80</v>
      </c>
      <c r="CF478" s="37">
        <v>0</v>
      </c>
      <c r="CG478" s="59">
        <v>7480</v>
      </c>
      <c r="CH478" s="37">
        <v>0</v>
      </c>
      <c r="CI478" s="37">
        <v>5</v>
      </c>
      <c r="CJ478" s="37">
        <v>4</v>
      </c>
      <c r="CK478" s="37">
        <v>2</v>
      </c>
      <c r="CL478" s="37">
        <v>0</v>
      </c>
      <c r="CM478" s="37">
        <v>0</v>
      </c>
      <c r="CN478" s="59">
        <v>11</v>
      </c>
      <c r="CO478" s="59">
        <v>7491</v>
      </c>
      <c r="CP478" s="58"/>
      <c r="CQ478" s="3">
        <v>7491</v>
      </c>
    </row>
    <row r="479" spans="1:95" customFormat="1" x14ac:dyDescent="0.2">
      <c r="A479" s="209">
        <v>43396</v>
      </c>
      <c r="B479" s="33" t="s">
        <v>68</v>
      </c>
      <c r="C479" s="33" t="s">
        <v>93</v>
      </c>
      <c r="D479" s="43">
        <v>0</v>
      </c>
      <c r="E479" s="43">
        <v>0</v>
      </c>
      <c r="F479" s="43">
        <v>0</v>
      </c>
      <c r="G479" s="43">
        <v>0</v>
      </c>
      <c r="H479" s="43">
        <v>0</v>
      </c>
      <c r="I479" s="43">
        <v>0</v>
      </c>
      <c r="J479" s="43">
        <v>0</v>
      </c>
      <c r="K479" s="43">
        <v>0</v>
      </c>
      <c r="L479" s="43">
        <v>0</v>
      </c>
      <c r="M479" s="43">
        <v>0</v>
      </c>
      <c r="N479" s="43">
        <v>1</v>
      </c>
      <c r="O479" s="43">
        <v>0</v>
      </c>
      <c r="P479" s="47" t="s">
        <v>45</v>
      </c>
      <c r="R479" s="37">
        <v>0</v>
      </c>
      <c r="S479" s="37">
        <v>0</v>
      </c>
      <c r="T479" s="37">
        <v>600000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v>0</v>
      </c>
      <c r="AD479" s="37">
        <v>0</v>
      </c>
      <c r="AE479" s="37">
        <v>0</v>
      </c>
      <c r="AF479" s="37">
        <v>0</v>
      </c>
      <c r="AG479" s="59">
        <v>600000</v>
      </c>
      <c r="AH479" s="37">
        <v>0</v>
      </c>
      <c r="AI479" s="37">
        <v>3500</v>
      </c>
      <c r="AJ479" s="37">
        <v>1250</v>
      </c>
      <c r="AK479" s="37">
        <v>0</v>
      </c>
      <c r="AL479" s="37">
        <v>0</v>
      </c>
      <c r="AM479" s="37">
        <v>0</v>
      </c>
      <c r="AN479" s="37">
        <v>1400</v>
      </c>
      <c r="AO479" s="37">
        <v>0</v>
      </c>
      <c r="AP479" s="37">
        <v>200</v>
      </c>
      <c r="AQ479" s="37">
        <v>0</v>
      </c>
      <c r="AR479" s="37">
        <v>0</v>
      </c>
      <c r="AS479" s="59">
        <v>6350</v>
      </c>
      <c r="AT479" s="59">
        <v>606350</v>
      </c>
      <c r="AU479" s="45"/>
      <c r="AV479" s="37">
        <v>0</v>
      </c>
      <c r="AW479" s="37">
        <v>0</v>
      </c>
      <c r="AX479" s="37">
        <v>0</v>
      </c>
      <c r="AY479" s="37">
        <v>0</v>
      </c>
      <c r="AZ479" s="37">
        <v>0</v>
      </c>
      <c r="BA479" s="37">
        <v>0</v>
      </c>
      <c r="BB479" s="37">
        <v>0</v>
      </c>
      <c r="BC479" s="37">
        <v>0</v>
      </c>
      <c r="BD479" s="37">
        <v>0</v>
      </c>
      <c r="BE479" s="37">
        <v>0</v>
      </c>
      <c r="BF479" s="37">
        <v>0</v>
      </c>
      <c r="BG479" s="37">
        <v>0</v>
      </c>
      <c r="BH479" s="37">
        <v>0</v>
      </c>
      <c r="BI479" s="37">
        <v>0</v>
      </c>
      <c r="BJ479" s="37">
        <v>0</v>
      </c>
      <c r="BK479" s="59">
        <v>0</v>
      </c>
      <c r="BL479" s="37">
        <v>0</v>
      </c>
      <c r="BM479" s="37">
        <v>0</v>
      </c>
      <c r="BN479" s="37">
        <v>0</v>
      </c>
      <c r="BO479" s="37">
        <v>0</v>
      </c>
      <c r="BP479" s="37">
        <v>0</v>
      </c>
      <c r="BQ479" s="37">
        <v>0</v>
      </c>
      <c r="BR479" s="37">
        <v>0</v>
      </c>
      <c r="BS479" s="37">
        <v>0</v>
      </c>
      <c r="BT479" s="37">
        <v>0</v>
      </c>
      <c r="BU479" s="37">
        <v>0</v>
      </c>
      <c r="BV479" s="37">
        <v>0</v>
      </c>
      <c r="BW479" s="59">
        <v>0</v>
      </c>
      <c r="BX479" s="59">
        <v>0</v>
      </c>
      <c r="BZ479" s="37">
        <v>600000</v>
      </c>
      <c r="CA479" s="37">
        <v>0</v>
      </c>
      <c r="CB479" s="37">
        <v>0</v>
      </c>
      <c r="CC479" s="37">
        <v>0</v>
      </c>
      <c r="CD479" s="37">
        <v>0</v>
      </c>
      <c r="CE479" s="37">
        <v>0</v>
      </c>
      <c r="CF479" s="37">
        <v>0</v>
      </c>
      <c r="CG479" s="59">
        <v>600000</v>
      </c>
      <c r="CH479" s="37">
        <v>3500</v>
      </c>
      <c r="CI479" s="37">
        <v>1250</v>
      </c>
      <c r="CJ479" s="37">
        <v>1400</v>
      </c>
      <c r="CK479" s="37">
        <v>200</v>
      </c>
      <c r="CL479" s="37">
        <v>0</v>
      </c>
      <c r="CM479" s="37">
        <v>0</v>
      </c>
      <c r="CN479" s="59">
        <v>6350</v>
      </c>
      <c r="CO479" s="59">
        <v>606350</v>
      </c>
      <c r="CP479" s="58"/>
      <c r="CQ479" s="3">
        <v>606350</v>
      </c>
    </row>
    <row r="480" spans="1:95" customFormat="1" x14ac:dyDescent="0.2">
      <c r="A480" s="209">
        <v>43397</v>
      </c>
      <c r="B480" s="33" t="s">
        <v>55</v>
      </c>
      <c r="C480" s="33" t="s">
        <v>56</v>
      </c>
      <c r="D480" s="43">
        <v>0</v>
      </c>
      <c r="E480" s="43">
        <v>0</v>
      </c>
      <c r="F480" s="43">
        <v>0</v>
      </c>
      <c r="G480" s="43">
        <v>0</v>
      </c>
      <c r="H480" s="43">
        <v>0</v>
      </c>
      <c r="I480" s="43">
        <v>0</v>
      </c>
      <c r="J480" s="43">
        <v>0</v>
      </c>
      <c r="K480" s="43">
        <v>0</v>
      </c>
      <c r="L480" s="43">
        <v>0</v>
      </c>
      <c r="M480" s="43">
        <v>0</v>
      </c>
      <c r="N480" s="43">
        <v>0</v>
      </c>
      <c r="O480" s="43">
        <v>0</v>
      </c>
      <c r="P480" s="47">
        <v>0</v>
      </c>
      <c r="R480" s="37">
        <v>0</v>
      </c>
      <c r="S480" s="37">
        <v>0</v>
      </c>
      <c r="T480" s="37">
        <v>4000</v>
      </c>
      <c r="U480" s="37">
        <v>0</v>
      </c>
      <c r="V480" s="37">
        <v>2000</v>
      </c>
      <c r="W480" s="37">
        <v>0</v>
      </c>
      <c r="X480" s="37">
        <v>0</v>
      </c>
      <c r="Y480" s="37">
        <v>0</v>
      </c>
      <c r="Z480" s="37">
        <v>400</v>
      </c>
      <c r="AA480" s="37">
        <v>0</v>
      </c>
      <c r="AB480" s="37">
        <v>200</v>
      </c>
      <c r="AC480" s="37">
        <v>0</v>
      </c>
      <c r="AD480" s="37">
        <v>80</v>
      </c>
      <c r="AE480" s="37">
        <v>0</v>
      </c>
      <c r="AF480" s="37">
        <v>0</v>
      </c>
      <c r="AG480" s="59">
        <v>6680</v>
      </c>
      <c r="AH480" s="37">
        <v>0</v>
      </c>
      <c r="AI480" s="37">
        <v>0</v>
      </c>
      <c r="AJ480" s="37">
        <v>0</v>
      </c>
      <c r="AK480" s="37">
        <v>0</v>
      </c>
      <c r="AL480" s="37">
        <v>0</v>
      </c>
      <c r="AM480" s="37">
        <v>0</v>
      </c>
      <c r="AN480" s="37">
        <v>0</v>
      </c>
      <c r="AO480" s="37">
        <v>0</v>
      </c>
      <c r="AP480" s="37">
        <v>0</v>
      </c>
      <c r="AQ480" s="37">
        <v>0</v>
      </c>
      <c r="AR480" s="37">
        <v>0</v>
      </c>
      <c r="AS480" s="59">
        <v>0</v>
      </c>
      <c r="AT480" s="59">
        <v>6680</v>
      </c>
      <c r="AU480" s="45"/>
      <c r="AV480" s="37">
        <v>0</v>
      </c>
      <c r="AW480" s="37">
        <v>0</v>
      </c>
      <c r="AX480" s="37">
        <v>0</v>
      </c>
      <c r="AY480" s="37">
        <v>0</v>
      </c>
      <c r="AZ480" s="37">
        <v>0</v>
      </c>
      <c r="BA480" s="37">
        <v>0</v>
      </c>
      <c r="BB480" s="37">
        <v>0</v>
      </c>
      <c r="BC480" s="37">
        <v>0</v>
      </c>
      <c r="BD480" s="37">
        <v>0</v>
      </c>
      <c r="BE480" s="37">
        <v>0</v>
      </c>
      <c r="BF480" s="37">
        <v>0</v>
      </c>
      <c r="BG480" s="37">
        <v>0</v>
      </c>
      <c r="BH480" s="37">
        <v>0</v>
      </c>
      <c r="BI480" s="37">
        <v>0</v>
      </c>
      <c r="BJ480" s="37">
        <v>0</v>
      </c>
      <c r="BK480" s="59">
        <v>0</v>
      </c>
      <c r="BL480" s="37">
        <v>0</v>
      </c>
      <c r="BM480" s="37">
        <v>0</v>
      </c>
      <c r="BN480" s="37">
        <v>0</v>
      </c>
      <c r="BO480" s="37">
        <v>0</v>
      </c>
      <c r="BP480" s="37">
        <v>0</v>
      </c>
      <c r="BQ480" s="37">
        <v>0</v>
      </c>
      <c r="BR480" s="37">
        <v>0</v>
      </c>
      <c r="BS480" s="37">
        <v>0</v>
      </c>
      <c r="BT480" s="37">
        <v>0</v>
      </c>
      <c r="BU480" s="37">
        <v>0</v>
      </c>
      <c r="BV480" s="37">
        <v>0</v>
      </c>
      <c r="BW480" s="59">
        <v>0</v>
      </c>
      <c r="BX480" s="59">
        <v>0</v>
      </c>
      <c r="BZ480" s="37">
        <v>4000</v>
      </c>
      <c r="CA480" s="37">
        <v>2000</v>
      </c>
      <c r="CB480" s="37">
        <v>0</v>
      </c>
      <c r="CC480" s="37">
        <v>400</v>
      </c>
      <c r="CD480" s="37">
        <v>200</v>
      </c>
      <c r="CE480" s="37">
        <v>80</v>
      </c>
      <c r="CF480" s="37">
        <v>0</v>
      </c>
      <c r="CG480" s="59">
        <v>6680</v>
      </c>
      <c r="CH480" s="37">
        <v>0</v>
      </c>
      <c r="CI480" s="37">
        <v>0</v>
      </c>
      <c r="CJ480" s="37">
        <v>0</v>
      </c>
      <c r="CK480" s="37">
        <v>0</v>
      </c>
      <c r="CL480" s="37">
        <v>0</v>
      </c>
      <c r="CM480" s="37">
        <v>0</v>
      </c>
      <c r="CN480" s="59">
        <v>0</v>
      </c>
      <c r="CO480" s="59">
        <v>6680</v>
      </c>
      <c r="CP480" s="58"/>
      <c r="CQ480" s="3">
        <v>6680</v>
      </c>
    </row>
    <row r="481" spans="1:95" customFormat="1" x14ac:dyDescent="0.2">
      <c r="A481" s="209">
        <v>43397</v>
      </c>
      <c r="B481" s="33" t="s">
        <v>53</v>
      </c>
      <c r="C481" s="33" t="s">
        <v>84</v>
      </c>
      <c r="D481" s="43">
        <v>0</v>
      </c>
      <c r="E481" s="43">
        <v>1</v>
      </c>
      <c r="F481" s="43">
        <v>0</v>
      </c>
      <c r="G481" s="43">
        <v>0</v>
      </c>
      <c r="H481" s="43">
        <v>0</v>
      </c>
      <c r="I481" s="43">
        <v>0</v>
      </c>
      <c r="J481" s="43">
        <v>0</v>
      </c>
      <c r="K481" s="43">
        <v>0</v>
      </c>
      <c r="L481" s="43">
        <v>0</v>
      </c>
      <c r="M481" s="43">
        <v>0</v>
      </c>
      <c r="N481" s="43">
        <v>0</v>
      </c>
      <c r="O481" s="43">
        <v>0</v>
      </c>
      <c r="P481" s="47" t="s">
        <v>45</v>
      </c>
      <c r="R481" s="37">
        <v>0</v>
      </c>
      <c r="S481" s="37">
        <v>0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v>0</v>
      </c>
      <c r="AD481" s="37">
        <v>0</v>
      </c>
      <c r="AE481" s="37">
        <v>0</v>
      </c>
      <c r="AF481" s="37">
        <v>0</v>
      </c>
      <c r="AG481" s="59">
        <v>0</v>
      </c>
      <c r="AH481" s="37">
        <v>2500</v>
      </c>
      <c r="AI481" s="37">
        <v>0</v>
      </c>
      <c r="AJ481" s="37">
        <v>1875</v>
      </c>
      <c r="AK481" s="37">
        <v>0</v>
      </c>
      <c r="AL481" s="37">
        <v>0</v>
      </c>
      <c r="AM481" s="37">
        <v>0</v>
      </c>
      <c r="AN481" s="37">
        <v>0</v>
      </c>
      <c r="AO481" s="37">
        <v>0</v>
      </c>
      <c r="AP481" s="37">
        <v>0</v>
      </c>
      <c r="AQ481" s="37">
        <v>0</v>
      </c>
      <c r="AR481" s="37">
        <v>0</v>
      </c>
      <c r="AS481" s="59">
        <v>4375</v>
      </c>
      <c r="AT481" s="59">
        <v>4375</v>
      </c>
      <c r="AU481" s="45"/>
      <c r="AV481" s="37">
        <v>0</v>
      </c>
      <c r="AW481" s="37">
        <v>0</v>
      </c>
      <c r="AX481" s="37">
        <v>0</v>
      </c>
      <c r="AY481" s="37">
        <v>0</v>
      </c>
      <c r="AZ481" s="37">
        <v>0</v>
      </c>
      <c r="BA481" s="37">
        <v>0</v>
      </c>
      <c r="BB481" s="37">
        <v>0</v>
      </c>
      <c r="BC481" s="37">
        <v>0</v>
      </c>
      <c r="BD481" s="37">
        <v>0</v>
      </c>
      <c r="BE481" s="37">
        <v>0</v>
      </c>
      <c r="BF481" s="37">
        <v>0</v>
      </c>
      <c r="BG481" s="37">
        <v>0</v>
      </c>
      <c r="BH481" s="37">
        <v>0</v>
      </c>
      <c r="BI481" s="37">
        <v>0</v>
      </c>
      <c r="BJ481" s="37">
        <v>0</v>
      </c>
      <c r="BK481" s="59">
        <v>0</v>
      </c>
      <c r="BL481" s="37">
        <v>0</v>
      </c>
      <c r="BM481" s="37">
        <v>0</v>
      </c>
      <c r="BN481" s="37">
        <v>0</v>
      </c>
      <c r="BO481" s="37">
        <v>0</v>
      </c>
      <c r="BP481" s="37">
        <v>0</v>
      </c>
      <c r="BQ481" s="37">
        <v>0</v>
      </c>
      <c r="BR481" s="37">
        <v>0</v>
      </c>
      <c r="BS481" s="37">
        <v>0</v>
      </c>
      <c r="BT481" s="37">
        <v>0</v>
      </c>
      <c r="BU481" s="37">
        <v>0</v>
      </c>
      <c r="BV481" s="37">
        <v>0</v>
      </c>
      <c r="BW481" s="59">
        <v>0</v>
      </c>
      <c r="BX481" s="59">
        <v>0</v>
      </c>
      <c r="BZ481" s="37">
        <v>0</v>
      </c>
      <c r="CA481" s="37">
        <v>0</v>
      </c>
      <c r="CB481" s="37">
        <v>0</v>
      </c>
      <c r="CC481" s="37">
        <v>0</v>
      </c>
      <c r="CD481" s="37">
        <v>0</v>
      </c>
      <c r="CE481" s="37">
        <v>0</v>
      </c>
      <c r="CF481" s="37">
        <v>0</v>
      </c>
      <c r="CG481" s="59">
        <v>0</v>
      </c>
      <c r="CH481" s="37">
        <v>2500</v>
      </c>
      <c r="CI481" s="37">
        <v>1875</v>
      </c>
      <c r="CJ481" s="37">
        <v>0</v>
      </c>
      <c r="CK481" s="37">
        <v>0</v>
      </c>
      <c r="CL481" s="37">
        <v>0</v>
      </c>
      <c r="CM481" s="37">
        <v>0</v>
      </c>
      <c r="CN481" s="59">
        <v>4375</v>
      </c>
      <c r="CO481" s="59">
        <v>4375</v>
      </c>
      <c r="CP481" s="58"/>
      <c r="CQ481" s="3">
        <v>4375</v>
      </c>
    </row>
    <row r="482" spans="1:95" customFormat="1" x14ac:dyDescent="0.2">
      <c r="A482" s="209">
        <v>43397</v>
      </c>
      <c r="B482" s="33" t="s">
        <v>53</v>
      </c>
      <c r="C482" s="33" t="s">
        <v>54</v>
      </c>
      <c r="D482" s="43">
        <v>1</v>
      </c>
      <c r="E482" s="43">
        <v>0</v>
      </c>
      <c r="F482" s="43">
        <v>0</v>
      </c>
      <c r="G482" s="43">
        <v>0</v>
      </c>
      <c r="H482" s="43">
        <v>0</v>
      </c>
      <c r="I482" s="43">
        <v>0</v>
      </c>
      <c r="J482" s="43">
        <v>0</v>
      </c>
      <c r="K482" s="43">
        <v>0</v>
      </c>
      <c r="L482" s="43">
        <v>0</v>
      </c>
      <c r="M482" s="43">
        <v>0</v>
      </c>
      <c r="N482" s="43">
        <v>0</v>
      </c>
      <c r="O482" s="43">
        <v>0</v>
      </c>
      <c r="P482" s="47" t="s">
        <v>45</v>
      </c>
      <c r="R482" s="37">
        <v>0</v>
      </c>
      <c r="S482" s="37">
        <v>0</v>
      </c>
      <c r="T482" s="37">
        <v>0</v>
      </c>
      <c r="U482" s="37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7">
        <v>0</v>
      </c>
      <c r="AB482" s="37">
        <v>0</v>
      </c>
      <c r="AC482" s="37">
        <v>0</v>
      </c>
      <c r="AD482" s="37">
        <v>0</v>
      </c>
      <c r="AE482" s="37">
        <v>0</v>
      </c>
      <c r="AF482" s="37">
        <v>0</v>
      </c>
      <c r="AG482" s="59">
        <v>0</v>
      </c>
      <c r="AH482" s="37">
        <v>0</v>
      </c>
      <c r="AI482" s="37">
        <v>0</v>
      </c>
      <c r="AJ482" s="37">
        <v>0</v>
      </c>
      <c r="AK482" s="37">
        <v>0</v>
      </c>
      <c r="AL482" s="37">
        <v>0</v>
      </c>
      <c r="AM482" s="37">
        <v>0</v>
      </c>
      <c r="AN482" s="37">
        <v>1200</v>
      </c>
      <c r="AO482" s="37">
        <v>0</v>
      </c>
      <c r="AP482" s="37">
        <v>0</v>
      </c>
      <c r="AQ482" s="37">
        <v>0</v>
      </c>
      <c r="AR482" s="37">
        <v>0</v>
      </c>
      <c r="AS482" s="59">
        <v>1200</v>
      </c>
      <c r="AT482" s="59">
        <v>1200</v>
      </c>
      <c r="AU482" s="45"/>
      <c r="AV482" s="37">
        <v>0</v>
      </c>
      <c r="AW482" s="37">
        <v>0</v>
      </c>
      <c r="AX482" s="37">
        <v>0</v>
      </c>
      <c r="AY482" s="37">
        <v>0</v>
      </c>
      <c r="AZ482" s="37">
        <v>0</v>
      </c>
      <c r="BA482" s="37">
        <v>0</v>
      </c>
      <c r="BB482" s="37">
        <v>0</v>
      </c>
      <c r="BC482" s="37">
        <v>0</v>
      </c>
      <c r="BD482" s="37">
        <v>0</v>
      </c>
      <c r="BE482" s="37">
        <v>0</v>
      </c>
      <c r="BF482" s="37">
        <v>0</v>
      </c>
      <c r="BG482" s="37">
        <v>0</v>
      </c>
      <c r="BH482" s="37">
        <v>0</v>
      </c>
      <c r="BI482" s="37">
        <v>0</v>
      </c>
      <c r="BJ482" s="37">
        <v>0</v>
      </c>
      <c r="BK482" s="59">
        <v>0</v>
      </c>
      <c r="BL482" s="37">
        <v>0</v>
      </c>
      <c r="BM482" s="37">
        <v>0</v>
      </c>
      <c r="BN482" s="37">
        <v>0</v>
      </c>
      <c r="BO482" s="37">
        <v>0</v>
      </c>
      <c r="BP482" s="37">
        <v>0</v>
      </c>
      <c r="BQ482" s="37">
        <v>0</v>
      </c>
      <c r="BR482" s="37">
        <v>0</v>
      </c>
      <c r="BS482" s="37">
        <v>0</v>
      </c>
      <c r="BT482" s="37">
        <v>0</v>
      </c>
      <c r="BU482" s="37">
        <v>0</v>
      </c>
      <c r="BV482" s="37">
        <v>0</v>
      </c>
      <c r="BW482" s="59">
        <v>0</v>
      </c>
      <c r="BX482" s="59">
        <v>0</v>
      </c>
      <c r="BZ482" s="37">
        <v>0</v>
      </c>
      <c r="CA482" s="37">
        <v>0</v>
      </c>
      <c r="CB482" s="37">
        <v>0</v>
      </c>
      <c r="CC482" s="37">
        <v>0</v>
      </c>
      <c r="CD482" s="37">
        <v>0</v>
      </c>
      <c r="CE482" s="37">
        <v>0</v>
      </c>
      <c r="CF482" s="37">
        <v>0</v>
      </c>
      <c r="CG482" s="59">
        <v>0</v>
      </c>
      <c r="CH482" s="37">
        <v>0</v>
      </c>
      <c r="CI482" s="37">
        <v>0</v>
      </c>
      <c r="CJ482" s="37">
        <v>1200</v>
      </c>
      <c r="CK482" s="37">
        <v>0</v>
      </c>
      <c r="CL482" s="37">
        <v>0</v>
      </c>
      <c r="CM482" s="37">
        <v>0</v>
      </c>
      <c r="CN482" s="59">
        <v>1200</v>
      </c>
      <c r="CO482" s="59">
        <v>1200</v>
      </c>
      <c r="CP482" s="58"/>
      <c r="CQ482" s="3">
        <v>1200</v>
      </c>
    </row>
    <row r="483" spans="1:95" customFormat="1" x14ac:dyDescent="0.2">
      <c r="A483" s="209">
        <v>43398</v>
      </c>
      <c r="B483" s="33" t="s">
        <v>55</v>
      </c>
      <c r="C483" s="33" t="s">
        <v>56</v>
      </c>
      <c r="D483" s="43">
        <v>0</v>
      </c>
      <c r="E483" s="43">
        <v>0</v>
      </c>
      <c r="F483" s="43">
        <v>0</v>
      </c>
      <c r="G483" s="43">
        <v>0</v>
      </c>
      <c r="H483" s="43">
        <v>0</v>
      </c>
      <c r="I483" s="43">
        <v>0</v>
      </c>
      <c r="J483" s="43">
        <v>0</v>
      </c>
      <c r="K483" s="43">
        <v>0</v>
      </c>
      <c r="L483" s="43">
        <v>0</v>
      </c>
      <c r="M483" s="43">
        <v>0</v>
      </c>
      <c r="N483" s="43">
        <v>0</v>
      </c>
      <c r="O483" s="43">
        <v>0</v>
      </c>
      <c r="P483" s="47">
        <v>0</v>
      </c>
      <c r="R483" s="37">
        <v>0</v>
      </c>
      <c r="S483" s="37">
        <v>0</v>
      </c>
      <c r="T483" s="37">
        <v>4000</v>
      </c>
      <c r="U483" s="37">
        <v>0</v>
      </c>
      <c r="V483" s="37">
        <v>2000</v>
      </c>
      <c r="W483" s="37">
        <v>0</v>
      </c>
      <c r="X483" s="37">
        <v>800</v>
      </c>
      <c r="Y483" s="37">
        <v>0</v>
      </c>
      <c r="Z483" s="37">
        <v>400</v>
      </c>
      <c r="AA483" s="37">
        <v>0</v>
      </c>
      <c r="AB483" s="37">
        <v>200</v>
      </c>
      <c r="AC483" s="37">
        <v>0</v>
      </c>
      <c r="AD483" s="37">
        <v>80</v>
      </c>
      <c r="AE483" s="37">
        <v>0</v>
      </c>
      <c r="AF483" s="37">
        <v>0</v>
      </c>
      <c r="AG483" s="59">
        <v>7480</v>
      </c>
      <c r="AH483" s="37">
        <v>0</v>
      </c>
      <c r="AI483" s="37">
        <v>0</v>
      </c>
      <c r="AJ483" s="37">
        <v>0</v>
      </c>
      <c r="AK483" s="37">
        <v>0</v>
      </c>
      <c r="AL483" s="37">
        <v>5</v>
      </c>
      <c r="AM483" s="37">
        <v>0</v>
      </c>
      <c r="AN483" s="37">
        <v>4</v>
      </c>
      <c r="AO483" s="37">
        <v>0</v>
      </c>
      <c r="AP483" s="37">
        <v>2</v>
      </c>
      <c r="AQ483" s="37">
        <v>0</v>
      </c>
      <c r="AR483" s="37">
        <v>0</v>
      </c>
      <c r="AS483" s="59">
        <v>11</v>
      </c>
      <c r="AT483" s="59">
        <v>7491</v>
      </c>
      <c r="AU483" s="45"/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>
        <v>0</v>
      </c>
      <c r="BB483" s="37">
        <v>0</v>
      </c>
      <c r="BC483" s="37">
        <v>0</v>
      </c>
      <c r="BD483" s="37">
        <v>0</v>
      </c>
      <c r="BE483" s="37">
        <v>0</v>
      </c>
      <c r="BF483" s="37">
        <v>0</v>
      </c>
      <c r="BG483" s="37">
        <v>0</v>
      </c>
      <c r="BH483" s="37">
        <v>0</v>
      </c>
      <c r="BI483" s="37">
        <v>0</v>
      </c>
      <c r="BJ483" s="37">
        <v>0</v>
      </c>
      <c r="BK483" s="59">
        <v>0</v>
      </c>
      <c r="BL483" s="37">
        <v>0</v>
      </c>
      <c r="BM483" s="37">
        <v>0</v>
      </c>
      <c r="BN483" s="37">
        <v>0</v>
      </c>
      <c r="BO483" s="37">
        <v>0</v>
      </c>
      <c r="BP483" s="37">
        <v>0</v>
      </c>
      <c r="BQ483" s="37">
        <v>0</v>
      </c>
      <c r="BR483" s="37">
        <v>0</v>
      </c>
      <c r="BS483" s="37">
        <v>0</v>
      </c>
      <c r="BT483" s="37">
        <v>0</v>
      </c>
      <c r="BU483" s="37">
        <v>0</v>
      </c>
      <c r="BV483" s="37">
        <v>0</v>
      </c>
      <c r="BW483" s="59">
        <v>0</v>
      </c>
      <c r="BX483" s="59">
        <v>0</v>
      </c>
      <c r="BZ483" s="37">
        <v>4000</v>
      </c>
      <c r="CA483" s="37">
        <v>2000</v>
      </c>
      <c r="CB483" s="37">
        <v>800</v>
      </c>
      <c r="CC483" s="37">
        <v>400</v>
      </c>
      <c r="CD483" s="37">
        <v>200</v>
      </c>
      <c r="CE483" s="37">
        <v>80</v>
      </c>
      <c r="CF483" s="37">
        <v>0</v>
      </c>
      <c r="CG483" s="59">
        <v>7480</v>
      </c>
      <c r="CH483" s="37">
        <v>0</v>
      </c>
      <c r="CI483" s="37">
        <v>5</v>
      </c>
      <c r="CJ483" s="37">
        <v>4</v>
      </c>
      <c r="CK483" s="37">
        <v>2</v>
      </c>
      <c r="CL483" s="37">
        <v>0</v>
      </c>
      <c r="CM483" s="37">
        <v>0</v>
      </c>
      <c r="CN483" s="59">
        <v>11</v>
      </c>
      <c r="CO483" s="59">
        <v>7491</v>
      </c>
      <c r="CP483" s="58"/>
      <c r="CQ483" s="3">
        <v>7491</v>
      </c>
    </row>
    <row r="484" spans="1:95" customFormat="1" x14ac:dyDescent="0.2">
      <c r="A484" s="209">
        <v>43399</v>
      </c>
      <c r="B484" s="33" t="s">
        <v>55</v>
      </c>
      <c r="C484" s="33" t="s">
        <v>56</v>
      </c>
      <c r="D484" s="43">
        <v>0</v>
      </c>
      <c r="E484" s="43">
        <v>0</v>
      </c>
      <c r="F484" s="43">
        <v>0</v>
      </c>
      <c r="G484" s="43">
        <v>0</v>
      </c>
      <c r="H484" s="43">
        <v>0</v>
      </c>
      <c r="I484" s="43">
        <v>0</v>
      </c>
      <c r="J484" s="43">
        <v>0</v>
      </c>
      <c r="K484" s="43">
        <v>0</v>
      </c>
      <c r="L484" s="43">
        <v>0</v>
      </c>
      <c r="M484" s="43">
        <v>0</v>
      </c>
      <c r="N484" s="43">
        <v>0</v>
      </c>
      <c r="O484" s="43">
        <v>0</v>
      </c>
      <c r="P484" s="47">
        <v>0</v>
      </c>
      <c r="R484" s="37">
        <v>0</v>
      </c>
      <c r="S484" s="37">
        <v>0</v>
      </c>
      <c r="T484" s="37">
        <v>4000</v>
      </c>
      <c r="U484" s="37">
        <v>0</v>
      </c>
      <c r="V484" s="37">
        <v>2000</v>
      </c>
      <c r="W484" s="37">
        <v>0</v>
      </c>
      <c r="X484" s="37">
        <v>800</v>
      </c>
      <c r="Y484" s="37">
        <v>0</v>
      </c>
      <c r="Z484" s="37">
        <v>400</v>
      </c>
      <c r="AA484" s="37">
        <v>0</v>
      </c>
      <c r="AB484" s="37">
        <v>200</v>
      </c>
      <c r="AC484" s="37">
        <v>0</v>
      </c>
      <c r="AD484" s="37">
        <v>80</v>
      </c>
      <c r="AE484" s="37">
        <v>0</v>
      </c>
      <c r="AF484" s="37">
        <v>0</v>
      </c>
      <c r="AG484" s="59">
        <v>7480</v>
      </c>
      <c r="AH484" s="37">
        <v>0</v>
      </c>
      <c r="AI484" s="37">
        <v>0</v>
      </c>
      <c r="AJ484" s="37">
        <v>0</v>
      </c>
      <c r="AK484" s="37">
        <v>0</v>
      </c>
      <c r="AL484" s="37">
        <v>0</v>
      </c>
      <c r="AM484" s="37">
        <v>0</v>
      </c>
      <c r="AN484" s="37">
        <v>0</v>
      </c>
      <c r="AO484" s="37">
        <v>0</v>
      </c>
      <c r="AP484" s="37">
        <v>0</v>
      </c>
      <c r="AQ484" s="37">
        <v>0</v>
      </c>
      <c r="AR484" s="37">
        <v>0</v>
      </c>
      <c r="AS484" s="59">
        <v>0</v>
      </c>
      <c r="AT484" s="59">
        <v>7480</v>
      </c>
      <c r="AU484" s="45"/>
      <c r="AV484" s="37">
        <v>0</v>
      </c>
      <c r="AW484" s="37">
        <v>0</v>
      </c>
      <c r="AX484" s="37">
        <v>0</v>
      </c>
      <c r="AY484" s="37">
        <v>0</v>
      </c>
      <c r="AZ484" s="37">
        <v>0</v>
      </c>
      <c r="BA484" s="37">
        <v>0</v>
      </c>
      <c r="BB484" s="37">
        <v>0</v>
      </c>
      <c r="BC484" s="37">
        <v>0</v>
      </c>
      <c r="BD484" s="37">
        <v>0</v>
      </c>
      <c r="BE484" s="37">
        <v>0</v>
      </c>
      <c r="BF484" s="37">
        <v>0</v>
      </c>
      <c r="BG484" s="37">
        <v>0</v>
      </c>
      <c r="BH484" s="37">
        <v>0</v>
      </c>
      <c r="BI484" s="37">
        <v>0</v>
      </c>
      <c r="BJ484" s="37">
        <v>0</v>
      </c>
      <c r="BK484" s="59">
        <v>0</v>
      </c>
      <c r="BL484" s="37">
        <v>0</v>
      </c>
      <c r="BM484" s="37">
        <v>0</v>
      </c>
      <c r="BN484" s="37">
        <v>0</v>
      </c>
      <c r="BO484" s="37">
        <v>0</v>
      </c>
      <c r="BP484" s="37">
        <v>0</v>
      </c>
      <c r="BQ484" s="37">
        <v>0</v>
      </c>
      <c r="BR484" s="37">
        <v>0</v>
      </c>
      <c r="BS484" s="37">
        <v>0</v>
      </c>
      <c r="BT484" s="37">
        <v>0</v>
      </c>
      <c r="BU484" s="37">
        <v>0</v>
      </c>
      <c r="BV484" s="37">
        <v>0</v>
      </c>
      <c r="BW484" s="59">
        <v>0</v>
      </c>
      <c r="BX484" s="59">
        <v>0</v>
      </c>
      <c r="BZ484" s="37">
        <v>4000</v>
      </c>
      <c r="CA484" s="37">
        <v>2000</v>
      </c>
      <c r="CB484" s="37">
        <v>800</v>
      </c>
      <c r="CC484" s="37">
        <v>400</v>
      </c>
      <c r="CD484" s="37">
        <v>200</v>
      </c>
      <c r="CE484" s="37">
        <v>80</v>
      </c>
      <c r="CF484" s="37">
        <v>0</v>
      </c>
      <c r="CG484" s="59">
        <v>7480</v>
      </c>
      <c r="CH484" s="37">
        <v>0</v>
      </c>
      <c r="CI484" s="37">
        <v>0</v>
      </c>
      <c r="CJ484" s="37">
        <v>0</v>
      </c>
      <c r="CK484" s="37">
        <v>0</v>
      </c>
      <c r="CL484" s="37">
        <v>0</v>
      </c>
      <c r="CM484" s="37">
        <v>0</v>
      </c>
      <c r="CN484" s="59">
        <v>0</v>
      </c>
      <c r="CO484" s="59">
        <v>7480</v>
      </c>
      <c r="CP484" s="58"/>
      <c r="CQ484" s="3">
        <v>7480</v>
      </c>
    </row>
    <row r="485" spans="1:95" customFormat="1" x14ac:dyDescent="0.2">
      <c r="A485" s="209">
        <v>43402</v>
      </c>
      <c r="B485" s="33" t="s">
        <v>55</v>
      </c>
      <c r="C485" s="33" t="s">
        <v>56</v>
      </c>
      <c r="D485" s="43">
        <v>0</v>
      </c>
      <c r="E485" s="43">
        <v>0</v>
      </c>
      <c r="F485" s="43">
        <v>0</v>
      </c>
      <c r="G485" s="43">
        <v>0</v>
      </c>
      <c r="H485" s="43">
        <v>0</v>
      </c>
      <c r="I485" s="43">
        <v>0</v>
      </c>
      <c r="J485" s="43">
        <v>0</v>
      </c>
      <c r="K485" s="43">
        <v>0</v>
      </c>
      <c r="L485" s="43">
        <v>0</v>
      </c>
      <c r="M485" s="43">
        <v>0</v>
      </c>
      <c r="N485" s="43">
        <v>0</v>
      </c>
      <c r="O485" s="43">
        <v>0</v>
      </c>
      <c r="P485" s="47">
        <v>0</v>
      </c>
      <c r="R485" s="37">
        <v>0</v>
      </c>
      <c r="S485" s="37">
        <v>0</v>
      </c>
      <c r="T485" s="37">
        <v>4000</v>
      </c>
      <c r="U485" s="37">
        <v>0</v>
      </c>
      <c r="V485" s="37">
        <v>2000</v>
      </c>
      <c r="W485" s="37">
        <v>0</v>
      </c>
      <c r="X485" s="37">
        <v>800</v>
      </c>
      <c r="Y485" s="37">
        <v>0</v>
      </c>
      <c r="Z485" s="37">
        <v>400</v>
      </c>
      <c r="AA485" s="37">
        <v>0</v>
      </c>
      <c r="AB485" s="37">
        <v>200</v>
      </c>
      <c r="AC485" s="37">
        <v>0</v>
      </c>
      <c r="AD485" s="37">
        <v>80</v>
      </c>
      <c r="AE485" s="37">
        <v>0</v>
      </c>
      <c r="AF485" s="37">
        <v>0</v>
      </c>
      <c r="AG485" s="59">
        <v>7480</v>
      </c>
      <c r="AH485" s="37">
        <v>0</v>
      </c>
      <c r="AI485" s="37">
        <v>0</v>
      </c>
      <c r="AJ485" s="37">
        <v>0</v>
      </c>
      <c r="AK485" s="37">
        <v>0</v>
      </c>
      <c r="AL485" s="37">
        <v>0</v>
      </c>
      <c r="AM485" s="37">
        <v>0</v>
      </c>
      <c r="AN485" s="37">
        <v>0</v>
      </c>
      <c r="AO485" s="37">
        <v>0</v>
      </c>
      <c r="AP485" s="37">
        <v>0</v>
      </c>
      <c r="AQ485" s="37">
        <v>0</v>
      </c>
      <c r="AR485" s="37">
        <v>0</v>
      </c>
      <c r="AS485" s="59">
        <v>0</v>
      </c>
      <c r="AT485" s="59">
        <v>7480</v>
      </c>
      <c r="AU485" s="45"/>
      <c r="AV485" s="37">
        <v>0</v>
      </c>
      <c r="AW485" s="37">
        <v>0</v>
      </c>
      <c r="AX485" s="37">
        <v>0</v>
      </c>
      <c r="AY485" s="37">
        <v>0</v>
      </c>
      <c r="AZ485" s="37">
        <v>0</v>
      </c>
      <c r="BA485" s="37">
        <v>0</v>
      </c>
      <c r="BB485" s="37">
        <v>0</v>
      </c>
      <c r="BC485" s="37">
        <v>0</v>
      </c>
      <c r="BD485" s="37">
        <v>0</v>
      </c>
      <c r="BE485" s="37">
        <v>0</v>
      </c>
      <c r="BF485" s="37">
        <v>0</v>
      </c>
      <c r="BG485" s="37">
        <v>0</v>
      </c>
      <c r="BH485" s="37">
        <v>0</v>
      </c>
      <c r="BI485" s="37">
        <v>0</v>
      </c>
      <c r="BJ485" s="37">
        <v>0</v>
      </c>
      <c r="BK485" s="59">
        <v>0</v>
      </c>
      <c r="BL485" s="37">
        <v>0</v>
      </c>
      <c r="BM485" s="37">
        <v>0</v>
      </c>
      <c r="BN485" s="37">
        <v>0</v>
      </c>
      <c r="BO485" s="37">
        <v>0</v>
      </c>
      <c r="BP485" s="37">
        <v>0</v>
      </c>
      <c r="BQ485" s="37">
        <v>0</v>
      </c>
      <c r="BR485" s="37">
        <v>0</v>
      </c>
      <c r="BS485" s="37">
        <v>0</v>
      </c>
      <c r="BT485" s="37">
        <v>0</v>
      </c>
      <c r="BU485" s="37">
        <v>0</v>
      </c>
      <c r="BV485" s="37">
        <v>0</v>
      </c>
      <c r="BW485" s="59">
        <v>0</v>
      </c>
      <c r="BX485" s="59">
        <v>0</v>
      </c>
      <c r="BZ485" s="37">
        <v>4000</v>
      </c>
      <c r="CA485" s="37">
        <v>2000</v>
      </c>
      <c r="CB485" s="37">
        <v>800</v>
      </c>
      <c r="CC485" s="37">
        <v>400</v>
      </c>
      <c r="CD485" s="37">
        <v>200</v>
      </c>
      <c r="CE485" s="37">
        <v>80</v>
      </c>
      <c r="CF485" s="37">
        <v>0</v>
      </c>
      <c r="CG485" s="59">
        <v>7480</v>
      </c>
      <c r="CH485" s="37">
        <v>0</v>
      </c>
      <c r="CI485" s="37">
        <v>0</v>
      </c>
      <c r="CJ485" s="37">
        <v>0</v>
      </c>
      <c r="CK485" s="37">
        <v>0</v>
      </c>
      <c r="CL485" s="37">
        <v>0</v>
      </c>
      <c r="CM485" s="37">
        <v>0</v>
      </c>
      <c r="CN485" s="59">
        <v>0</v>
      </c>
      <c r="CO485" s="59">
        <v>7480</v>
      </c>
      <c r="CP485" s="58"/>
      <c r="CQ485" s="3">
        <v>7480</v>
      </c>
    </row>
    <row r="486" spans="1:95" customFormat="1" x14ac:dyDescent="0.2">
      <c r="A486" s="209">
        <v>43402</v>
      </c>
      <c r="B486" s="33" t="s">
        <v>62</v>
      </c>
      <c r="C486" s="33" t="s">
        <v>63</v>
      </c>
      <c r="D486" s="43">
        <v>0</v>
      </c>
      <c r="E486" s="43">
        <v>0</v>
      </c>
      <c r="F486" s="43">
        <v>0</v>
      </c>
      <c r="G486" s="43">
        <v>0</v>
      </c>
      <c r="H486" s="43">
        <v>0</v>
      </c>
      <c r="I486" s="43">
        <v>1</v>
      </c>
      <c r="J486" s="43">
        <v>0</v>
      </c>
      <c r="K486" s="43">
        <v>0</v>
      </c>
      <c r="L486" s="43">
        <v>0</v>
      </c>
      <c r="M486" s="43">
        <v>0</v>
      </c>
      <c r="N486" s="43">
        <v>0</v>
      </c>
      <c r="O486" s="43">
        <v>0</v>
      </c>
      <c r="P486" s="47" t="s">
        <v>45</v>
      </c>
      <c r="R486" s="37">
        <v>0</v>
      </c>
      <c r="S486" s="37">
        <v>0</v>
      </c>
      <c r="T486" s="37">
        <v>1400000</v>
      </c>
      <c r="U486" s="37">
        <v>0</v>
      </c>
      <c r="V486" s="37">
        <v>350000</v>
      </c>
      <c r="W486" s="37">
        <v>0</v>
      </c>
      <c r="X486" s="37">
        <v>80000</v>
      </c>
      <c r="Y486" s="37">
        <v>0</v>
      </c>
      <c r="Z486" s="37">
        <v>40000</v>
      </c>
      <c r="AA486" s="37">
        <v>0</v>
      </c>
      <c r="AB486" s="37">
        <v>35000</v>
      </c>
      <c r="AC486" s="37">
        <v>0</v>
      </c>
      <c r="AD486" s="37">
        <v>0</v>
      </c>
      <c r="AE486" s="37">
        <v>0</v>
      </c>
      <c r="AF486" s="37">
        <v>0</v>
      </c>
      <c r="AG486" s="59">
        <v>1905000</v>
      </c>
      <c r="AH486" s="37">
        <v>2000</v>
      </c>
      <c r="AI486" s="37">
        <v>0</v>
      </c>
      <c r="AJ486" s="37">
        <v>875</v>
      </c>
      <c r="AK486" s="37">
        <v>0</v>
      </c>
      <c r="AL486" s="37">
        <v>0</v>
      </c>
      <c r="AM486" s="37">
        <v>0</v>
      </c>
      <c r="AN486" s="37">
        <v>0</v>
      </c>
      <c r="AO486" s="37">
        <v>0</v>
      </c>
      <c r="AP486" s="37">
        <v>200</v>
      </c>
      <c r="AQ486" s="37">
        <v>0</v>
      </c>
      <c r="AR486" s="37">
        <v>0</v>
      </c>
      <c r="AS486" s="59">
        <v>3075</v>
      </c>
      <c r="AT486" s="59">
        <v>1908075</v>
      </c>
      <c r="AU486" s="45"/>
      <c r="AV486" s="37">
        <v>0</v>
      </c>
      <c r="AW486" s="37">
        <v>0</v>
      </c>
      <c r="AX486" s="37">
        <v>0</v>
      </c>
      <c r="AY486" s="37">
        <v>0</v>
      </c>
      <c r="AZ486" s="37">
        <v>0</v>
      </c>
      <c r="BA486" s="37">
        <v>0</v>
      </c>
      <c r="BB486" s="37">
        <v>0</v>
      </c>
      <c r="BC486" s="37">
        <v>0</v>
      </c>
      <c r="BD486" s="37">
        <v>0</v>
      </c>
      <c r="BE486" s="37">
        <v>0</v>
      </c>
      <c r="BF486" s="37">
        <v>0</v>
      </c>
      <c r="BG486" s="37">
        <v>0</v>
      </c>
      <c r="BH486" s="37">
        <v>0</v>
      </c>
      <c r="BI486" s="37">
        <v>0</v>
      </c>
      <c r="BJ486" s="37">
        <v>0</v>
      </c>
      <c r="BK486" s="59">
        <v>0</v>
      </c>
      <c r="BL486" s="37">
        <v>0</v>
      </c>
      <c r="BM486" s="37">
        <v>0</v>
      </c>
      <c r="BN486" s="37">
        <v>0</v>
      </c>
      <c r="BO486" s="37">
        <v>0</v>
      </c>
      <c r="BP486" s="37">
        <v>0</v>
      </c>
      <c r="BQ486" s="37">
        <v>0</v>
      </c>
      <c r="BR486" s="37">
        <v>0</v>
      </c>
      <c r="BS486" s="37">
        <v>0</v>
      </c>
      <c r="BT486" s="37">
        <v>0</v>
      </c>
      <c r="BU486" s="37">
        <v>0</v>
      </c>
      <c r="BV486" s="37">
        <v>0</v>
      </c>
      <c r="BW486" s="59">
        <v>0</v>
      </c>
      <c r="BX486" s="59">
        <v>0</v>
      </c>
      <c r="BZ486" s="37">
        <v>1400000</v>
      </c>
      <c r="CA486" s="37">
        <v>350000</v>
      </c>
      <c r="CB486" s="37">
        <v>80000</v>
      </c>
      <c r="CC486" s="37">
        <v>40000</v>
      </c>
      <c r="CD486" s="37">
        <v>35000</v>
      </c>
      <c r="CE486" s="37">
        <v>0</v>
      </c>
      <c r="CF486" s="37">
        <v>0</v>
      </c>
      <c r="CG486" s="59">
        <v>1905000</v>
      </c>
      <c r="CH486" s="37">
        <v>2000</v>
      </c>
      <c r="CI486" s="37">
        <v>875</v>
      </c>
      <c r="CJ486" s="37">
        <v>0</v>
      </c>
      <c r="CK486" s="37">
        <v>200</v>
      </c>
      <c r="CL486" s="37">
        <v>0</v>
      </c>
      <c r="CM486" s="37">
        <v>0</v>
      </c>
      <c r="CN486" s="59">
        <v>3075</v>
      </c>
      <c r="CO486" s="59">
        <v>1908075</v>
      </c>
      <c r="CP486" s="58"/>
      <c r="CQ486" s="3">
        <v>1908075</v>
      </c>
    </row>
    <row r="487" spans="1:95" customFormat="1" x14ac:dyDescent="0.2">
      <c r="A487" s="209">
        <v>43402</v>
      </c>
      <c r="B487" s="33" t="s">
        <v>70</v>
      </c>
      <c r="C487" s="33" t="s">
        <v>63</v>
      </c>
      <c r="D487" s="43">
        <v>0</v>
      </c>
      <c r="E487" s="43">
        <v>0</v>
      </c>
      <c r="F487" s="43">
        <v>0</v>
      </c>
      <c r="G487" s="43">
        <v>0</v>
      </c>
      <c r="H487" s="43">
        <v>0</v>
      </c>
      <c r="I487" s="43">
        <v>1</v>
      </c>
      <c r="J487" s="43">
        <v>0</v>
      </c>
      <c r="K487" s="43">
        <v>0</v>
      </c>
      <c r="L487" s="43">
        <v>0</v>
      </c>
      <c r="M487" s="43">
        <v>0</v>
      </c>
      <c r="N487" s="43">
        <v>0</v>
      </c>
      <c r="O487" s="43">
        <v>0</v>
      </c>
      <c r="P487" s="47" t="s">
        <v>45</v>
      </c>
      <c r="R487" s="37">
        <v>0</v>
      </c>
      <c r="S487" s="37">
        <v>0</v>
      </c>
      <c r="T487" s="37">
        <v>2500000</v>
      </c>
      <c r="U487" s="37">
        <v>100000</v>
      </c>
      <c r="V487" s="37">
        <v>400000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v>0</v>
      </c>
      <c r="AD487" s="37">
        <v>0</v>
      </c>
      <c r="AE487" s="37">
        <v>0</v>
      </c>
      <c r="AF487" s="37">
        <v>0</v>
      </c>
      <c r="AG487" s="59">
        <v>3000000</v>
      </c>
      <c r="AH487" s="37">
        <v>2500</v>
      </c>
      <c r="AI487" s="37">
        <v>0</v>
      </c>
      <c r="AJ487" s="37">
        <v>1625</v>
      </c>
      <c r="AK487" s="37">
        <v>0</v>
      </c>
      <c r="AL487" s="37">
        <v>0</v>
      </c>
      <c r="AM487" s="37">
        <v>0</v>
      </c>
      <c r="AN487" s="37">
        <v>400</v>
      </c>
      <c r="AO487" s="37">
        <v>0</v>
      </c>
      <c r="AP487" s="37">
        <v>200</v>
      </c>
      <c r="AQ487" s="37">
        <v>0</v>
      </c>
      <c r="AR487" s="37">
        <v>0</v>
      </c>
      <c r="AS487" s="59">
        <v>4725</v>
      </c>
      <c r="AT487" s="59">
        <v>3004725</v>
      </c>
      <c r="AU487" s="45"/>
      <c r="AV487" s="37">
        <v>0</v>
      </c>
      <c r="AW487" s="37">
        <v>0</v>
      </c>
      <c r="AX487" s="37">
        <v>0</v>
      </c>
      <c r="AY487" s="37">
        <v>0</v>
      </c>
      <c r="AZ487" s="37">
        <v>0</v>
      </c>
      <c r="BA487" s="37">
        <v>0</v>
      </c>
      <c r="BB487" s="37">
        <v>0</v>
      </c>
      <c r="BC487" s="37">
        <v>0</v>
      </c>
      <c r="BD487" s="37">
        <v>0</v>
      </c>
      <c r="BE487" s="37">
        <v>0</v>
      </c>
      <c r="BF487" s="37">
        <v>0</v>
      </c>
      <c r="BG487" s="37">
        <v>0</v>
      </c>
      <c r="BH487" s="37">
        <v>0</v>
      </c>
      <c r="BI487" s="37">
        <v>0</v>
      </c>
      <c r="BJ487" s="37">
        <v>0</v>
      </c>
      <c r="BK487" s="59">
        <v>0</v>
      </c>
      <c r="BL487" s="37">
        <v>0</v>
      </c>
      <c r="BM487" s="37">
        <v>0</v>
      </c>
      <c r="BN487" s="37">
        <v>0</v>
      </c>
      <c r="BO487" s="37">
        <v>0</v>
      </c>
      <c r="BP487" s="37">
        <v>0</v>
      </c>
      <c r="BQ487" s="37">
        <v>0</v>
      </c>
      <c r="BR487" s="37">
        <v>0</v>
      </c>
      <c r="BS487" s="37">
        <v>0</v>
      </c>
      <c r="BT487" s="37">
        <v>0</v>
      </c>
      <c r="BU487" s="37">
        <v>0</v>
      </c>
      <c r="BV487" s="37">
        <v>0</v>
      </c>
      <c r="BW487" s="59">
        <v>0</v>
      </c>
      <c r="BX487" s="59">
        <v>0</v>
      </c>
      <c r="BZ487" s="37">
        <v>2500000</v>
      </c>
      <c r="CA487" s="37">
        <v>500000</v>
      </c>
      <c r="CB487" s="37">
        <v>0</v>
      </c>
      <c r="CC487" s="37">
        <v>0</v>
      </c>
      <c r="CD487" s="37">
        <v>0</v>
      </c>
      <c r="CE487" s="37">
        <v>0</v>
      </c>
      <c r="CF487" s="37">
        <v>0</v>
      </c>
      <c r="CG487" s="59">
        <v>3000000</v>
      </c>
      <c r="CH487" s="37">
        <v>2500</v>
      </c>
      <c r="CI487" s="37">
        <v>1625</v>
      </c>
      <c r="CJ487" s="37">
        <v>400</v>
      </c>
      <c r="CK487" s="37">
        <v>200</v>
      </c>
      <c r="CL487" s="37">
        <v>0</v>
      </c>
      <c r="CM487" s="37">
        <v>0</v>
      </c>
      <c r="CN487" s="59">
        <v>4725</v>
      </c>
      <c r="CO487" s="59">
        <v>3004725</v>
      </c>
      <c r="CP487" s="58"/>
      <c r="CQ487" s="3">
        <v>3004725</v>
      </c>
    </row>
    <row r="488" spans="1:95" customFormat="1" x14ac:dyDescent="0.2">
      <c r="A488" s="209">
        <v>43403</v>
      </c>
      <c r="B488" s="33" t="s">
        <v>55</v>
      </c>
      <c r="C488" s="33" t="s">
        <v>56</v>
      </c>
      <c r="D488" s="43">
        <v>0</v>
      </c>
      <c r="E488" s="43">
        <v>0</v>
      </c>
      <c r="F488" s="43">
        <v>0</v>
      </c>
      <c r="G488" s="43">
        <v>0</v>
      </c>
      <c r="H488" s="43">
        <v>0</v>
      </c>
      <c r="I488" s="43">
        <v>0</v>
      </c>
      <c r="J488" s="43">
        <v>0</v>
      </c>
      <c r="K488" s="43">
        <v>0</v>
      </c>
      <c r="L488" s="43">
        <v>0</v>
      </c>
      <c r="M488" s="43">
        <v>0</v>
      </c>
      <c r="N488" s="43">
        <v>0</v>
      </c>
      <c r="O488" s="43">
        <v>0</v>
      </c>
      <c r="P488" s="47">
        <v>0</v>
      </c>
      <c r="R488" s="37">
        <v>0</v>
      </c>
      <c r="S488" s="37">
        <v>0</v>
      </c>
      <c r="T488" s="37">
        <v>4000</v>
      </c>
      <c r="U488" s="37">
        <v>0</v>
      </c>
      <c r="V488" s="37">
        <v>2000</v>
      </c>
      <c r="W488" s="37">
        <v>0</v>
      </c>
      <c r="X488" s="37">
        <v>800</v>
      </c>
      <c r="Y488" s="37">
        <v>0</v>
      </c>
      <c r="Z488" s="37">
        <v>400</v>
      </c>
      <c r="AA488" s="37">
        <v>0</v>
      </c>
      <c r="AB488" s="37">
        <v>200</v>
      </c>
      <c r="AC488" s="37">
        <v>0</v>
      </c>
      <c r="AD488" s="37">
        <v>80</v>
      </c>
      <c r="AE488" s="37">
        <v>0</v>
      </c>
      <c r="AF488" s="37">
        <v>0</v>
      </c>
      <c r="AG488" s="59">
        <v>7480</v>
      </c>
      <c r="AH488" s="37">
        <v>0</v>
      </c>
      <c r="AI488" s="37">
        <v>0</v>
      </c>
      <c r="AJ488" s="37">
        <v>0</v>
      </c>
      <c r="AK488" s="37">
        <v>0</v>
      </c>
      <c r="AL488" s="37">
        <v>5</v>
      </c>
      <c r="AM488" s="37">
        <v>0</v>
      </c>
      <c r="AN488" s="37">
        <v>4</v>
      </c>
      <c r="AO488" s="37">
        <v>0</v>
      </c>
      <c r="AP488" s="37">
        <v>2</v>
      </c>
      <c r="AQ488" s="37">
        <v>0</v>
      </c>
      <c r="AR488" s="37">
        <v>0</v>
      </c>
      <c r="AS488" s="59">
        <v>11</v>
      </c>
      <c r="AT488" s="59">
        <v>7491</v>
      </c>
      <c r="AU488" s="45"/>
      <c r="AV488" s="37">
        <v>0</v>
      </c>
      <c r="AW488" s="37">
        <v>0</v>
      </c>
      <c r="AX488" s="37">
        <v>0</v>
      </c>
      <c r="AY488" s="37">
        <v>0</v>
      </c>
      <c r="AZ488" s="37">
        <v>0</v>
      </c>
      <c r="BA488" s="37">
        <v>0</v>
      </c>
      <c r="BB488" s="37">
        <v>0</v>
      </c>
      <c r="BC488" s="37">
        <v>0</v>
      </c>
      <c r="BD488" s="37">
        <v>0</v>
      </c>
      <c r="BE488" s="37">
        <v>0</v>
      </c>
      <c r="BF488" s="37">
        <v>0</v>
      </c>
      <c r="BG488" s="37">
        <v>0</v>
      </c>
      <c r="BH488" s="37">
        <v>0</v>
      </c>
      <c r="BI488" s="37">
        <v>0</v>
      </c>
      <c r="BJ488" s="37">
        <v>0</v>
      </c>
      <c r="BK488" s="59">
        <v>0</v>
      </c>
      <c r="BL488" s="37">
        <v>0</v>
      </c>
      <c r="BM488" s="37">
        <v>0</v>
      </c>
      <c r="BN488" s="37">
        <v>0</v>
      </c>
      <c r="BO488" s="37">
        <v>0</v>
      </c>
      <c r="BP488" s="37">
        <v>0</v>
      </c>
      <c r="BQ488" s="37">
        <v>0</v>
      </c>
      <c r="BR488" s="37">
        <v>0</v>
      </c>
      <c r="BS488" s="37">
        <v>0</v>
      </c>
      <c r="BT488" s="37">
        <v>0</v>
      </c>
      <c r="BU488" s="37">
        <v>0</v>
      </c>
      <c r="BV488" s="37">
        <v>0</v>
      </c>
      <c r="BW488" s="59">
        <v>0</v>
      </c>
      <c r="BX488" s="59">
        <v>0</v>
      </c>
      <c r="BZ488" s="37">
        <v>4000</v>
      </c>
      <c r="CA488" s="37">
        <v>2000</v>
      </c>
      <c r="CB488" s="37">
        <v>800</v>
      </c>
      <c r="CC488" s="37">
        <v>400</v>
      </c>
      <c r="CD488" s="37">
        <v>200</v>
      </c>
      <c r="CE488" s="37">
        <v>80</v>
      </c>
      <c r="CF488" s="37">
        <v>0</v>
      </c>
      <c r="CG488" s="59">
        <v>7480</v>
      </c>
      <c r="CH488" s="37">
        <v>0</v>
      </c>
      <c r="CI488" s="37">
        <v>5</v>
      </c>
      <c r="CJ488" s="37">
        <v>4</v>
      </c>
      <c r="CK488" s="37">
        <v>2</v>
      </c>
      <c r="CL488" s="37">
        <v>0</v>
      </c>
      <c r="CM488" s="37">
        <v>0</v>
      </c>
      <c r="CN488" s="59">
        <v>11</v>
      </c>
      <c r="CO488" s="59">
        <v>7491</v>
      </c>
      <c r="CP488" s="58"/>
      <c r="CQ488" s="3">
        <v>7491</v>
      </c>
    </row>
    <row r="489" spans="1:95" customFormat="1" x14ac:dyDescent="0.2">
      <c r="A489" s="209">
        <v>43403</v>
      </c>
      <c r="B489" s="33" t="s">
        <v>83</v>
      </c>
      <c r="C489" s="33" t="s">
        <v>76</v>
      </c>
      <c r="D489" s="43">
        <v>0</v>
      </c>
      <c r="E489" s="43">
        <v>1</v>
      </c>
      <c r="F489" s="43">
        <v>0</v>
      </c>
      <c r="G489" s="43">
        <v>0</v>
      </c>
      <c r="H489" s="43">
        <v>0</v>
      </c>
      <c r="I489" s="43">
        <v>0</v>
      </c>
      <c r="J489" s="43">
        <v>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  <c r="P489" s="47" t="s">
        <v>45</v>
      </c>
      <c r="R489" s="37">
        <v>0</v>
      </c>
      <c r="S489" s="37">
        <v>0</v>
      </c>
      <c r="T489" s="37">
        <v>1600000</v>
      </c>
      <c r="U489" s="37">
        <v>0</v>
      </c>
      <c r="V489" s="37">
        <v>200000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v>0</v>
      </c>
      <c r="AD489" s="37">
        <v>0</v>
      </c>
      <c r="AE489" s="37">
        <v>0</v>
      </c>
      <c r="AF489" s="37">
        <v>0</v>
      </c>
      <c r="AG489" s="59">
        <v>1800000</v>
      </c>
      <c r="AH489" s="37">
        <v>0</v>
      </c>
      <c r="AI489" s="37">
        <v>0</v>
      </c>
      <c r="AJ489" s="37">
        <v>0</v>
      </c>
      <c r="AK489" s="37">
        <v>0</v>
      </c>
      <c r="AL489" s="37">
        <v>0</v>
      </c>
      <c r="AM489" s="37">
        <v>0</v>
      </c>
      <c r="AN489" s="37">
        <v>0</v>
      </c>
      <c r="AO489" s="37">
        <v>0</v>
      </c>
      <c r="AP489" s="37">
        <v>0</v>
      </c>
      <c r="AQ489" s="37">
        <v>0</v>
      </c>
      <c r="AR489" s="37">
        <v>0</v>
      </c>
      <c r="AS489" s="59">
        <v>0</v>
      </c>
      <c r="AT489" s="59">
        <v>1800000</v>
      </c>
      <c r="AU489" s="45"/>
      <c r="AV489" s="37">
        <v>0</v>
      </c>
      <c r="AW489" s="37">
        <v>0</v>
      </c>
      <c r="AX489" s="37">
        <v>0</v>
      </c>
      <c r="AY489" s="37">
        <v>0</v>
      </c>
      <c r="AZ489" s="37">
        <v>0</v>
      </c>
      <c r="BA489" s="37">
        <v>0</v>
      </c>
      <c r="BB489" s="37">
        <v>0</v>
      </c>
      <c r="BC489" s="37">
        <v>0</v>
      </c>
      <c r="BD489" s="37">
        <v>0</v>
      </c>
      <c r="BE489" s="37">
        <v>0</v>
      </c>
      <c r="BF489" s="37">
        <v>0</v>
      </c>
      <c r="BG489" s="37">
        <v>0</v>
      </c>
      <c r="BH489" s="37">
        <v>0</v>
      </c>
      <c r="BI489" s="37">
        <v>0</v>
      </c>
      <c r="BJ489" s="37">
        <v>0</v>
      </c>
      <c r="BK489" s="59">
        <v>0</v>
      </c>
      <c r="BL489" s="37">
        <v>0</v>
      </c>
      <c r="BM489" s="37">
        <v>0</v>
      </c>
      <c r="BN489" s="37">
        <v>0</v>
      </c>
      <c r="BO489" s="37">
        <v>0</v>
      </c>
      <c r="BP489" s="37">
        <v>0</v>
      </c>
      <c r="BQ489" s="37">
        <v>0</v>
      </c>
      <c r="BR489" s="37">
        <v>0</v>
      </c>
      <c r="BS489" s="37">
        <v>0</v>
      </c>
      <c r="BT489" s="37">
        <v>0</v>
      </c>
      <c r="BU489" s="37">
        <v>0</v>
      </c>
      <c r="BV489" s="37">
        <v>0</v>
      </c>
      <c r="BW489" s="59">
        <v>0</v>
      </c>
      <c r="BX489" s="59">
        <v>0</v>
      </c>
      <c r="BZ489" s="37">
        <v>1600000</v>
      </c>
      <c r="CA489" s="37">
        <v>200000</v>
      </c>
      <c r="CB489" s="37">
        <v>0</v>
      </c>
      <c r="CC489" s="37">
        <v>0</v>
      </c>
      <c r="CD489" s="37">
        <v>0</v>
      </c>
      <c r="CE489" s="37">
        <v>0</v>
      </c>
      <c r="CF489" s="37">
        <v>0</v>
      </c>
      <c r="CG489" s="59">
        <v>1800000</v>
      </c>
      <c r="CH489" s="37">
        <v>0</v>
      </c>
      <c r="CI489" s="37">
        <v>0</v>
      </c>
      <c r="CJ489" s="37">
        <v>0</v>
      </c>
      <c r="CK489" s="37">
        <v>0</v>
      </c>
      <c r="CL489" s="37">
        <v>0</v>
      </c>
      <c r="CM489" s="37">
        <v>0</v>
      </c>
      <c r="CN489" s="59">
        <v>0</v>
      </c>
      <c r="CO489" s="59">
        <v>1800000</v>
      </c>
      <c r="CP489" s="58"/>
      <c r="CQ489" s="3">
        <v>1800000</v>
      </c>
    </row>
    <row r="490" spans="1:95" customFormat="1" x14ac:dyDescent="0.2">
      <c r="A490" s="209">
        <v>43403</v>
      </c>
      <c r="B490" s="33" t="s">
        <v>72</v>
      </c>
      <c r="C490" s="33" t="s">
        <v>131</v>
      </c>
      <c r="D490" s="43">
        <v>0</v>
      </c>
      <c r="E490" s="43">
        <v>0</v>
      </c>
      <c r="F490" s="43">
        <v>0</v>
      </c>
      <c r="G490" s="43">
        <v>0</v>
      </c>
      <c r="H490" s="43">
        <v>0</v>
      </c>
      <c r="I490" s="43">
        <v>0</v>
      </c>
      <c r="J490" s="43">
        <v>0</v>
      </c>
      <c r="K490" s="43">
        <v>1</v>
      </c>
      <c r="L490" s="43">
        <v>0</v>
      </c>
      <c r="M490" s="43">
        <v>0</v>
      </c>
      <c r="N490" s="43">
        <v>0</v>
      </c>
      <c r="O490" s="43">
        <v>0</v>
      </c>
      <c r="P490" s="47" t="s">
        <v>45</v>
      </c>
      <c r="R490" s="37">
        <v>0</v>
      </c>
      <c r="S490" s="37">
        <v>0</v>
      </c>
      <c r="T490" s="37">
        <v>2000000</v>
      </c>
      <c r="U490" s="37">
        <v>0</v>
      </c>
      <c r="V490" s="37">
        <v>0</v>
      </c>
      <c r="W490" s="37">
        <v>0</v>
      </c>
      <c r="X490" s="37">
        <v>0</v>
      </c>
      <c r="Y490" s="37">
        <v>0</v>
      </c>
      <c r="Z490" s="37">
        <v>100000</v>
      </c>
      <c r="AA490" s="37">
        <v>0</v>
      </c>
      <c r="AB490" s="37">
        <v>0</v>
      </c>
      <c r="AC490" s="37">
        <v>0</v>
      </c>
      <c r="AD490" s="37">
        <v>0</v>
      </c>
      <c r="AE490" s="37">
        <v>0</v>
      </c>
      <c r="AF490" s="37">
        <v>0</v>
      </c>
      <c r="AG490" s="59">
        <v>2100000</v>
      </c>
      <c r="AH490" s="37">
        <v>4000</v>
      </c>
      <c r="AI490" s="37">
        <v>0</v>
      </c>
      <c r="AJ490" s="37">
        <v>1250</v>
      </c>
      <c r="AK490" s="37">
        <v>0</v>
      </c>
      <c r="AL490" s="37">
        <v>0</v>
      </c>
      <c r="AM490" s="37">
        <v>0</v>
      </c>
      <c r="AN490" s="37">
        <v>500</v>
      </c>
      <c r="AO490" s="37">
        <v>0</v>
      </c>
      <c r="AP490" s="37">
        <v>250</v>
      </c>
      <c r="AQ490" s="37">
        <v>0</v>
      </c>
      <c r="AR490" s="37">
        <v>0</v>
      </c>
      <c r="AS490" s="59">
        <v>6000</v>
      </c>
      <c r="AT490" s="59">
        <v>2106000</v>
      </c>
      <c r="AU490" s="45"/>
      <c r="AV490" s="37">
        <v>0</v>
      </c>
      <c r="AW490" s="37">
        <v>0</v>
      </c>
      <c r="AX490" s="37">
        <v>0</v>
      </c>
      <c r="AY490" s="37">
        <v>0</v>
      </c>
      <c r="AZ490" s="37">
        <v>0</v>
      </c>
      <c r="BA490" s="37">
        <v>0</v>
      </c>
      <c r="BB490" s="37">
        <v>0</v>
      </c>
      <c r="BC490" s="37">
        <v>0</v>
      </c>
      <c r="BD490" s="37">
        <v>0</v>
      </c>
      <c r="BE490" s="37">
        <v>0</v>
      </c>
      <c r="BF490" s="37">
        <v>0</v>
      </c>
      <c r="BG490" s="37">
        <v>0</v>
      </c>
      <c r="BH490" s="37">
        <v>0</v>
      </c>
      <c r="BI490" s="37">
        <v>0</v>
      </c>
      <c r="BJ490" s="37">
        <v>0</v>
      </c>
      <c r="BK490" s="59">
        <v>0</v>
      </c>
      <c r="BL490" s="37">
        <v>0</v>
      </c>
      <c r="BM490" s="37">
        <v>0</v>
      </c>
      <c r="BN490" s="37">
        <v>0</v>
      </c>
      <c r="BO490" s="37">
        <v>0</v>
      </c>
      <c r="BP490" s="37">
        <v>0</v>
      </c>
      <c r="BQ490" s="37">
        <v>0</v>
      </c>
      <c r="BR490" s="37">
        <v>0</v>
      </c>
      <c r="BS490" s="37">
        <v>0</v>
      </c>
      <c r="BT490" s="37">
        <v>0</v>
      </c>
      <c r="BU490" s="37">
        <v>0</v>
      </c>
      <c r="BV490" s="37">
        <v>0</v>
      </c>
      <c r="BW490" s="59">
        <v>0</v>
      </c>
      <c r="BX490" s="59">
        <v>0</v>
      </c>
      <c r="BZ490" s="37">
        <v>2000000</v>
      </c>
      <c r="CA490" s="37">
        <v>0</v>
      </c>
      <c r="CB490" s="37">
        <v>0</v>
      </c>
      <c r="CC490" s="37">
        <v>100000</v>
      </c>
      <c r="CD490" s="37">
        <v>0</v>
      </c>
      <c r="CE490" s="37">
        <v>0</v>
      </c>
      <c r="CF490" s="37">
        <v>0</v>
      </c>
      <c r="CG490" s="59">
        <v>2100000</v>
      </c>
      <c r="CH490" s="37">
        <v>4000</v>
      </c>
      <c r="CI490" s="37">
        <v>1250</v>
      </c>
      <c r="CJ490" s="37">
        <v>500</v>
      </c>
      <c r="CK490" s="37">
        <v>250</v>
      </c>
      <c r="CL490" s="37">
        <v>0</v>
      </c>
      <c r="CM490" s="37">
        <v>0</v>
      </c>
      <c r="CN490" s="59">
        <v>6000</v>
      </c>
      <c r="CO490" s="59">
        <v>2106000</v>
      </c>
      <c r="CP490" s="58"/>
      <c r="CQ490" s="3">
        <v>2106000</v>
      </c>
    </row>
    <row r="491" spans="1:95" customFormat="1" x14ac:dyDescent="0.2">
      <c r="A491" s="209">
        <v>43403</v>
      </c>
      <c r="B491" s="33" t="s">
        <v>53</v>
      </c>
      <c r="C491" s="33" t="s">
        <v>54</v>
      </c>
      <c r="D491" s="43">
        <v>1</v>
      </c>
      <c r="E491" s="43">
        <v>0</v>
      </c>
      <c r="F491" s="43">
        <v>0</v>
      </c>
      <c r="G491" s="43">
        <v>0</v>
      </c>
      <c r="H491" s="43">
        <v>0</v>
      </c>
      <c r="I491" s="43">
        <v>0</v>
      </c>
      <c r="J491" s="43">
        <v>0</v>
      </c>
      <c r="K491" s="43">
        <v>0</v>
      </c>
      <c r="L491" s="43">
        <v>0</v>
      </c>
      <c r="M491" s="43">
        <v>0</v>
      </c>
      <c r="N491" s="43">
        <v>0</v>
      </c>
      <c r="O491" s="43">
        <v>0</v>
      </c>
      <c r="P491" s="47" t="s">
        <v>45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7">
        <v>0</v>
      </c>
      <c r="Z491" s="37">
        <v>0</v>
      </c>
      <c r="AA491" s="37">
        <v>0</v>
      </c>
      <c r="AB491" s="37">
        <v>0</v>
      </c>
      <c r="AC491" s="37">
        <v>0</v>
      </c>
      <c r="AD491" s="37">
        <v>0</v>
      </c>
      <c r="AE491" s="37">
        <v>0</v>
      </c>
      <c r="AF491" s="37">
        <v>0</v>
      </c>
      <c r="AG491" s="59">
        <v>0</v>
      </c>
      <c r="AH491" s="37">
        <v>1250</v>
      </c>
      <c r="AI491" s="37">
        <v>0</v>
      </c>
      <c r="AJ491" s="37">
        <v>1250</v>
      </c>
      <c r="AK491" s="37">
        <v>0</v>
      </c>
      <c r="AL491" s="37">
        <v>0</v>
      </c>
      <c r="AM491" s="37">
        <v>0</v>
      </c>
      <c r="AN491" s="37">
        <v>0</v>
      </c>
      <c r="AO491" s="37">
        <v>0</v>
      </c>
      <c r="AP491" s="37">
        <v>100</v>
      </c>
      <c r="AQ491" s="37">
        <v>0</v>
      </c>
      <c r="AR491" s="37">
        <v>0</v>
      </c>
      <c r="AS491" s="59">
        <v>2600</v>
      </c>
      <c r="AT491" s="59">
        <v>2600</v>
      </c>
      <c r="AU491" s="45"/>
      <c r="AV491" s="37">
        <v>0</v>
      </c>
      <c r="AW491" s="37">
        <v>0</v>
      </c>
      <c r="AX491" s="37">
        <v>0</v>
      </c>
      <c r="AY491" s="37">
        <v>0</v>
      </c>
      <c r="AZ491" s="37">
        <v>0</v>
      </c>
      <c r="BA491" s="37">
        <v>0</v>
      </c>
      <c r="BB491" s="37">
        <v>0</v>
      </c>
      <c r="BC491" s="37">
        <v>0</v>
      </c>
      <c r="BD491" s="37">
        <v>0</v>
      </c>
      <c r="BE491" s="37">
        <v>0</v>
      </c>
      <c r="BF491" s="37">
        <v>0</v>
      </c>
      <c r="BG491" s="37">
        <v>0</v>
      </c>
      <c r="BH491" s="37">
        <v>0</v>
      </c>
      <c r="BI491" s="37">
        <v>0</v>
      </c>
      <c r="BJ491" s="37">
        <v>0</v>
      </c>
      <c r="BK491" s="59">
        <v>0</v>
      </c>
      <c r="BL491" s="37">
        <v>0</v>
      </c>
      <c r="BM491" s="37">
        <v>0</v>
      </c>
      <c r="BN491" s="37">
        <v>0</v>
      </c>
      <c r="BO491" s="37">
        <v>0</v>
      </c>
      <c r="BP491" s="37">
        <v>0</v>
      </c>
      <c r="BQ491" s="37">
        <v>0</v>
      </c>
      <c r="BR491" s="37">
        <v>0</v>
      </c>
      <c r="BS491" s="37">
        <v>0</v>
      </c>
      <c r="BT491" s="37">
        <v>0</v>
      </c>
      <c r="BU491" s="37">
        <v>0</v>
      </c>
      <c r="BV491" s="37">
        <v>0</v>
      </c>
      <c r="BW491" s="59">
        <v>0</v>
      </c>
      <c r="BX491" s="59">
        <v>0</v>
      </c>
      <c r="BZ491" s="37">
        <v>0</v>
      </c>
      <c r="CA491" s="37">
        <v>0</v>
      </c>
      <c r="CB491" s="37">
        <v>0</v>
      </c>
      <c r="CC491" s="37">
        <v>0</v>
      </c>
      <c r="CD491" s="37">
        <v>0</v>
      </c>
      <c r="CE491" s="37">
        <v>0</v>
      </c>
      <c r="CF491" s="37">
        <v>0</v>
      </c>
      <c r="CG491" s="59">
        <v>0</v>
      </c>
      <c r="CH491" s="37">
        <v>1250</v>
      </c>
      <c r="CI491" s="37">
        <v>1250</v>
      </c>
      <c r="CJ491" s="37">
        <v>0</v>
      </c>
      <c r="CK491" s="37">
        <v>100</v>
      </c>
      <c r="CL491" s="37">
        <v>0</v>
      </c>
      <c r="CM491" s="37">
        <v>0</v>
      </c>
      <c r="CN491" s="59">
        <v>2600</v>
      </c>
      <c r="CO491" s="59">
        <v>2600</v>
      </c>
      <c r="CP491" s="58"/>
      <c r="CQ491" s="3">
        <v>2600</v>
      </c>
    </row>
    <row r="492" spans="1:95" customFormat="1" x14ac:dyDescent="0.2">
      <c r="A492" s="209">
        <v>43404</v>
      </c>
      <c r="B492" s="33" t="s">
        <v>55</v>
      </c>
      <c r="C492" s="33" t="s">
        <v>56</v>
      </c>
      <c r="D492" s="43">
        <v>0</v>
      </c>
      <c r="E492" s="43">
        <v>0</v>
      </c>
      <c r="F492" s="43">
        <v>0</v>
      </c>
      <c r="G492" s="43">
        <v>0</v>
      </c>
      <c r="H492" s="43">
        <v>0</v>
      </c>
      <c r="I492" s="43">
        <v>0</v>
      </c>
      <c r="J492" s="43">
        <v>0</v>
      </c>
      <c r="K492" s="43">
        <v>0</v>
      </c>
      <c r="L492" s="43">
        <v>0</v>
      </c>
      <c r="M492" s="43">
        <v>0</v>
      </c>
      <c r="N492" s="43">
        <v>0</v>
      </c>
      <c r="O492" s="43">
        <v>0</v>
      </c>
      <c r="P492" s="47">
        <v>0</v>
      </c>
      <c r="R492" s="37">
        <v>0</v>
      </c>
      <c r="S492" s="37">
        <v>0</v>
      </c>
      <c r="T492" s="37">
        <v>4000</v>
      </c>
      <c r="U492" s="37">
        <v>0</v>
      </c>
      <c r="V492" s="37">
        <v>2000</v>
      </c>
      <c r="W492" s="37">
        <v>0</v>
      </c>
      <c r="X492" s="37">
        <v>800</v>
      </c>
      <c r="Y492" s="37">
        <v>0</v>
      </c>
      <c r="Z492" s="37">
        <v>400</v>
      </c>
      <c r="AA492" s="37">
        <v>0</v>
      </c>
      <c r="AB492" s="37">
        <v>200</v>
      </c>
      <c r="AC492" s="37">
        <v>0</v>
      </c>
      <c r="AD492" s="37">
        <v>80</v>
      </c>
      <c r="AE492" s="37">
        <v>0</v>
      </c>
      <c r="AF492" s="37">
        <v>0</v>
      </c>
      <c r="AG492" s="59">
        <v>7480</v>
      </c>
      <c r="AH492" s="37">
        <v>0</v>
      </c>
      <c r="AI492" s="37">
        <v>0</v>
      </c>
      <c r="AJ492" s="37">
        <v>0</v>
      </c>
      <c r="AK492" s="37">
        <v>0</v>
      </c>
      <c r="AL492" s="37">
        <v>0</v>
      </c>
      <c r="AM492" s="37">
        <v>0</v>
      </c>
      <c r="AN492" s="37">
        <v>0</v>
      </c>
      <c r="AO492" s="37">
        <v>0</v>
      </c>
      <c r="AP492" s="37">
        <v>0</v>
      </c>
      <c r="AQ492" s="37">
        <v>0</v>
      </c>
      <c r="AR492" s="37">
        <v>0</v>
      </c>
      <c r="AS492" s="59">
        <v>0</v>
      </c>
      <c r="AT492" s="59">
        <v>7480</v>
      </c>
      <c r="AU492" s="45"/>
      <c r="AV492" s="37">
        <v>0</v>
      </c>
      <c r="AW492" s="37">
        <v>0</v>
      </c>
      <c r="AX492" s="37">
        <v>0</v>
      </c>
      <c r="AY492" s="37">
        <v>0</v>
      </c>
      <c r="AZ492" s="37">
        <v>0</v>
      </c>
      <c r="BA492" s="37">
        <v>0</v>
      </c>
      <c r="BB492" s="37">
        <v>0</v>
      </c>
      <c r="BC492" s="37">
        <v>0</v>
      </c>
      <c r="BD492" s="37">
        <v>0</v>
      </c>
      <c r="BE492" s="37">
        <v>0</v>
      </c>
      <c r="BF492" s="37">
        <v>0</v>
      </c>
      <c r="BG492" s="37">
        <v>0</v>
      </c>
      <c r="BH492" s="37">
        <v>0</v>
      </c>
      <c r="BI492" s="37">
        <v>0</v>
      </c>
      <c r="BJ492" s="37">
        <v>0</v>
      </c>
      <c r="BK492" s="59">
        <v>0</v>
      </c>
      <c r="BL492" s="37">
        <v>0</v>
      </c>
      <c r="BM492" s="37">
        <v>0</v>
      </c>
      <c r="BN492" s="37">
        <v>0</v>
      </c>
      <c r="BO492" s="37">
        <v>0</v>
      </c>
      <c r="BP492" s="37">
        <v>0</v>
      </c>
      <c r="BQ492" s="37">
        <v>0</v>
      </c>
      <c r="BR492" s="37">
        <v>0</v>
      </c>
      <c r="BS492" s="37">
        <v>0</v>
      </c>
      <c r="BT492" s="37">
        <v>0</v>
      </c>
      <c r="BU492" s="37">
        <v>0</v>
      </c>
      <c r="BV492" s="37">
        <v>0</v>
      </c>
      <c r="BW492" s="59">
        <v>0</v>
      </c>
      <c r="BX492" s="59">
        <v>0</v>
      </c>
      <c r="BZ492" s="37">
        <v>4000</v>
      </c>
      <c r="CA492" s="37">
        <v>2000</v>
      </c>
      <c r="CB492" s="37">
        <v>800</v>
      </c>
      <c r="CC492" s="37">
        <v>400</v>
      </c>
      <c r="CD492" s="37">
        <v>200</v>
      </c>
      <c r="CE492" s="37">
        <v>80</v>
      </c>
      <c r="CF492" s="37">
        <v>0</v>
      </c>
      <c r="CG492" s="59">
        <v>7480</v>
      </c>
      <c r="CH492" s="37">
        <v>0</v>
      </c>
      <c r="CI492" s="37">
        <v>0</v>
      </c>
      <c r="CJ492" s="37">
        <v>0</v>
      </c>
      <c r="CK492" s="37">
        <v>0</v>
      </c>
      <c r="CL492" s="37">
        <v>0</v>
      </c>
      <c r="CM492" s="37">
        <v>0</v>
      </c>
      <c r="CN492" s="59">
        <v>0</v>
      </c>
      <c r="CO492" s="59">
        <v>7480</v>
      </c>
      <c r="CP492" s="58"/>
      <c r="CQ492" s="3">
        <v>7480</v>
      </c>
    </row>
    <row r="493" spans="1:95" customFormat="1" x14ac:dyDescent="0.2">
      <c r="A493" s="209">
        <v>43404</v>
      </c>
      <c r="B493" s="33" t="s">
        <v>60</v>
      </c>
      <c r="C493" s="33" t="s">
        <v>61</v>
      </c>
      <c r="D493" s="43">
        <v>0</v>
      </c>
      <c r="E493" s="43">
        <v>0</v>
      </c>
      <c r="F493" s="43">
        <v>0</v>
      </c>
      <c r="G493" s="43">
        <v>0</v>
      </c>
      <c r="H493" s="43">
        <v>0</v>
      </c>
      <c r="I493" s="43">
        <v>0</v>
      </c>
      <c r="J493" s="43">
        <v>0</v>
      </c>
      <c r="K493" s="43">
        <v>0</v>
      </c>
      <c r="L493" s="43">
        <v>0</v>
      </c>
      <c r="M493" s="43">
        <v>0</v>
      </c>
      <c r="N493" s="43">
        <v>1</v>
      </c>
      <c r="O493" s="43">
        <v>0</v>
      </c>
      <c r="P493" s="47" t="s">
        <v>45</v>
      </c>
      <c r="R493" s="37">
        <v>0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40000</v>
      </c>
      <c r="AA493" s="37">
        <v>0</v>
      </c>
      <c r="AB493" s="37">
        <v>0</v>
      </c>
      <c r="AC493" s="37">
        <v>0</v>
      </c>
      <c r="AD493" s="37">
        <v>0</v>
      </c>
      <c r="AE493" s="37">
        <v>0</v>
      </c>
      <c r="AF493" s="37">
        <v>0</v>
      </c>
      <c r="AG493" s="59">
        <v>40000</v>
      </c>
      <c r="AH493" s="37">
        <v>0</v>
      </c>
      <c r="AI493" s="37">
        <v>0</v>
      </c>
      <c r="AJ493" s="37">
        <v>2000</v>
      </c>
      <c r="AK493" s="37">
        <v>0</v>
      </c>
      <c r="AL493" s="37">
        <v>0</v>
      </c>
      <c r="AM493" s="37">
        <v>0</v>
      </c>
      <c r="AN493" s="37">
        <v>1000</v>
      </c>
      <c r="AO493" s="37">
        <v>0</v>
      </c>
      <c r="AP493" s="37">
        <v>200</v>
      </c>
      <c r="AQ493" s="37">
        <v>0</v>
      </c>
      <c r="AR493" s="37">
        <v>0</v>
      </c>
      <c r="AS493" s="59">
        <v>3200</v>
      </c>
      <c r="AT493" s="59">
        <v>43200</v>
      </c>
      <c r="AU493" s="45"/>
      <c r="AV493" s="37">
        <v>0</v>
      </c>
      <c r="AW493" s="37">
        <v>0</v>
      </c>
      <c r="AX493" s="37">
        <v>0</v>
      </c>
      <c r="AY493" s="37">
        <v>0</v>
      </c>
      <c r="AZ493" s="37">
        <v>0</v>
      </c>
      <c r="BA493" s="37">
        <v>0</v>
      </c>
      <c r="BB493" s="37">
        <v>0</v>
      </c>
      <c r="BC493" s="37">
        <v>0</v>
      </c>
      <c r="BD493" s="37">
        <v>0</v>
      </c>
      <c r="BE493" s="37">
        <v>0</v>
      </c>
      <c r="BF493" s="37">
        <v>0</v>
      </c>
      <c r="BG493" s="37">
        <v>0</v>
      </c>
      <c r="BH493" s="37">
        <v>0</v>
      </c>
      <c r="BI493" s="37">
        <v>0</v>
      </c>
      <c r="BJ493" s="37">
        <v>0</v>
      </c>
      <c r="BK493" s="59">
        <v>0</v>
      </c>
      <c r="BL493" s="37">
        <v>0</v>
      </c>
      <c r="BM493" s="37">
        <v>0</v>
      </c>
      <c r="BN493" s="37">
        <v>0</v>
      </c>
      <c r="BO493" s="37">
        <v>0</v>
      </c>
      <c r="BP493" s="37">
        <v>0</v>
      </c>
      <c r="BQ493" s="37">
        <v>0</v>
      </c>
      <c r="BR493" s="37">
        <v>0</v>
      </c>
      <c r="BS493" s="37">
        <v>0</v>
      </c>
      <c r="BT493" s="37">
        <v>0</v>
      </c>
      <c r="BU493" s="37">
        <v>0</v>
      </c>
      <c r="BV493" s="37">
        <v>0</v>
      </c>
      <c r="BW493" s="59">
        <v>0</v>
      </c>
      <c r="BX493" s="59">
        <v>0</v>
      </c>
      <c r="BZ493" s="37">
        <v>0</v>
      </c>
      <c r="CA493" s="37">
        <v>0</v>
      </c>
      <c r="CB493" s="37">
        <v>0</v>
      </c>
      <c r="CC493" s="37">
        <v>40000</v>
      </c>
      <c r="CD493" s="37">
        <v>0</v>
      </c>
      <c r="CE493" s="37">
        <v>0</v>
      </c>
      <c r="CF493" s="37">
        <v>0</v>
      </c>
      <c r="CG493" s="59">
        <v>40000</v>
      </c>
      <c r="CH493" s="37">
        <v>0</v>
      </c>
      <c r="CI493" s="37">
        <v>2000</v>
      </c>
      <c r="CJ493" s="37">
        <v>1000</v>
      </c>
      <c r="CK493" s="37">
        <v>200</v>
      </c>
      <c r="CL493" s="37">
        <v>0</v>
      </c>
      <c r="CM493" s="37">
        <v>0</v>
      </c>
      <c r="CN493" s="59">
        <v>3200</v>
      </c>
      <c r="CO493" s="59">
        <v>43200</v>
      </c>
      <c r="CP493" s="58"/>
      <c r="CQ493" s="3">
        <v>43200</v>
      </c>
    </row>
    <row r="494" spans="1:95" customFormat="1" x14ac:dyDescent="0.2">
      <c r="A494" s="209">
        <v>43404</v>
      </c>
      <c r="B494" s="33" t="s">
        <v>53</v>
      </c>
      <c r="C494" s="33" t="s">
        <v>84</v>
      </c>
      <c r="D494" s="43">
        <v>0</v>
      </c>
      <c r="E494" s="43">
        <v>1</v>
      </c>
      <c r="F494" s="43">
        <v>0</v>
      </c>
      <c r="G494" s="43">
        <v>0</v>
      </c>
      <c r="H494" s="43">
        <v>0</v>
      </c>
      <c r="I494" s="43">
        <v>0</v>
      </c>
      <c r="J494" s="43">
        <v>0</v>
      </c>
      <c r="K494" s="43">
        <v>0</v>
      </c>
      <c r="L494" s="43">
        <v>0</v>
      </c>
      <c r="M494" s="43">
        <v>0</v>
      </c>
      <c r="N494" s="43">
        <v>0</v>
      </c>
      <c r="O494" s="43">
        <v>0</v>
      </c>
      <c r="P494" s="47" t="s">
        <v>45</v>
      </c>
      <c r="R494" s="37">
        <v>0</v>
      </c>
      <c r="S494" s="37">
        <v>0</v>
      </c>
      <c r="T494" s="37">
        <v>0</v>
      </c>
      <c r="U494" s="37">
        <v>0</v>
      </c>
      <c r="V494" s="37">
        <v>0</v>
      </c>
      <c r="W494" s="37">
        <v>0</v>
      </c>
      <c r="X494" s="37">
        <v>0</v>
      </c>
      <c r="Y494" s="37">
        <v>0</v>
      </c>
      <c r="Z494" s="37">
        <v>0</v>
      </c>
      <c r="AA494" s="37">
        <v>0</v>
      </c>
      <c r="AB494" s="37">
        <v>0</v>
      </c>
      <c r="AC494" s="37">
        <v>0</v>
      </c>
      <c r="AD494" s="37">
        <v>0</v>
      </c>
      <c r="AE494" s="37">
        <v>0</v>
      </c>
      <c r="AF494" s="37">
        <v>0</v>
      </c>
      <c r="AG494" s="59">
        <v>0</v>
      </c>
      <c r="AH494" s="37">
        <v>1250</v>
      </c>
      <c r="AI494" s="37">
        <v>0</v>
      </c>
      <c r="AJ494" s="37">
        <v>1250</v>
      </c>
      <c r="AK494" s="37">
        <v>0</v>
      </c>
      <c r="AL494" s="37">
        <v>0</v>
      </c>
      <c r="AM494" s="37">
        <v>0</v>
      </c>
      <c r="AN494" s="37">
        <v>0</v>
      </c>
      <c r="AO494" s="37">
        <v>0</v>
      </c>
      <c r="AP494" s="37">
        <v>0</v>
      </c>
      <c r="AQ494" s="37">
        <v>0</v>
      </c>
      <c r="AR494" s="37">
        <v>0</v>
      </c>
      <c r="AS494" s="59">
        <v>2500</v>
      </c>
      <c r="AT494" s="59">
        <v>2500</v>
      </c>
      <c r="AU494" s="45"/>
      <c r="AV494" s="37">
        <v>0</v>
      </c>
      <c r="AW494" s="37">
        <v>0</v>
      </c>
      <c r="AX494" s="37">
        <v>0</v>
      </c>
      <c r="AY494" s="37">
        <v>0</v>
      </c>
      <c r="AZ494" s="37">
        <v>0</v>
      </c>
      <c r="BA494" s="37">
        <v>0</v>
      </c>
      <c r="BB494" s="37">
        <v>0</v>
      </c>
      <c r="BC494" s="37">
        <v>0</v>
      </c>
      <c r="BD494" s="37">
        <v>0</v>
      </c>
      <c r="BE494" s="37">
        <v>0</v>
      </c>
      <c r="BF494" s="37">
        <v>0</v>
      </c>
      <c r="BG494" s="37">
        <v>0</v>
      </c>
      <c r="BH494" s="37">
        <v>0</v>
      </c>
      <c r="BI494" s="37">
        <v>0</v>
      </c>
      <c r="BJ494" s="37">
        <v>0</v>
      </c>
      <c r="BK494" s="59">
        <v>0</v>
      </c>
      <c r="BL494" s="37">
        <v>0</v>
      </c>
      <c r="BM494" s="37">
        <v>0</v>
      </c>
      <c r="BN494" s="37">
        <v>0</v>
      </c>
      <c r="BO494" s="37">
        <v>0</v>
      </c>
      <c r="BP494" s="37">
        <v>0</v>
      </c>
      <c r="BQ494" s="37">
        <v>0</v>
      </c>
      <c r="BR494" s="37">
        <v>0</v>
      </c>
      <c r="BS494" s="37">
        <v>0</v>
      </c>
      <c r="BT494" s="37">
        <v>0</v>
      </c>
      <c r="BU494" s="37">
        <v>0</v>
      </c>
      <c r="BV494" s="37">
        <v>0</v>
      </c>
      <c r="BW494" s="59">
        <v>0</v>
      </c>
      <c r="BX494" s="59">
        <v>0</v>
      </c>
      <c r="BZ494" s="37">
        <v>0</v>
      </c>
      <c r="CA494" s="37">
        <v>0</v>
      </c>
      <c r="CB494" s="37">
        <v>0</v>
      </c>
      <c r="CC494" s="37">
        <v>0</v>
      </c>
      <c r="CD494" s="37">
        <v>0</v>
      </c>
      <c r="CE494" s="37">
        <v>0</v>
      </c>
      <c r="CF494" s="37">
        <v>0</v>
      </c>
      <c r="CG494" s="59">
        <v>0</v>
      </c>
      <c r="CH494" s="37">
        <v>1250</v>
      </c>
      <c r="CI494" s="37">
        <v>1250</v>
      </c>
      <c r="CJ494" s="37">
        <v>0</v>
      </c>
      <c r="CK494" s="37">
        <v>0</v>
      </c>
      <c r="CL494" s="37">
        <v>0</v>
      </c>
      <c r="CM494" s="37">
        <v>0</v>
      </c>
      <c r="CN494" s="59">
        <v>2500</v>
      </c>
      <c r="CO494" s="59">
        <v>2500</v>
      </c>
      <c r="CP494" s="58"/>
      <c r="CQ494" s="3">
        <v>2500</v>
      </c>
    </row>
    <row r="495" spans="1:95" customFormat="1" x14ac:dyDescent="0.2">
      <c r="A495" s="209">
        <v>43405</v>
      </c>
      <c r="B495" s="33" t="s">
        <v>55</v>
      </c>
      <c r="C495" s="33" t="s">
        <v>56</v>
      </c>
      <c r="D495" s="43">
        <v>0</v>
      </c>
      <c r="E495" s="43">
        <v>0</v>
      </c>
      <c r="F495" s="43">
        <v>0</v>
      </c>
      <c r="G495" s="43">
        <v>0</v>
      </c>
      <c r="H495" s="43">
        <v>0</v>
      </c>
      <c r="I495" s="43">
        <v>0</v>
      </c>
      <c r="J495" s="43">
        <v>0</v>
      </c>
      <c r="K495" s="43">
        <v>0</v>
      </c>
      <c r="L495" s="43">
        <v>0</v>
      </c>
      <c r="M495" s="43">
        <v>0</v>
      </c>
      <c r="N495" s="43">
        <v>0</v>
      </c>
      <c r="O495" s="43">
        <v>0</v>
      </c>
      <c r="P495" s="47">
        <v>0</v>
      </c>
      <c r="R495" s="37">
        <v>0</v>
      </c>
      <c r="S495" s="37">
        <v>0</v>
      </c>
      <c r="T495" s="37">
        <v>4000</v>
      </c>
      <c r="U495" s="37">
        <v>0</v>
      </c>
      <c r="V495" s="37">
        <v>2000</v>
      </c>
      <c r="W495" s="37">
        <v>0</v>
      </c>
      <c r="X495" s="37">
        <v>0</v>
      </c>
      <c r="Y495" s="37">
        <v>0</v>
      </c>
      <c r="Z495" s="37">
        <v>400</v>
      </c>
      <c r="AA495" s="37">
        <v>0</v>
      </c>
      <c r="AB495" s="37">
        <v>200</v>
      </c>
      <c r="AC495" s="37">
        <v>0</v>
      </c>
      <c r="AD495" s="37">
        <v>80</v>
      </c>
      <c r="AE495" s="37">
        <v>0</v>
      </c>
      <c r="AF495" s="37">
        <v>0</v>
      </c>
      <c r="AG495" s="59">
        <v>6680</v>
      </c>
      <c r="AH495" s="37">
        <v>0</v>
      </c>
      <c r="AI495" s="37">
        <v>0</v>
      </c>
      <c r="AJ495" s="37">
        <v>0</v>
      </c>
      <c r="AK495" s="37">
        <v>0</v>
      </c>
      <c r="AL495" s="37">
        <v>5</v>
      </c>
      <c r="AM495" s="37">
        <v>0</v>
      </c>
      <c r="AN495" s="37">
        <v>4</v>
      </c>
      <c r="AO495" s="37">
        <v>0</v>
      </c>
      <c r="AP495" s="37">
        <v>2</v>
      </c>
      <c r="AQ495" s="37">
        <v>0</v>
      </c>
      <c r="AR495" s="37">
        <v>0</v>
      </c>
      <c r="AS495" s="59">
        <v>11</v>
      </c>
      <c r="AT495" s="59">
        <v>6691</v>
      </c>
      <c r="AU495" s="45"/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>
        <v>0</v>
      </c>
      <c r="BB495" s="37">
        <v>0</v>
      </c>
      <c r="BC495" s="37">
        <v>0</v>
      </c>
      <c r="BD495" s="37">
        <v>0</v>
      </c>
      <c r="BE495" s="37">
        <v>0</v>
      </c>
      <c r="BF495" s="37">
        <v>0</v>
      </c>
      <c r="BG495" s="37">
        <v>0</v>
      </c>
      <c r="BH495" s="37">
        <v>0</v>
      </c>
      <c r="BI495" s="37">
        <v>0</v>
      </c>
      <c r="BJ495" s="37">
        <v>0</v>
      </c>
      <c r="BK495" s="59">
        <v>0</v>
      </c>
      <c r="BL495" s="37">
        <v>0</v>
      </c>
      <c r="BM495" s="37">
        <v>0</v>
      </c>
      <c r="BN495" s="37">
        <v>0</v>
      </c>
      <c r="BO495" s="37">
        <v>0</v>
      </c>
      <c r="BP495" s="37">
        <v>0</v>
      </c>
      <c r="BQ495" s="37">
        <v>0</v>
      </c>
      <c r="BR495" s="37">
        <v>0</v>
      </c>
      <c r="BS495" s="37">
        <v>0</v>
      </c>
      <c r="BT495" s="37">
        <v>0</v>
      </c>
      <c r="BU495" s="37">
        <v>0</v>
      </c>
      <c r="BV495" s="37">
        <v>0</v>
      </c>
      <c r="BW495" s="59">
        <v>0</v>
      </c>
      <c r="BX495" s="59">
        <v>0</v>
      </c>
      <c r="BZ495" s="37">
        <v>4000</v>
      </c>
      <c r="CA495" s="37">
        <v>2000</v>
      </c>
      <c r="CB495" s="37">
        <v>0</v>
      </c>
      <c r="CC495" s="37">
        <v>400</v>
      </c>
      <c r="CD495" s="37">
        <v>200</v>
      </c>
      <c r="CE495" s="37">
        <v>80</v>
      </c>
      <c r="CF495" s="37">
        <v>0</v>
      </c>
      <c r="CG495" s="59">
        <v>6680</v>
      </c>
      <c r="CH495" s="37">
        <v>0</v>
      </c>
      <c r="CI495" s="37">
        <v>5</v>
      </c>
      <c r="CJ495" s="37">
        <v>4</v>
      </c>
      <c r="CK495" s="37">
        <v>2</v>
      </c>
      <c r="CL495" s="37">
        <v>0</v>
      </c>
      <c r="CM495" s="37">
        <v>0</v>
      </c>
      <c r="CN495" s="59">
        <v>11</v>
      </c>
      <c r="CO495" s="59">
        <v>6691</v>
      </c>
      <c r="CP495" s="58"/>
      <c r="CQ495" s="3">
        <v>6691</v>
      </c>
    </row>
    <row r="496" spans="1:95" customFormat="1" x14ac:dyDescent="0.2">
      <c r="A496" s="209">
        <v>43406</v>
      </c>
      <c r="B496" s="33" t="s">
        <v>55</v>
      </c>
      <c r="C496" s="33" t="s">
        <v>56</v>
      </c>
      <c r="D496" s="43">
        <v>0</v>
      </c>
      <c r="E496" s="43">
        <v>0</v>
      </c>
      <c r="F496" s="43">
        <v>0</v>
      </c>
      <c r="G496" s="43">
        <v>0</v>
      </c>
      <c r="H496" s="43">
        <v>0</v>
      </c>
      <c r="I496" s="43">
        <v>0</v>
      </c>
      <c r="J496" s="43">
        <v>0</v>
      </c>
      <c r="K496" s="43">
        <v>0</v>
      </c>
      <c r="L496" s="43">
        <v>0</v>
      </c>
      <c r="M496" s="43">
        <v>0</v>
      </c>
      <c r="N496" s="43">
        <v>0</v>
      </c>
      <c r="O496" s="43">
        <v>0</v>
      </c>
      <c r="P496" s="47">
        <v>0</v>
      </c>
      <c r="R496" s="37">
        <v>0</v>
      </c>
      <c r="S496" s="37">
        <v>0</v>
      </c>
      <c r="T496" s="37">
        <v>4000</v>
      </c>
      <c r="U496" s="37">
        <v>0</v>
      </c>
      <c r="V496" s="37">
        <v>2000</v>
      </c>
      <c r="W496" s="37">
        <v>0</v>
      </c>
      <c r="X496" s="37">
        <v>800</v>
      </c>
      <c r="Y496" s="37">
        <v>0</v>
      </c>
      <c r="Z496" s="37">
        <v>400</v>
      </c>
      <c r="AA496" s="37">
        <v>0</v>
      </c>
      <c r="AB496" s="37">
        <v>200</v>
      </c>
      <c r="AC496" s="37">
        <v>0</v>
      </c>
      <c r="AD496" s="37">
        <v>80</v>
      </c>
      <c r="AE496" s="37">
        <v>0</v>
      </c>
      <c r="AF496" s="37">
        <v>0</v>
      </c>
      <c r="AG496" s="59">
        <v>7480</v>
      </c>
      <c r="AH496" s="37">
        <v>0</v>
      </c>
      <c r="AI496" s="37">
        <v>0</v>
      </c>
      <c r="AJ496" s="37">
        <v>0</v>
      </c>
      <c r="AK496" s="37">
        <v>0</v>
      </c>
      <c r="AL496" s="37">
        <v>0</v>
      </c>
      <c r="AM496" s="37">
        <v>0</v>
      </c>
      <c r="AN496" s="37">
        <v>0</v>
      </c>
      <c r="AO496" s="37">
        <v>0</v>
      </c>
      <c r="AP496" s="37">
        <v>0</v>
      </c>
      <c r="AQ496" s="37">
        <v>0</v>
      </c>
      <c r="AR496" s="37">
        <v>0</v>
      </c>
      <c r="AS496" s="59">
        <v>0</v>
      </c>
      <c r="AT496" s="59">
        <v>7480</v>
      </c>
      <c r="AU496" s="45"/>
      <c r="AV496" s="37">
        <v>0</v>
      </c>
      <c r="AW496" s="37">
        <v>0</v>
      </c>
      <c r="AX496" s="37">
        <v>0</v>
      </c>
      <c r="AY496" s="37">
        <v>0</v>
      </c>
      <c r="AZ496" s="37">
        <v>0</v>
      </c>
      <c r="BA496" s="37">
        <v>0</v>
      </c>
      <c r="BB496" s="37">
        <v>0</v>
      </c>
      <c r="BC496" s="37">
        <v>0</v>
      </c>
      <c r="BD496" s="37">
        <v>0</v>
      </c>
      <c r="BE496" s="37">
        <v>0</v>
      </c>
      <c r="BF496" s="37">
        <v>0</v>
      </c>
      <c r="BG496" s="37">
        <v>0</v>
      </c>
      <c r="BH496" s="37">
        <v>0</v>
      </c>
      <c r="BI496" s="37">
        <v>0</v>
      </c>
      <c r="BJ496" s="37">
        <v>0</v>
      </c>
      <c r="BK496" s="59">
        <v>0</v>
      </c>
      <c r="BL496" s="37">
        <v>0</v>
      </c>
      <c r="BM496" s="37">
        <v>0</v>
      </c>
      <c r="BN496" s="37">
        <v>0</v>
      </c>
      <c r="BO496" s="37">
        <v>0</v>
      </c>
      <c r="BP496" s="37">
        <v>0</v>
      </c>
      <c r="BQ496" s="37">
        <v>0</v>
      </c>
      <c r="BR496" s="37">
        <v>0</v>
      </c>
      <c r="BS496" s="37">
        <v>0</v>
      </c>
      <c r="BT496" s="37">
        <v>0</v>
      </c>
      <c r="BU496" s="37">
        <v>0</v>
      </c>
      <c r="BV496" s="37">
        <v>0</v>
      </c>
      <c r="BW496" s="59">
        <v>0</v>
      </c>
      <c r="BX496" s="59">
        <v>0</v>
      </c>
      <c r="BZ496" s="37">
        <v>4000</v>
      </c>
      <c r="CA496" s="37">
        <v>2000</v>
      </c>
      <c r="CB496" s="37">
        <v>800</v>
      </c>
      <c r="CC496" s="37">
        <v>400</v>
      </c>
      <c r="CD496" s="37">
        <v>200</v>
      </c>
      <c r="CE496" s="37">
        <v>80</v>
      </c>
      <c r="CF496" s="37">
        <v>0</v>
      </c>
      <c r="CG496" s="59">
        <v>7480</v>
      </c>
      <c r="CH496" s="37">
        <v>0</v>
      </c>
      <c r="CI496" s="37">
        <v>0</v>
      </c>
      <c r="CJ496" s="37">
        <v>0</v>
      </c>
      <c r="CK496" s="37">
        <v>0</v>
      </c>
      <c r="CL496" s="37">
        <v>0</v>
      </c>
      <c r="CM496" s="37">
        <v>0</v>
      </c>
      <c r="CN496" s="59">
        <v>0</v>
      </c>
      <c r="CO496" s="59">
        <v>7480</v>
      </c>
      <c r="CP496" s="58"/>
      <c r="CQ496" s="3">
        <v>7480</v>
      </c>
    </row>
    <row r="497" spans="1:95" customFormat="1" x14ac:dyDescent="0.2">
      <c r="A497" s="209">
        <v>43409</v>
      </c>
      <c r="B497" s="33" t="s">
        <v>55</v>
      </c>
      <c r="C497" s="33" t="s">
        <v>56</v>
      </c>
      <c r="D497" s="43">
        <v>0</v>
      </c>
      <c r="E497" s="43">
        <v>0</v>
      </c>
      <c r="F497" s="43">
        <v>0</v>
      </c>
      <c r="G497" s="43">
        <v>0</v>
      </c>
      <c r="H497" s="43">
        <v>0</v>
      </c>
      <c r="I497" s="43">
        <v>0</v>
      </c>
      <c r="J497" s="43">
        <v>0</v>
      </c>
      <c r="K497" s="43">
        <v>0</v>
      </c>
      <c r="L497" s="43">
        <v>0</v>
      </c>
      <c r="M497" s="43">
        <v>0</v>
      </c>
      <c r="N497" s="43">
        <v>0</v>
      </c>
      <c r="O497" s="43">
        <v>0</v>
      </c>
      <c r="P497" s="47">
        <v>0</v>
      </c>
      <c r="R497" s="37">
        <v>0</v>
      </c>
      <c r="S497" s="37">
        <v>0</v>
      </c>
      <c r="T497" s="37">
        <v>4000</v>
      </c>
      <c r="U497" s="37">
        <v>0</v>
      </c>
      <c r="V497" s="37">
        <v>2000</v>
      </c>
      <c r="W497" s="37">
        <v>0</v>
      </c>
      <c r="X497" s="37">
        <v>800</v>
      </c>
      <c r="Y497" s="37">
        <v>0</v>
      </c>
      <c r="Z497" s="37">
        <v>400</v>
      </c>
      <c r="AA497" s="37">
        <v>0</v>
      </c>
      <c r="AB497" s="37">
        <v>200</v>
      </c>
      <c r="AC497" s="37">
        <v>0</v>
      </c>
      <c r="AD497" s="37">
        <v>80</v>
      </c>
      <c r="AE497" s="37">
        <v>0</v>
      </c>
      <c r="AF497" s="37">
        <v>0</v>
      </c>
      <c r="AG497" s="59">
        <v>7480</v>
      </c>
      <c r="AH497" s="37">
        <v>0</v>
      </c>
      <c r="AI497" s="37">
        <v>0</v>
      </c>
      <c r="AJ497" s="37">
        <v>0</v>
      </c>
      <c r="AK497" s="37">
        <v>0</v>
      </c>
      <c r="AL497" s="37">
        <v>0</v>
      </c>
      <c r="AM497" s="37">
        <v>0</v>
      </c>
      <c r="AN497" s="37">
        <v>0</v>
      </c>
      <c r="AO497" s="37">
        <v>0</v>
      </c>
      <c r="AP497" s="37">
        <v>0</v>
      </c>
      <c r="AQ497" s="37">
        <v>0</v>
      </c>
      <c r="AR497" s="37">
        <v>0</v>
      </c>
      <c r="AS497" s="59">
        <v>0</v>
      </c>
      <c r="AT497" s="59">
        <v>7480</v>
      </c>
      <c r="AU497" s="45"/>
      <c r="AV497" s="37">
        <v>0</v>
      </c>
      <c r="AW497" s="37">
        <v>0</v>
      </c>
      <c r="AX497" s="37">
        <v>0</v>
      </c>
      <c r="AY497" s="37">
        <v>0</v>
      </c>
      <c r="AZ497" s="37">
        <v>0</v>
      </c>
      <c r="BA497" s="37">
        <v>0</v>
      </c>
      <c r="BB497" s="37">
        <v>0</v>
      </c>
      <c r="BC497" s="37">
        <v>0</v>
      </c>
      <c r="BD497" s="37">
        <v>0</v>
      </c>
      <c r="BE497" s="37">
        <v>0</v>
      </c>
      <c r="BF497" s="37">
        <v>0</v>
      </c>
      <c r="BG497" s="37">
        <v>0</v>
      </c>
      <c r="BH497" s="37">
        <v>0</v>
      </c>
      <c r="BI497" s="37">
        <v>0</v>
      </c>
      <c r="BJ497" s="37">
        <v>0</v>
      </c>
      <c r="BK497" s="59">
        <v>0</v>
      </c>
      <c r="BL497" s="37">
        <v>0</v>
      </c>
      <c r="BM497" s="37">
        <v>0</v>
      </c>
      <c r="BN497" s="37">
        <v>0</v>
      </c>
      <c r="BO497" s="37">
        <v>0</v>
      </c>
      <c r="BP497" s="37">
        <v>0</v>
      </c>
      <c r="BQ497" s="37">
        <v>0</v>
      </c>
      <c r="BR497" s="37">
        <v>0</v>
      </c>
      <c r="BS497" s="37">
        <v>0</v>
      </c>
      <c r="BT497" s="37">
        <v>0</v>
      </c>
      <c r="BU497" s="37">
        <v>0</v>
      </c>
      <c r="BV497" s="37">
        <v>0</v>
      </c>
      <c r="BW497" s="59">
        <v>0</v>
      </c>
      <c r="BX497" s="59">
        <v>0</v>
      </c>
      <c r="BZ497" s="37">
        <v>4000</v>
      </c>
      <c r="CA497" s="37">
        <v>2000</v>
      </c>
      <c r="CB497" s="37">
        <v>800</v>
      </c>
      <c r="CC497" s="37">
        <v>400</v>
      </c>
      <c r="CD497" s="37">
        <v>200</v>
      </c>
      <c r="CE497" s="37">
        <v>80</v>
      </c>
      <c r="CF497" s="37">
        <v>0</v>
      </c>
      <c r="CG497" s="59">
        <v>7480</v>
      </c>
      <c r="CH497" s="37">
        <v>0</v>
      </c>
      <c r="CI497" s="37">
        <v>0</v>
      </c>
      <c r="CJ497" s="37">
        <v>0</v>
      </c>
      <c r="CK497" s="37">
        <v>0</v>
      </c>
      <c r="CL497" s="37">
        <v>0</v>
      </c>
      <c r="CM497" s="37">
        <v>0</v>
      </c>
      <c r="CN497" s="59">
        <v>0</v>
      </c>
      <c r="CO497" s="59">
        <v>7480</v>
      </c>
      <c r="CP497" s="58"/>
      <c r="CQ497" s="3">
        <v>7480</v>
      </c>
    </row>
    <row r="498" spans="1:95" customFormat="1" x14ac:dyDescent="0.2">
      <c r="A498" s="209">
        <v>43409</v>
      </c>
      <c r="B498" s="33" t="s">
        <v>53</v>
      </c>
      <c r="C498" s="33" t="s">
        <v>57</v>
      </c>
      <c r="D498" s="43">
        <v>0</v>
      </c>
      <c r="E498" s="43">
        <v>0</v>
      </c>
      <c r="F498" s="43">
        <v>0</v>
      </c>
      <c r="G498" s="43">
        <v>0</v>
      </c>
      <c r="H498" s="43">
        <v>0</v>
      </c>
      <c r="I498" s="43">
        <v>0</v>
      </c>
      <c r="J498" s="43">
        <v>0</v>
      </c>
      <c r="K498" s="43">
        <v>0</v>
      </c>
      <c r="L498" s="43">
        <v>0</v>
      </c>
      <c r="M498" s="43">
        <v>0</v>
      </c>
      <c r="N498" s="43">
        <v>0</v>
      </c>
      <c r="O498" s="43">
        <v>0</v>
      </c>
      <c r="P498" s="47">
        <v>0</v>
      </c>
      <c r="R498" s="37">
        <v>0</v>
      </c>
      <c r="S498" s="37">
        <v>0</v>
      </c>
      <c r="T498" s="37">
        <v>40000</v>
      </c>
      <c r="U498" s="37">
        <v>0</v>
      </c>
      <c r="V498" s="37">
        <v>20000</v>
      </c>
      <c r="W498" s="37">
        <v>0</v>
      </c>
      <c r="X498" s="37">
        <v>4000</v>
      </c>
      <c r="Y498" s="37">
        <v>0</v>
      </c>
      <c r="Z498" s="37">
        <v>4000</v>
      </c>
      <c r="AA498" s="37">
        <v>0</v>
      </c>
      <c r="AB498" s="37">
        <v>2000</v>
      </c>
      <c r="AC498" s="37">
        <v>0</v>
      </c>
      <c r="AD498" s="37">
        <v>800</v>
      </c>
      <c r="AE498" s="37">
        <v>0</v>
      </c>
      <c r="AF498" s="37">
        <v>0</v>
      </c>
      <c r="AG498" s="59">
        <v>70800</v>
      </c>
      <c r="AH498" s="37">
        <v>0</v>
      </c>
      <c r="AI498" s="37">
        <v>0</v>
      </c>
      <c r="AJ498" s="37">
        <v>0</v>
      </c>
      <c r="AK498" s="37">
        <v>0</v>
      </c>
      <c r="AL498" s="37">
        <v>20</v>
      </c>
      <c r="AM498" s="37">
        <v>0</v>
      </c>
      <c r="AN498" s="37">
        <v>16</v>
      </c>
      <c r="AO498" s="37">
        <v>0</v>
      </c>
      <c r="AP498" s="37">
        <v>8</v>
      </c>
      <c r="AQ498" s="37">
        <v>0</v>
      </c>
      <c r="AR498" s="37">
        <v>0</v>
      </c>
      <c r="AS498" s="59">
        <v>44</v>
      </c>
      <c r="AT498" s="59">
        <v>70844</v>
      </c>
      <c r="AU498" s="45"/>
      <c r="AV498" s="37">
        <v>0</v>
      </c>
      <c r="AW498" s="37">
        <v>0</v>
      </c>
      <c r="AX498" s="37">
        <v>0</v>
      </c>
      <c r="AY498" s="37">
        <v>0</v>
      </c>
      <c r="AZ498" s="37">
        <v>0</v>
      </c>
      <c r="BA498" s="37">
        <v>0</v>
      </c>
      <c r="BB498" s="37">
        <v>0</v>
      </c>
      <c r="BC498" s="37">
        <v>0</v>
      </c>
      <c r="BD498" s="37">
        <v>0</v>
      </c>
      <c r="BE498" s="37">
        <v>0</v>
      </c>
      <c r="BF498" s="37">
        <v>0</v>
      </c>
      <c r="BG498" s="37">
        <v>0</v>
      </c>
      <c r="BH498" s="37">
        <v>0</v>
      </c>
      <c r="BI498" s="37">
        <v>0</v>
      </c>
      <c r="BJ498" s="37">
        <v>0</v>
      </c>
      <c r="BK498" s="59">
        <v>0</v>
      </c>
      <c r="BL498" s="37">
        <v>0</v>
      </c>
      <c r="BM498" s="37">
        <v>0</v>
      </c>
      <c r="BN498" s="37">
        <v>0</v>
      </c>
      <c r="BO498" s="37">
        <v>0</v>
      </c>
      <c r="BP498" s="37">
        <v>0</v>
      </c>
      <c r="BQ498" s="37">
        <v>0</v>
      </c>
      <c r="BR498" s="37">
        <v>0</v>
      </c>
      <c r="BS498" s="37">
        <v>0</v>
      </c>
      <c r="BT498" s="37">
        <v>0</v>
      </c>
      <c r="BU498" s="37">
        <v>0</v>
      </c>
      <c r="BV498" s="37">
        <v>0</v>
      </c>
      <c r="BW498" s="59">
        <v>0</v>
      </c>
      <c r="BX498" s="59">
        <v>0</v>
      </c>
      <c r="BZ498" s="37">
        <v>40000</v>
      </c>
      <c r="CA498" s="37">
        <v>20000</v>
      </c>
      <c r="CB498" s="37">
        <v>4000</v>
      </c>
      <c r="CC498" s="37">
        <v>4000</v>
      </c>
      <c r="CD498" s="37">
        <v>2000</v>
      </c>
      <c r="CE498" s="37">
        <v>800</v>
      </c>
      <c r="CF498" s="37">
        <v>0</v>
      </c>
      <c r="CG498" s="59">
        <v>70800</v>
      </c>
      <c r="CH498" s="37">
        <v>0</v>
      </c>
      <c r="CI498" s="37">
        <v>20</v>
      </c>
      <c r="CJ498" s="37">
        <v>16</v>
      </c>
      <c r="CK498" s="37">
        <v>8</v>
      </c>
      <c r="CL498" s="37">
        <v>0</v>
      </c>
      <c r="CM498" s="37">
        <v>0</v>
      </c>
      <c r="CN498" s="59">
        <v>44</v>
      </c>
      <c r="CO498" s="59">
        <v>70844</v>
      </c>
      <c r="CP498" s="58"/>
      <c r="CQ498" s="3">
        <v>70844</v>
      </c>
    </row>
    <row r="499" spans="1:95" customFormat="1" x14ac:dyDescent="0.2">
      <c r="A499" s="209">
        <v>43409</v>
      </c>
      <c r="B499" s="33" t="s">
        <v>75</v>
      </c>
      <c r="C499" s="33" t="s">
        <v>76</v>
      </c>
      <c r="D499" s="43">
        <v>0</v>
      </c>
      <c r="E499" s="43">
        <v>1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0</v>
      </c>
      <c r="L499" s="43">
        <v>0</v>
      </c>
      <c r="M499" s="43">
        <v>0</v>
      </c>
      <c r="N499" s="43">
        <v>0</v>
      </c>
      <c r="O499" s="43">
        <v>0</v>
      </c>
      <c r="P499" s="47" t="s">
        <v>45</v>
      </c>
      <c r="R499" s="37">
        <v>0</v>
      </c>
      <c r="S499" s="37">
        <v>0</v>
      </c>
      <c r="T499" s="37">
        <v>100000</v>
      </c>
      <c r="U499" s="37">
        <v>0</v>
      </c>
      <c r="V499" s="37">
        <v>50000</v>
      </c>
      <c r="W499" s="37">
        <v>0</v>
      </c>
      <c r="X499" s="37">
        <v>0</v>
      </c>
      <c r="Y499" s="37">
        <v>0</v>
      </c>
      <c r="Z499" s="37">
        <v>110000</v>
      </c>
      <c r="AA499" s="37">
        <v>0</v>
      </c>
      <c r="AB499" s="37">
        <v>10000</v>
      </c>
      <c r="AC499" s="37">
        <v>0</v>
      </c>
      <c r="AD499" s="37">
        <v>8000</v>
      </c>
      <c r="AE499" s="37">
        <v>0</v>
      </c>
      <c r="AF499" s="37">
        <v>1000</v>
      </c>
      <c r="AG499" s="59">
        <v>279000</v>
      </c>
      <c r="AH499" s="37">
        <v>0</v>
      </c>
      <c r="AI499" s="37">
        <v>0</v>
      </c>
      <c r="AJ499" s="37">
        <v>0</v>
      </c>
      <c r="AK499" s="37">
        <v>0</v>
      </c>
      <c r="AL499" s="37">
        <v>0</v>
      </c>
      <c r="AM499" s="37">
        <v>0</v>
      </c>
      <c r="AN499" s="37">
        <v>0</v>
      </c>
      <c r="AO499" s="37">
        <v>0</v>
      </c>
      <c r="AP499" s="37">
        <v>50</v>
      </c>
      <c r="AQ499" s="37">
        <v>0</v>
      </c>
      <c r="AR499" s="37">
        <v>0</v>
      </c>
      <c r="AS499" s="59">
        <v>50</v>
      </c>
      <c r="AT499" s="59">
        <v>279050</v>
      </c>
      <c r="AU499" s="45"/>
      <c r="AV499" s="37">
        <v>0</v>
      </c>
      <c r="AW499" s="37">
        <v>0</v>
      </c>
      <c r="AX499" s="37">
        <v>0</v>
      </c>
      <c r="AY499" s="37">
        <v>0</v>
      </c>
      <c r="AZ499" s="37">
        <v>0</v>
      </c>
      <c r="BA499" s="37">
        <v>0</v>
      </c>
      <c r="BB499" s="37">
        <v>0</v>
      </c>
      <c r="BC499" s="37">
        <v>0</v>
      </c>
      <c r="BD499" s="37">
        <v>0</v>
      </c>
      <c r="BE499" s="37">
        <v>0</v>
      </c>
      <c r="BF499" s="37">
        <v>0</v>
      </c>
      <c r="BG499" s="37">
        <v>0</v>
      </c>
      <c r="BH499" s="37">
        <v>0</v>
      </c>
      <c r="BI499" s="37">
        <v>0</v>
      </c>
      <c r="BJ499" s="37">
        <v>0</v>
      </c>
      <c r="BK499" s="59">
        <v>0</v>
      </c>
      <c r="BL499" s="37">
        <v>0</v>
      </c>
      <c r="BM499" s="37">
        <v>0</v>
      </c>
      <c r="BN499" s="37">
        <v>0</v>
      </c>
      <c r="BO499" s="37">
        <v>0</v>
      </c>
      <c r="BP499" s="37">
        <v>0</v>
      </c>
      <c r="BQ499" s="37">
        <v>0</v>
      </c>
      <c r="BR499" s="37">
        <v>0</v>
      </c>
      <c r="BS499" s="37">
        <v>0</v>
      </c>
      <c r="BT499" s="37">
        <v>0</v>
      </c>
      <c r="BU499" s="37">
        <v>0</v>
      </c>
      <c r="BV499" s="37">
        <v>0</v>
      </c>
      <c r="BW499" s="59">
        <v>0</v>
      </c>
      <c r="BX499" s="59">
        <v>0</v>
      </c>
      <c r="BZ499" s="37">
        <v>100000</v>
      </c>
      <c r="CA499" s="37">
        <v>50000</v>
      </c>
      <c r="CB499" s="37">
        <v>0</v>
      </c>
      <c r="CC499" s="37">
        <v>110000</v>
      </c>
      <c r="CD499" s="37">
        <v>10000</v>
      </c>
      <c r="CE499" s="37">
        <v>8000</v>
      </c>
      <c r="CF499" s="37">
        <v>1000</v>
      </c>
      <c r="CG499" s="59">
        <v>279000</v>
      </c>
      <c r="CH499" s="37">
        <v>0</v>
      </c>
      <c r="CI499" s="37">
        <v>0</v>
      </c>
      <c r="CJ499" s="37">
        <v>0</v>
      </c>
      <c r="CK499" s="37">
        <v>50</v>
      </c>
      <c r="CL499" s="37">
        <v>0</v>
      </c>
      <c r="CM499" s="37">
        <v>0</v>
      </c>
      <c r="CN499" s="59">
        <v>50</v>
      </c>
      <c r="CO499" s="59">
        <v>279050</v>
      </c>
      <c r="CP499" s="58"/>
      <c r="CQ499" s="3">
        <v>279050</v>
      </c>
    </row>
    <row r="500" spans="1:95" customFormat="1" x14ac:dyDescent="0.2">
      <c r="A500" s="209">
        <v>43409</v>
      </c>
      <c r="B500" s="33" t="s">
        <v>77</v>
      </c>
      <c r="C500" s="33" t="s">
        <v>126</v>
      </c>
      <c r="D500" s="43">
        <v>0</v>
      </c>
      <c r="E500" s="43">
        <v>0</v>
      </c>
      <c r="F500" s="43">
        <v>0</v>
      </c>
      <c r="G500" s="43">
        <v>0</v>
      </c>
      <c r="H500" s="43">
        <v>0</v>
      </c>
      <c r="I500" s="43">
        <v>0</v>
      </c>
      <c r="J500" s="43">
        <v>0</v>
      </c>
      <c r="K500" s="43">
        <v>1</v>
      </c>
      <c r="L500" s="43">
        <v>0</v>
      </c>
      <c r="M500" s="43">
        <v>0</v>
      </c>
      <c r="N500" s="43">
        <v>0</v>
      </c>
      <c r="O500" s="43">
        <v>0</v>
      </c>
      <c r="P500" s="47" t="s">
        <v>45</v>
      </c>
      <c r="R500" s="37">
        <v>0</v>
      </c>
      <c r="S500" s="37">
        <v>0</v>
      </c>
      <c r="T500" s="37">
        <v>2400000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>
        <v>20000</v>
      </c>
      <c r="AC500" s="37">
        <v>0</v>
      </c>
      <c r="AD500" s="37">
        <v>0</v>
      </c>
      <c r="AE500" s="37">
        <v>0</v>
      </c>
      <c r="AF500" s="37">
        <v>0</v>
      </c>
      <c r="AG500" s="59">
        <v>2420000</v>
      </c>
      <c r="AH500" s="37">
        <v>3250</v>
      </c>
      <c r="AI500" s="37">
        <v>0</v>
      </c>
      <c r="AJ500" s="37">
        <v>1250</v>
      </c>
      <c r="AK500" s="37">
        <v>0</v>
      </c>
      <c r="AL500" s="37">
        <v>0</v>
      </c>
      <c r="AM500" s="37">
        <v>0</v>
      </c>
      <c r="AN500" s="37">
        <v>0</v>
      </c>
      <c r="AO500" s="37">
        <v>0</v>
      </c>
      <c r="AP500" s="37">
        <v>200</v>
      </c>
      <c r="AQ500" s="37">
        <v>0</v>
      </c>
      <c r="AR500" s="37">
        <v>0</v>
      </c>
      <c r="AS500" s="59">
        <v>4700</v>
      </c>
      <c r="AT500" s="59">
        <v>2424700</v>
      </c>
      <c r="AU500" s="45"/>
      <c r="AV500" s="37">
        <v>0</v>
      </c>
      <c r="AW500" s="37">
        <v>0</v>
      </c>
      <c r="AX500" s="37">
        <v>0</v>
      </c>
      <c r="AY500" s="37">
        <v>0</v>
      </c>
      <c r="AZ500" s="37">
        <v>0</v>
      </c>
      <c r="BA500" s="37">
        <v>0</v>
      </c>
      <c r="BB500" s="37">
        <v>0</v>
      </c>
      <c r="BC500" s="37">
        <v>0</v>
      </c>
      <c r="BD500" s="37">
        <v>0</v>
      </c>
      <c r="BE500" s="37">
        <v>0</v>
      </c>
      <c r="BF500" s="37">
        <v>0</v>
      </c>
      <c r="BG500" s="37">
        <v>0</v>
      </c>
      <c r="BH500" s="37">
        <v>0</v>
      </c>
      <c r="BI500" s="37">
        <v>0</v>
      </c>
      <c r="BJ500" s="37">
        <v>0</v>
      </c>
      <c r="BK500" s="59">
        <v>0</v>
      </c>
      <c r="BL500" s="37">
        <v>0</v>
      </c>
      <c r="BM500" s="37">
        <v>0</v>
      </c>
      <c r="BN500" s="37">
        <v>0</v>
      </c>
      <c r="BO500" s="37">
        <v>0</v>
      </c>
      <c r="BP500" s="37">
        <v>0</v>
      </c>
      <c r="BQ500" s="37">
        <v>0</v>
      </c>
      <c r="BR500" s="37">
        <v>0</v>
      </c>
      <c r="BS500" s="37">
        <v>0</v>
      </c>
      <c r="BT500" s="37">
        <v>0</v>
      </c>
      <c r="BU500" s="37">
        <v>0</v>
      </c>
      <c r="BV500" s="37">
        <v>0</v>
      </c>
      <c r="BW500" s="59">
        <v>0</v>
      </c>
      <c r="BX500" s="59">
        <v>0</v>
      </c>
      <c r="BZ500" s="37">
        <v>2400000</v>
      </c>
      <c r="CA500" s="37">
        <v>0</v>
      </c>
      <c r="CB500" s="37">
        <v>0</v>
      </c>
      <c r="CC500" s="37">
        <v>0</v>
      </c>
      <c r="CD500" s="37">
        <v>20000</v>
      </c>
      <c r="CE500" s="37">
        <v>0</v>
      </c>
      <c r="CF500" s="37">
        <v>0</v>
      </c>
      <c r="CG500" s="59">
        <v>2420000</v>
      </c>
      <c r="CH500" s="37">
        <v>3250</v>
      </c>
      <c r="CI500" s="37">
        <v>1250</v>
      </c>
      <c r="CJ500" s="37">
        <v>0</v>
      </c>
      <c r="CK500" s="37">
        <v>200</v>
      </c>
      <c r="CL500" s="37">
        <v>0</v>
      </c>
      <c r="CM500" s="37">
        <v>0</v>
      </c>
      <c r="CN500" s="59">
        <v>4700</v>
      </c>
      <c r="CO500" s="59">
        <v>2424700</v>
      </c>
      <c r="CP500" s="58"/>
      <c r="CQ500" s="3">
        <v>2424700</v>
      </c>
    </row>
    <row r="501" spans="1:95" customFormat="1" x14ac:dyDescent="0.2">
      <c r="A501" s="209">
        <v>43409</v>
      </c>
      <c r="B501" s="33" t="s">
        <v>53</v>
      </c>
      <c r="C501" s="33" t="s">
        <v>84</v>
      </c>
      <c r="D501" s="43">
        <v>0</v>
      </c>
      <c r="E501" s="43">
        <v>1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  <c r="P501" s="47" t="s">
        <v>45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v>0</v>
      </c>
      <c r="AD501" s="37">
        <v>0</v>
      </c>
      <c r="AE501" s="37">
        <v>0</v>
      </c>
      <c r="AF501" s="37">
        <v>0</v>
      </c>
      <c r="AG501" s="59">
        <v>0</v>
      </c>
      <c r="AH501" s="37">
        <v>1250</v>
      </c>
      <c r="AI501" s="37">
        <v>0</v>
      </c>
      <c r="AJ501" s="37">
        <v>2500</v>
      </c>
      <c r="AK501" s="37">
        <v>0</v>
      </c>
      <c r="AL501" s="37">
        <v>0</v>
      </c>
      <c r="AM501" s="37">
        <v>0</v>
      </c>
      <c r="AN501" s="37">
        <v>0</v>
      </c>
      <c r="AO501" s="37">
        <v>0</v>
      </c>
      <c r="AP501" s="37">
        <v>0</v>
      </c>
      <c r="AQ501" s="37">
        <v>0</v>
      </c>
      <c r="AR501" s="37">
        <v>0</v>
      </c>
      <c r="AS501" s="59">
        <v>3750</v>
      </c>
      <c r="AT501" s="59">
        <v>3750</v>
      </c>
      <c r="AU501" s="45"/>
      <c r="AV501" s="37">
        <v>0</v>
      </c>
      <c r="AW501" s="37">
        <v>0</v>
      </c>
      <c r="AX501" s="37">
        <v>0</v>
      </c>
      <c r="AY501" s="37">
        <v>0</v>
      </c>
      <c r="AZ501" s="37">
        <v>0</v>
      </c>
      <c r="BA501" s="37">
        <v>0</v>
      </c>
      <c r="BB501" s="37">
        <v>0</v>
      </c>
      <c r="BC501" s="37">
        <v>0</v>
      </c>
      <c r="BD501" s="37">
        <v>0</v>
      </c>
      <c r="BE501" s="37">
        <v>0</v>
      </c>
      <c r="BF501" s="37">
        <v>0</v>
      </c>
      <c r="BG501" s="37">
        <v>0</v>
      </c>
      <c r="BH501" s="37">
        <v>0</v>
      </c>
      <c r="BI501" s="37">
        <v>0</v>
      </c>
      <c r="BJ501" s="37">
        <v>0</v>
      </c>
      <c r="BK501" s="59">
        <v>0</v>
      </c>
      <c r="BL501" s="37">
        <v>0</v>
      </c>
      <c r="BM501" s="37">
        <v>0</v>
      </c>
      <c r="BN501" s="37">
        <v>0</v>
      </c>
      <c r="BO501" s="37">
        <v>0</v>
      </c>
      <c r="BP501" s="37">
        <v>0</v>
      </c>
      <c r="BQ501" s="37">
        <v>0</v>
      </c>
      <c r="BR501" s="37">
        <v>0</v>
      </c>
      <c r="BS501" s="37">
        <v>0</v>
      </c>
      <c r="BT501" s="37">
        <v>0</v>
      </c>
      <c r="BU501" s="37">
        <v>0</v>
      </c>
      <c r="BV501" s="37">
        <v>0</v>
      </c>
      <c r="BW501" s="59">
        <v>0</v>
      </c>
      <c r="BX501" s="59">
        <v>0</v>
      </c>
      <c r="BZ501" s="37">
        <v>0</v>
      </c>
      <c r="CA501" s="37">
        <v>0</v>
      </c>
      <c r="CB501" s="37">
        <v>0</v>
      </c>
      <c r="CC501" s="37">
        <v>0</v>
      </c>
      <c r="CD501" s="37">
        <v>0</v>
      </c>
      <c r="CE501" s="37">
        <v>0</v>
      </c>
      <c r="CF501" s="37">
        <v>0</v>
      </c>
      <c r="CG501" s="59">
        <v>0</v>
      </c>
      <c r="CH501" s="37">
        <v>1250</v>
      </c>
      <c r="CI501" s="37">
        <v>2500</v>
      </c>
      <c r="CJ501" s="37">
        <v>0</v>
      </c>
      <c r="CK501" s="37">
        <v>0</v>
      </c>
      <c r="CL501" s="37">
        <v>0</v>
      </c>
      <c r="CM501" s="37">
        <v>0</v>
      </c>
      <c r="CN501" s="59">
        <v>3750</v>
      </c>
      <c r="CO501" s="59">
        <v>3750</v>
      </c>
      <c r="CP501" s="58"/>
      <c r="CQ501" s="3">
        <v>3750</v>
      </c>
    </row>
    <row r="502" spans="1:95" customFormat="1" x14ac:dyDescent="0.2">
      <c r="A502" s="209">
        <v>43409</v>
      </c>
      <c r="B502" s="33" t="s">
        <v>53</v>
      </c>
      <c r="C502" s="33" t="s">
        <v>54</v>
      </c>
      <c r="D502" s="43">
        <v>1</v>
      </c>
      <c r="E502" s="43">
        <v>0</v>
      </c>
      <c r="F502" s="43">
        <v>0</v>
      </c>
      <c r="G502" s="43">
        <v>0</v>
      </c>
      <c r="H502" s="43">
        <v>0</v>
      </c>
      <c r="I502" s="43">
        <v>0</v>
      </c>
      <c r="J502" s="43">
        <v>0</v>
      </c>
      <c r="K502" s="43">
        <v>0</v>
      </c>
      <c r="L502" s="43">
        <v>0</v>
      </c>
      <c r="M502" s="43">
        <v>0</v>
      </c>
      <c r="N502" s="43">
        <v>0</v>
      </c>
      <c r="O502" s="43">
        <v>0</v>
      </c>
      <c r="P502" s="47" t="s">
        <v>45</v>
      </c>
      <c r="R502" s="37">
        <v>0</v>
      </c>
      <c r="S502" s="37">
        <v>0</v>
      </c>
      <c r="T502" s="37">
        <v>0</v>
      </c>
      <c r="U502" s="37">
        <v>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7">
        <v>0</v>
      </c>
      <c r="AB502" s="37">
        <v>0</v>
      </c>
      <c r="AC502" s="37">
        <v>0</v>
      </c>
      <c r="AD502" s="37">
        <v>0</v>
      </c>
      <c r="AE502" s="37">
        <v>0</v>
      </c>
      <c r="AF502" s="37">
        <v>0</v>
      </c>
      <c r="AG502" s="59">
        <v>0</v>
      </c>
      <c r="AH502" s="37">
        <v>0</v>
      </c>
      <c r="AI502" s="37">
        <v>0</v>
      </c>
      <c r="AJ502" s="37">
        <v>0</v>
      </c>
      <c r="AK502" s="37">
        <v>0</v>
      </c>
      <c r="AL502" s="37">
        <v>0</v>
      </c>
      <c r="AM502" s="37">
        <v>0</v>
      </c>
      <c r="AN502" s="37">
        <v>0</v>
      </c>
      <c r="AO502" s="37">
        <v>0</v>
      </c>
      <c r="AP502" s="37">
        <v>100</v>
      </c>
      <c r="AQ502" s="37">
        <v>0</v>
      </c>
      <c r="AR502" s="37">
        <v>0</v>
      </c>
      <c r="AS502" s="59">
        <v>100</v>
      </c>
      <c r="AT502" s="59">
        <v>100</v>
      </c>
      <c r="AU502" s="45"/>
      <c r="AV502" s="37">
        <v>0</v>
      </c>
      <c r="AW502" s="37">
        <v>0</v>
      </c>
      <c r="AX502" s="37">
        <v>0</v>
      </c>
      <c r="AY502" s="37">
        <v>0</v>
      </c>
      <c r="AZ502" s="37">
        <v>0</v>
      </c>
      <c r="BA502" s="37">
        <v>0</v>
      </c>
      <c r="BB502" s="37">
        <v>0</v>
      </c>
      <c r="BC502" s="37">
        <v>0</v>
      </c>
      <c r="BD502" s="37">
        <v>0</v>
      </c>
      <c r="BE502" s="37">
        <v>0</v>
      </c>
      <c r="BF502" s="37">
        <v>0</v>
      </c>
      <c r="BG502" s="37">
        <v>0</v>
      </c>
      <c r="BH502" s="37">
        <v>0</v>
      </c>
      <c r="BI502" s="37">
        <v>0</v>
      </c>
      <c r="BJ502" s="37">
        <v>0</v>
      </c>
      <c r="BK502" s="59">
        <v>0</v>
      </c>
      <c r="BL502" s="37">
        <v>0</v>
      </c>
      <c r="BM502" s="37">
        <v>0</v>
      </c>
      <c r="BN502" s="37">
        <v>0</v>
      </c>
      <c r="BO502" s="37">
        <v>0</v>
      </c>
      <c r="BP502" s="37">
        <v>0</v>
      </c>
      <c r="BQ502" s="37">
        <v>0</v>
      </c>
      <c r="BR502" s="37">
        <v>0</v>
      </c>
      <c r="BS502" s="37">
        <v>0</v>
      </c>
      <c r="BT502" s="37">
        <v>0</v>
      </c>
      <c r="BU502" s="37">
        <v>0</v>
      </c>
      <c r="BV502" s="37">
        <v>0</v>
      </c>
      <c r="BW502" s="59">
        <v>0</v>
      </c>
      <c r="BX502" s="59">
        <v>0</v>
      </c>
      <c r="BZ502" s="37">
        <v>0</v>
      </c>
      <c r="CA502" s="37">
        <v>0</v>
      </c>
      <c r="CB502" s="37">
        <v>0</v>
      </c>
      <c r="CC502" s="37">
        <v>0</v>
      </c>
      <c r="CD502" s="37">
        <v>0</v>
      </c>
      <c r="CE502" s="37">
        <v>0</v>
      </c>
      <c r="CF502" s="37">
        <v>0</v>
      </c>
      <c r="CG502" s="59">
        <v>0</v>
      </c>
      <c r="CH502" s="37">
        <v>0</v>
      </c>
      <c r="CI502" s="37">
        <v>0</v>
      </c>
      <c r="CJ502" s="37">
        <v>0</v>
      </c>
      <c r="CK502" s="37">
        <v>100</v>
      </c>
      <c r="CL502" s="37">
        <v>0</v>
      </c>
      <c r="CM502" s="37">
        <v>0</v>
      </c>
      <c r="CN502" s="59">
        <v>100</v>
      </c>
      <c r="CO502" s="59">
        <v>100</v>
      </c>
      <c r="CP502" s="58"/>
      <c r="CQ502" s="3">
        <v>100</v>
      </c>
    </row>
    <row r="503" spans="1:95" customFormat="1" x14ac:dyDescent="0.2">
      <c r="A503" s="209">
        <v>43410</v>
      </c>
      <c r="B503" s="33" t="s">
        <v>55</v>
      </c>
      <c r="C503" s="33" t="s">
        <v>56</v>
      </c>
      <c r="D503" s="43">
        <v>0</v>
      </c>
      <c r="E503" s="43">
        <v>0</v>
      </c>
      <c r="F503" s="43">
        <v>0</v>
      </c>
      <c r="G503" s="43">
        <v>0</v>
      </c>
      <c r="H503" s="43">
        <v>0</v>
      </c>
      <c r="I503" s="43">
        <v>0</v>
      </c>
      <c r="J503" s="43">
        <v>0</v>
      </c>
      <c r="K503" s="43">
        <v>0</v>
      </c>
      <c r="L503" s="43">
        <v>0</v>
      </c>
      <c r="M503" s="43">
        <v>0</v>
      </c>
      <c r="N503" s="43">
        <v>0</v>
      </c>
      <c r="O503" s="43">
        <v>0</v>
      </c>
      <c r="P503" s="47">
        <v>0</v>
      </c>
      <c r="R503" s="37">
        <v>0</v>
      </c>
      <c r="S503" s="37">
        <v>0</v>
      </c>
      <c r="T503" s="37">
        <v>4000</v>
      </c>
      <c r="U503" s="37">
        <v>0</v>
      </c>
      <c r="V503" s="37">
        <v>2000</v>
      </c>
      <c r="W503" s="37">
        <v>0</v>
      </c>
      <c r="X503" s="37">
        <v>0</v>
      </c>
      <c r="Y503" s="37">
        <v>0</v>
      </c>
      <c r="Z503" s="37">
        <v>400</v>
      </c>
      <c r="AA503" s="37">
        <v>0</v>
      </c>
      <c r="AB503" s="37">
        <v>200</v>
      </c>
      <c r="AC503" s="37">
        <v>0</v>
      </c>
      <c r="AD503" s="37">
        <v>80</v>
      </c>
      <c r="AE503" s="37">
        <v>0</v>
      </c>
      <c r="AF503" s="37">
        <v>0</v>
      </c>
      <c r="AG503" s="59">
        <v>6680</v>
      </c>
      <c r="AH503" s="37">
        <v>0</v>
      </c>
      <c r="AI503" s="37">
        <v>0</v>
      </c>
      <c r="AJ503" s="37">
        <v>0</v>
      </c>
      <c r="AK503" s="37">
        <v>0</v>
      </c>
      <c r="AL503" s="37">
        <v>5</v>
      </c>
      <c r="AM503" s="37">
        <v>0</v>
      </c>
      <c r="AN503" s="37">
        <v>4</v>
      </c>
      <c r="AO503" s="37">
        <v>0</v>
      </c>
      <c r="AP503" s="37">
        <v>2</v>
      </c>
      <c r="AQ503" s="37">
        <v>0</v>
      </c>
      <c r="AR503" s="37">
        <v>0</v>
      </c>
      <c r="AS503" s="59">
        <v>11</v>
      </c>
      <c r="AT503" s="59">
        <v>6691</v>
      </c>
      <c r="AU503" s="45"/>
      <c r="AV503" s="37">
        <v>0</v>
      </c>
      <c r="AW503" s="37">
        <v>0</v>
      </c>
      <c r="AX503" s="37">
        <v>0</v>
      </c>
      <c r="AY503" s="37">
        <v>0</v>
      </c>
      <c r="AZ503" s="37">
        <v>0</v>
      </c>
      <c r="BA503" s="37">
        <v>0</v>
      </c>
      <c r="BB503" s="37">
        <v>0</v>
      </c>
      <c r="BC503" s="37">
        <v>0</v>
      </c>
      <c r="BD503" s="37">
        <v>0</v>
      </c>
      <c r="BE503" s="37">
        <v>0</v>
      </c>
      <c r="BF503" s="37">
        <v>0</v>
      </c>
      <c r="BG503" s="37">
        <v>0</v>
      </c>
      <c r="BH503" s="37">
        <v>0</v>
      </c>
      <c r="BI503" s="37">
        <v>0</v>
      </c>
      <c r="BJ503" s="37">
        <v>0</v>
      </c>
      <c r="BK503" s="59">
        <v>0</v>
      </c>
      <c r="BL503" s="37">
        <v>0</v>
      </c>
      <c r="BM503" s="37">
        <v>0</v>
      </c>
      <c r="BN503" s="37">
        <v>0</v>
      </c>
      <c r="BO503" s="37">
        <v>0</v>
      </c>
      <c r="BP503" s="37">
        <v>0</v>
      </c>
      <c r="BQ503" s="37">
        <v>0</v>
      </c>
      <c r="BR503" s="37">
        <v>0</v>
      </c>
      <c r="BS503" s="37">
        <v>0</v>
      </c>
      <c r="BT503" s="37">
        <v>0</v>
      </c>
      <c r="BU503" s="37">
        <v>0</v>
      </c>
      <c r="BV503" s="37">
        <v>0</v>
      </c>
      <c r="BW503" s="59">
        <v>0</v>
      </c>
      <c r="BX503" s="59">
        <v>0</v>
      </c>
      <c r="BZ503" s="37">
        <v>4000</v>
      </c>
      <c r="CA503" s="37">
        <v>2000</v>
      </c>
      <c r="CB503" s="37">
        <v>0</v>
      </c>
      <c r="CC503" s="37">
        <v>400</v>
      </c>
      <c r="CD503" s="37">
        <v>200</v>
      </c>
      <c r="CE503" s="37">
        <v>80</v>
      </c>
      <c r="CF503" s="37">
        <v>0</v>
      </c>
      <c r="CG503" s="59">
        <v>6680</v>
      </c>
      <c r="CH503" s="37">
        <v>0</v>
      </c>
      <c r="CI503" s="37">
        <v>5</v>
      </c>
      <c r="CJ503" s="37">
        <v>4</v>
      </c>
      <c r="CK503" s="37">
        <v>2</v>
      </c>
      <c r="CL503" s="37">
        <v>0</v>
      </c>
      <c r="CM503" s="37">
        <v>0</v>
      </c>
      <c r="CN503" s="59">
        <v>11</v>
      </c>
      <c r="CO503" s="59">
        <v>6691</v>
      </c>
      <c r="CP503" s="58"/>
      <c r="CQ503" s="3">
        <v>6691</v>
      </c>
    </row>
    <row r="504" spans="1:95" customFormat="1" x14ac:dyDescent="0.2">
      <c r="A504" s="209">
        <v>43410</v>
      </c>
      <c r="B504" s="33" t="s">
        <v>53</v>
      </c>
      <c r="C504" s="33" t="s">
        <v>54</v>
      </c>
      <c r="D504" s="43">
        <v>1</v>
      </c>
      <c r="E504" s="43">
        <v>0</v>
      </c>
      <c r="F504" s="43">
        <v>0</v>
      </c>
      <c r="G504" s="43">
        <v>0</v>
      </c>
      <c r="H504" s="43">
        <v>0</v>
      </c>
      <c r="I504" s="43">
        <v>0</v>
      </c>
      <c r="J504" s="43">
        <v>0</v>
      </c>
      <c r="K504" s="43">
        <v>0</v>
      </c>
      <c r="L504" s="43">
        <v>0</v>
      </c>
      <c r="M504" s="43">
        <v>0</v>
      </c>
      <c r="N504" s="43">
        <v>0</v>
      </c>
      <c r="O504" s="43">
        <v>0</v>
      </c>
      <c r="P504" s="47" t="s">
        <v>45</v>
      </c>
      <c r="R504" s="37">
        <v>0</v>
      </c>
      <c r="S504" s="37">
        <v>400000</v>
      </c>
      <c r="T504" s="37">
        <v>600000</v>
      </c>
      <c r="U504" s="37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7">
        <v>0</v>
      </c>
      <c r="AB504" s="37">
        <v>0</v>
      </c>
      <c r="AC504" s="37">
        <v>0</v>
      </c>
      <c r="AD504" s="37">
        <v>0</v>
      </c>
      <c r="AE504" s="37">
        <v>0</v>
      </c>
      <c r="AF504" s="37">
        <v>0</v>
      </c>
      <c r="AG504" s="59">
        <v>1000000</v>
      </c>
      <c r="AH504" s="37">
        <v>0</v>
      </c>
      <c r="AI504" s="37">
        <v>0</v>
      </c>
      <c r="AJ504" s="37">
        <v>0</v>
      </c>
      <c r="AK504" s="37">
        <v>0</v>
      </c>
      <c r="AL504" s="37">
        <v>0</v>
      </c>
      <c r="AM504" s="37">
        <v>0</v>
      </c>
      <c r="AN504" s="37">
        <v>0</v>
      </c>
      <c r="AO504" s="37">
        <v>0</v>
      </c>
      <c r="AP504" s="37">
        <v>0</v>
      </c>
      <c r="AQ504" s="37">
        <v>0</v>
      </c>
      <c r="AR504" s="37">
        <v>0</v>
      </c>
      <c r="AS504" s="59">
        <v>0</v>
      </c>
      <c r="AT504" s="59">
        <v>1000000</v>
      </c>
      <c r="AU504" s="45"/>
      <c r="AV504" s="37">
        <v>0</v>
      </c>
      <c r="AW504" s="37">
        <v>0</v>
      </c>
      <c r="AX504" s="37">
        <v>0</v>
      </c>
      <c r="AY504" s="37">
        <v>0</v>
      </c>
      <c r="AZ504" s="37">
        <v>0</v>
      </c>
      <c r="BA504" s="37">
        <v>0</v>
      </c>
      <c r="BB504" s="37">
        <v>0</v>
      </c>
      <c r="BC504" s="37">
        <v>0</v>
      </c>
      <c r="BD504" s="37">
        <v>0</v>
      </c>
      <c r="BE504" s="37">
        <v>0</v>
      </c>
      <c r="BF504" s="37">
        <v>0</v>
      </c>
      <c r="BG504" s="37">
        <v>0</v>
      </c>
      <c r="BH504" s="37">
        <v>0</v>
      </c>
      <c r="BI504" s="37">
        <v>0</v>
      </c>
      <c r="BJ504" s="37">
        <v>0</v>
      </c>
      <c r="BK504" s="59">
        <v>0</v>
      </c>
      <c r="BL504" s="37">
        <v>0</v>
      </c>
      <c r="BM504" s="37">
        <v>0</v>
      </c>
      <c r="BN504" s="37">
        <v>0</v>
      </c>
      <c r="BO504" s="37">
        <v>0</v>
      </c>
      <c r="BP504" s="37">
        <v>0</v>
      </c>
      <c r="BQ504" s="37">
        <v>0</v>
      </c>
      <c r="BR504" s="37">
        <v>0</v>
      </c>
      <c r="BS504" s="37">
        <v>0</v>
      </c>
      <c r="BT504" s="37">
        <v>0</v>
      </c>
      <c r="BU504" s="37">
        <v>0</v>
      </c>
      <c r="BV504" s="37">
        <v>0</v>
      </c>
      <c r="BW504" s="59">
        <v>0</v>
      </c>
      <c r="BX504" s="59">
        <v>0</v>
      </c>
      <c r="BZ504" s="37">
        <v>1000000</v>
      </c>
      <c r="CA504" s="37">
        <v>0</v>
      </c>
      <c r="CB504" s="37">
        <v>0</v>
      </c>
      <c r="CC504" s="37">
        <v>0</v>
      </c>
      <c r="CD504" s="37">
        <v>0</v>
      </c>
      <c r="CE504" s="37">
        <v>0</v>
      </c>
      <c r="CF504" s="37">
        <v>0</v>
      </c>
      <c r="CG504" s="59">
        <v>1000000</v>
      </c>
      <c r="CH504" s="37">
        <v>0</v>
      </c>
      <c r="CI504" s="37">
        <v>0</v>
      </c>
      <c r="CJ504" s="37">
        <v>0</v>
      </c>
      <c r="CK504" s="37">
        <v>0</v>
      </c>
      <c r="CL504" s="37">
        <v>0</v>
      </c>
      <c r="CM504" s="37">
        <v>0</v>
      </c>
      <c r="CN504" s="59">
        <v>0</v>
      </c>
      <c r="CO504" s="59">
        <v>1000000</v>
      </c>
      <c r="CP504" s="58"/>
      <c r="CQ504" s="3">
        <v>1000000</v>
      </c>
    </row>
    <row r="505" spans="1:95" customFormat="1" x14ac:dyDescent="0.2">
      <c r="A505" s="209">
        <v>43411</v>
      </c>
      <c r="B505" s="33" t="s">
        <v>55</v>
      </c>
      <c r="C505" s="33" t="s">
        <v>56</v>
      </c>
      <c r="D505" s="43">
        <v>0</v>
      </c>
      <c r="E505" s="43">
        <v>0</v>
      </c>
      <c r="F505" s="43">
        <v>0</v>
      </c>
      <c r="G505" s="43">
        <v>0</v>
      </c>
      <c r="H505" s="43">
        <v>0</v>
      </c>
      <c r="I505" s="43">
        <v>0</v>
      </c>
      <c r="J505" s="43">
        <v>0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  <c r="P505" s="47">
        <v>0</v>
      </c>
      <c r="R505" s="37">
        <v>0</v>
      </c>
      <c r="S505" s="37">
        <v>0</v>
      </c>
      <c r="T505" s="37">
        <v>4000</v>
      </c>
      <c r="U505" s="37">
        <v>0</v>
      </c>
      <c r="V505" s="37">
        <v>2000</v>
      </c>
      <c r="W505" s="37">
        <v>0</v>
      </c>
      <c r="X505" s="37">
        <v>800</v>
      </c>
      <c r="Y505" s="37">
        <v>0</v>
      </c>
      <c r="Z505" s="37">
        <v>400</v>
      </c>
      <c r="AA505" s="37">
        <v>0</v>
      </c>
      <c r="AB505" s="37">
        <v>200</v>
      </c>
      <c r="AC505" s="37">
        <v>0</v>
      </c>
      <c r="AD505" s="37">
        <v>80</v>
      </c>
      <c r="AE505" s="37">
        <v>0</v>
      </c>
      <c r="AF505" s="37">
        <v>0</v>
      </c>
      <c r="AG505" s="59">
        <v>7480</v>
      </c>
      <c r="AH505" s="37">
        <v>0</v>
      </c>
      <c r="AI505" s="37">
        <v>0</v>
      </c>
      <c r="AJ505" s="37">
        <v>0</v>
      </c>
      <c r="AK505" s="37">
        <v>0</v>
      </c>
      <c r="AL505" s="37">
        <v>0</v>
      </c>
      <c r="AM505" s="37">
        <v>0</v>
      </c>
      <c r="AN505" s="37">
        <v>0</v>
      </c>
      <c r="AO505" s="37">
        <v>0</v>
      </c>
      <c r="AP505" s="37">
        <v>0</v>
      </c>
      <c r="AQ505" s="37">
        <v>0</v>
      </c>
      <c r="AR505" s="37">
        <v>0</v>
      </c>
      <c r="AS505" s="59">
        <v>0</v>
      </c>
      <c r="AT505" s="59">
        <v>7480</v>
      </c>
      <c r="AU505" s="45"/>
      <c r="AV505" s="37">
        <v>0</v>
      </c>
      <c r="AW505" s="37">
        <v>0</v>
      </c>
      <c r="AX505" s="37">
        <v>0</v>
      </c>
      <c r="AY505" s="37">
        <v>0</v>
      </c>
      <c r="AZ505" s="37">
        <v>0</v>
      </c>
      <c r="BA505" s="37">
        <v>0</v>
      </c>
      <c r="BB505" s="37">
        <v>0</v>
      </c>
      <c r="BC505" s="37">
        <v>0</v>
      </c>
      <c r="BD505" s="37">
        <v>0</v>
      </c>
      <c r="BE505" s="37">
        <v>0</v>
      </c>
      <c r="BF505" s="37">
        <v>0</v>
      </c>
      <c r="BG505" s="37">
        <v>0</v>
      </c>
      <c r="BH505" s="37">
        <v>0</v>
      </c>
      <c r="BI505" s="37">
        <v>0</v>
      </c>
      <c r="BJ505" s="37">
        <v>0</v>
      </c>
      <c r="BK505" s="59">
        <v>0</v>
      </c>
      <c r="BL505" s="37">
        <v>0</v>
      </c>
      <c r="BM505" s="37">
        <v>0</v>
      </c>
      <c r="BN505" s="37">
        <v>0</v>
      </c>
      <c r="BO505" s="37">
        <v>0</v>
      </c>
      <c r="BP505" s="37">
        <v>0</v>
      </c>
      <c r="BQ505" s="37">
        <v>0</v>
      </c>
      <c r="BR505" s="37">
        <v>0</v>
      </c>
      <c r="BS505" s="37">
        <v>0</v>
      </c>
      <c r="BT505" s="37">
        <v>0</v>
      </c>
      <c r="BU505" s="37">
        <v>0</v>
      </c>
      <c r="BV505" s="37">
        <v>0</v>
      </c>
      <c r="BW505" s="59">
        <v>0</v>
      </c>
      <c r="BX505" s="59">
        <v>0</v>
      </c>
      <c r="BZ505" s="37">
        <v>4000</v>
      </c>
      <c r="CA505" s="37">
        <v>2000</v>
      </c>
      <c r="CB505" s="37">
        <v>800</v>
      </c>
      <c r="CC505" s="37">
        <v>400</v>
      </c>
      <c r="CD505" s="37">
        <v>200</v>
      </c>
      <c r="CE505" s="37">
        <v>80</v>
      </c>
      <c r="CF505" s="37">
        <v>0</v>
      </c>
      <c r="CG505" s="59">
        <v>7480</v>
      </c>
      <c r="CH505" s="37">
        <v>0</v>
      </c>
      <c r="CI505" s="37">
        <v>0</v>
      </c>
      <c r="CJ505" s="37">
        <v>0</v>
      </c>
      <c r="CK505" s="37">
        <v>0</v>
      </c>
      <c r="CL505" s="37">
        <v>0</v>
      </c>
      <c r="CM505" s="37">
        <v>0</v>
      </c>
      <c r="CN505" s="59">
        <v>0</v>
      </c>
      <c r="CO505" s="59">
        <v>7480</v>
      </c>
      <c r="CP505" s="58"/>
      <c r="CQ505" s="3">
        <v>7480</v>
      </c>
    </row>
    <row r="506" spans="1:95" customFormat="1" x14ac:dyDescent="0.2">
      <c r="A506" s="209">
        <v>43411</v>
      </c>
      <c r="B506" s="33" t="s">
        <v>85</v>
      </c>
      <c r="C506" s="33" t="s">
        <v>76</v>
      </c>
      <c r="D506" s="43">
        <v>0</v>
      </c>
      <c r="E506" s="43">
        <v>0</v>
      </c>
      <c r="F506" s="43">
        <v>1</v>
      </c>
      <c r="G506" s="43">
        <v>0</v>
      </c>
      <c r="H506" s="43">
        <v>0</v>
      </c>
      <c r="I506" s="43">
        <v>0</v>
      </c>
      <c r="J506" s="43">
        <v>0</v>
      </c>
      <c r="K506" s="43">
        <v>0</v>
      </c>
      <c r="L506" s="43">
        <v>0</v>
      </c>
      <c r="M506" s="43">
        <v>0</v>
      </c>
      <c r="N506" s="43">
        <v>0</v>
      </c>
      <c r="O506" s="43">
        <v>0</v>
      </c>
      <c r="P506" s="47" t="s">
        <v>67</v>
      </c>
      <c r="R506" s="37">
        <v>0</v>
      </c>
      <c r="S506" s="37">
        <v>0</v>
      </c>
      <c r="T506" s="37">
        <v>600000</v>
      </c>
      <c r="U506" s="37">
        <v>0</v>
      </c>
      <c r="V506" s="37">
        <v>300000</v>
      </c>
      <c r="W506" s="37">
        <v>0</v>
      </c>
      <c r="X506" s="37">
        <v>0</v>
      </c>
      <c r="Y506" s="37">
        <v>0</v>
      </c>
      <c r="Z506" s="37">
        <v>0</v>
      </c>
      <c r="AA506" s="37">
        <v>0</v>
      </c>
      <c r="AB506" s="37">
        <v>0</v>
      </c>
      <c r="AC506" s="37">
        <v>0</v>
      </c>
      <c r="AD506" s="37">
        <v>0</v>
      </c>
      <c r="AE506" s="37">
        <v>0</v>
      </c>
      <c r="AF506" s="37">
        <v>0</v>
      </c>
      <c r="AG506" s="59">
        <v>900000</v>
      </c>
      <c r="AH506" s="37">
        <v>0</v>
      </c>
      <c r="AI506" s="37">
        <v>0</v>
      </c>
      <c r="AJ506" s="37">
        <v>500</v>
      </c>
      <c r="AK506" s="37">
        <v>0</v>
      </c>
      <c r="AL506" s="37">
        <v>500</v>
      </c>
      <c r="AM506" s="37">
        <v>0</v>
      </c>
      <c r="AN506" s="37">
        <v>0</v>
      </c>
      <c r="AO506" s="37">
        <v>0</v>
      </c>
      <c r="AP506" s="37">
        <v>0</v>
      </c>
      <c r="AQ506" s="37">
        <v>0</v>
      </c>
      <c r="AR506" s="37">
        <v>0</v>
      </c>
      <c r="AS506" s="59">
        <v>1000</v>
      </c>
      <c r="AT506" s="59">
        <v>901000</v>
      </c>
      <c r="AU506" s="45"/>
      <c r="AV506" s="37">
        <v>0</v>
      </c>
      <c r="AW506" s="37">
        <v>0</v>
      </c>
      <c r="AX506" s="37">
        <v>0</v>
      </c>
      <c r="AY506" s="37">
        <v>0</v>
      </c>
      <c r="AZ506" s="37">
        <v>0</v>
      </c>
      <c r="BA506" s="37">
        <v>0</v>
      </c>
      <c r="BB506" s="37">
        <v>0</v>
      </c>
      <c r="BC506" s="37">
        <v>0</v>
      </c>
      <c r="BD506" s="37">
        <v>0</v>
      </c>
      <c r="BE506" s="37">
        <v>0</v>
      </c>
      <c r="BF506" s="37">
        <v>0</v>
      </c>
      <c r="BG506" s="37">
        <v>0</v>
      </c>
      <c r="BH506" s="37">
        <v>0</v>
      </c>
      <c r="BI506" s="37">
        <v>0</v>
      </c>
      <c r="BJ506" s="37">
        <v>0</v>
      </c>
      <c r="BK506" s="59">
        <v>0</v>
      </c>
      <c r="BL506" s="37">
        <v>0</v>
      </c>
      <c r="BM506" s="37">
        <v>0</v>
      </c>
      <c r="BN506" s="37">
        <v>0</v>
      </c>
      <c r="BO506" s="37">
        <v>0</v>
      </c>
      <c r="BP506" s="37">
        <v>0</v>
      </c>
      <c r="BQ506" s="37">
        <v>0</v>
      </c>
      <c r="BR506" s="37">
        <v>0</v>
      </c>
      <c r="BS506" s="37">
        <v>0</v>
      </c>
      <c r="BT506" s="37">
        <v>0</v>
      </c>
      <c r="BU506" s="37">
        <v>0</v>
      </c>
      <c r="BV506" s="37">
        <v>0</v>
      </c>
      <c r="BW506" s="59">
        <v>0</v>
      </c>
      <c r="BX506" s="59">
        <v>0</v>
      </c>
      <c r="BZ506" s="37">
        <v>600000</v>
      </c>
      <c r="CA506" s="37">
        <v>300000</v>
      </c>
      <c r="CB506" s="37">
        <v>0</v>
      </c>
      <c r="CC506" s="37">
        <v>0</v>
      </c>
      <c r="CD506" s="37">
        <v>0</v>
      </c>
      <c r="CE506" s="37">
        <v>0</v>
      </c>
      <c r="CF506" s="37">
        <v>0</v>
      </c>
      <c r="CG506" s="59">
        <v>900000</v>
      </c>
      <c r="CH506" s="37">
        <v>0</v>
      </c>
      <c r="CI506" s="37">
        <v>1000</v>
      </c>
      <c r="CJ506" s="37">
        <v>0</v>
      </c>
      <c r="CK506" s="37">
        <v>0</v>
      </c>
      <c r="CL506" s="37">
        <v>0</v>
      </c>
      <c r="CM506" s="37">
        <v>0</v>
      </c>
      <c r="CN506" s="59">
        <v>1000</v>
      </c>
      <c r="CO506" s="59">
        <v>901000</v>
      </c>
      <c r="CP506" s="58"/>
      <c r="CQ506" s="3">
        <v>901000</v>
      </c>
    </row>
    <row r="507" spans="1:95" customFormat="1" x14ac:dyDescent="0.2">
      <c r="A507" s="209">
        <v>43412</v>
      </c>
      <c r="B507" s="33" t="s">
        <v>55</v>
      </c>
      <c r="C507" s="33" t="s">
        <v>76</v>
      </c>
      <c r="D507" s="43">
        <v>0</v>
      </c>
      <c r="E507" s="43">
        <v>0</v>
      </c>
      <c r="F507" s="43">
        <v>0</v>
      </c>
      <c r="G507" s="43">
        <v>0</v>
      </c>
      <c r="H507" s="43">
        <v>0</v>
      </c>
      <c r="I507" s="43">
        <v>0</v>
      </c>
      <c r="J507" s="43">
        <v>0</v>
      </c>
      <c r="K507" s="43">
        <v>0</v>
      </c>
      <c r="L507" s="43">
        <v>0</v>
      </c>
      <c r="M507" s="43">
        <v>0</v>
      </c>
      <c r="N507" s="43">
        <v>0</v>
      </c>
      <c r="O507" s="43">
        <v>0</v>
      </c>
      <c r="P507" s="47">
        <v>0</v>
      </c>
      <c r="R507" s="37">
        <v>0</v>
      </c>
      <c r="S507" s="37">
        <v>0</v>
      </c>
      <c r="T507" s="37">
        <v>4000</v>
      </c>
      <c r="U507" s="37">
        <v>0</v>
      </c>
      <c r="V507" s="37">
        <v>2000</v>
      </c>
      <c r="W507" s="37">
        <v>0</v>
      </c>
      <c r="X507" s="37">
        <v>800</v>
      </c>
      <c r="Y507" s="37">
        <v>0</v>
      </c>
      <c r="Z507" s="37">
        <v>400</v>
      </c>
      <c r="AA507" s="37">
        <v>0</v>
      </c>
      <c r="AB507" s="37">
        <v>200</v>
      </c>
      <c r="AC507" s="37">
        <v>0</v>
      </c>
      <c r="AD507" s="37">
        <v>80</v>
      </c>
      <c r="AE507" s="37">
        <v>0</v>
      </c>
      <c r="AF507" s="37">
        <v>0</v>
      </c>
      <c r="AG507" s="59">
        <v>7480</v>
      </c>
      <c r="AH507" s="37">
        <v>0</v>
      </c>
      <c r="AI507" s="37">
        <v>0</v>
      </c>
      <c r="AJ507" s="37">
        <v>0</v>
      </c>
      <c r="AK507" s="37">
        <v>0</v>
      </c>
      <c r="AL507" s="37">
        <v>5</v>
      </c>
      <c r="AM507" s="37">
        <v>0</v>
      </c>
      <c r="AN507" s="37">
        <v>4</v>
      </c>
      <c r="AO507" s="37">
        <v>0</v>
      </c>
      <c r="AP507" s="37">
        <v>2</v>
      </c>
      <c r="AQ507" s="37">
        <v>0</v>
      </c>
      <c r="AR507" s="37">
        <v>0</v>
      </c>
      <c r="AS507" s="59">
        <v>11</v>
      </c>
      <c r="AT507" s="59">
        <v>7491</v>
      </c>
      <c r="AU507" s="45"/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>
        <v>0</v>
      </c>
      <c r="BB507" s="37">
        <v>0</v>
      </c>
      <c r="BC507" s="37">
        <v>0</v>
      </c>
      <c r="BD507" s="37">
        <v>0</v>
      </c>
      <c r="BE507" s="37">
        <v>0</v>
      </c>
      <c r="BF507" s="37">
        <v>0</v>
      </c>
      <c r="BG507" s="37">
        <v>0</v>
      </c>
      <c r="BH507" s="37">
        <v>0</v>
      </c>
      <c r="BI507" s="37">
        <v>0</v>
      </c>
      <c r="BJ507" s="37">
        <v>0</v>
      </c>
      <c r="BK507" s="59">
        <v>0</v>
      </c>
      <c r="BL507" s="37">
        <v>0</v>
      </c>
      <c r="BM507" s="37">
        <v>0</v>
      </c>
      <c r="BN507" s="37">
        <v>0</v>
      </c>
      <c r="BO507" s="37">
        <v>0</v>
      </c>
      <c r="BP507" s="37">
        <v>0</v>
      </c>
      <c r="BQ507" s="37">
        <v>0</v>
      </c>
      <c r="BR507" s="37">
        <v>0</v>
      </c>
      <c r="BS507" s="37">
        <v>0</v>
      </c>
      <c r="BT507" s="37">
        <v>0</v>
      </c>
      <c r="BU507" s="37">
        <v>0</v>
      </c>
      <c r="BV507" s="37">
        <v>0</v>
      </c>
      <c r="BW507" s="59">
        <v>0</v>
      </c>
      <c r="BX507" s="59">
        <v>0</v>
      </c>
      <c r="BZ507" s="37">
        <v>4000</v>
      </c>
      <c r="CA507" s="37">
        <v>2000</v>
      </c>
      <c r="CB507" s="37">
        <v>800</v>
      </c>
      <c r="CC507" s="37">
        <v>400</v>
      </c>
      <c r="CD507" s="37">
        <v>200</v>
      </c>
      <c r="CE507" s="37">
        <v>80</v>
      </c>
      <c r="CF507" s="37">
        <v>0</v>
      </c>
      <c r="CG507" s="59">
        <v>7480</v>
      </c>
      <c r="CH507" s="37">
        <v>0</v>
      </c>
      <c r="CI507" s="37">
        <v>5</v>
      </c>
      <c r="CJ507" s="37">
        <v>4</v>
      </c>
      <c r="CK507" s="37">
        <v>2</v>
      </c>
      <c r="CL507" s="37">
        <v>0</v>
      </c>
      <c r="CM507" s="37">
        <v>0</v>
      </c>
      <c r="CN507" s="59">
        <v>11</v>
      </c>
      <c r="CO507" s="59">
        <v>7491</v>
      </c>
      <c r="CP507" s="58"/>
      <c r="CQ507" s="3">
        <v>7491</v>
      </c>
    </row>
    <row r="508" spans="1:95" customFormat="1" x14ac:dyDescent="0.2">
      <c r="A508" s="209">
        <v>43412</v>
      </c>
      <c r="B508" s="33" t="s">
        <v>66</v>
      </c>
      <c r="C508" s="33" t="s">
        <v>65</v>
      </c>
      <c r="D508" s="43">
        <v>0</v>
      </c>
      <c r="E508" s="43">
        <v>0</v>
      </c>
      <c r="F508" s="43">
        <v>0</v>
      </c>
      <c r="G508" s="43">
        <v>0</v>
      </c>
      <c r="H508" s="43">
        <v>0</v>
      </c>
      <c r="I508" s="43">
        <v>1</v>
      </c>
      <c r="J508" s="43">
        <v>0</v>
      </c>
      <c r="K508" s="43">
        <v>0</v>
      </c>
      <c r="L508" s="43">
        <v>0</v>
      </c>
      <c r="M508" s="43">
        <v>0</v>
      </c>
      <c r="N508" s="43">
        <v>0</v>
      </c>
      <c r="O508" s="43">
        <v>0</v>
      </c>
      <c r="P508" s="47" t="s">
        <v>45</v>
      </c>
      <c r="R508" s="37">
        <v>0</v>
      </c>
      <c r="S508" s="37">
        <v>0</v>
      </c>
      <c r="T508" s="37">
        <v>2000000</v>
      </c>
      <c r="U508" s="37">
        <v>0</v>
      </c>
      <c r="V508" s="37">
        <v>500000</v>
      </c>
      <c r="W508" s="37">
        <v>0</v>
      </c>
      <c r="X508" s="37">
        <v>200000</v>
      </c>
      <c r="Y508" s="37">
        <v>0</v>
      </c>
      <c r="Z508" s="37">
        <v>60000</v>
      </c>
      <c r="AA508" s="37">
        <v>0</v>
      </c>
      <c r="AB508" s="37">
        <v>50000</v>
      </c>
      <c r="AC508" s="37">
        <v>0</v>
      </c>
      <c r="AD508" s="37">
        <v>20000</v>
      </c>
      <c r="AE508" s="37">
        <v>0</v>
      </c>
      <c r="AF508" s="37">
        <v>0</v>
      </c>
      <c r="AG508" s="59">
        <v>2830000</v>
      </c>
      <c r="AH508" s="37">
        <v>0</v>
      </c>
      <c r="AI508" s="37">
        <v>0</v>
      </c>
      <c r="AJ508" s="37">
        <v>875</v>
      </c>
      <c r="AK508" s="37">
        <v>0</v>
      </c>
      <c r="AL508" s="37">
        <v>0</v>
      </c>
      <c r="AM508" s="37">
        <v>0</v>
      </c>
      <c r="AN508" s="37">
        <v>0</v>
      </c>
      <c r="AO508" s="37">
        <v>0</v>
      </c>
      <c r="AP508" s="37">
        <v>200</v>
      </c>
      <c r="AQ508" s="37">
        <v>0</v>
      </c>
      <c r="AR508" s="37">
        <v>0</v>
      </c>
      <c r="AS508" s="59">
        <v>1075</v>
      </c>
      <c r="AT508" s="59">
        <v>2831075</v>
      </c>
      <c r="AU508" s="45"/>
      <c r="AV508" s="37">
        <v>0</v>
      </c>
      <c r="AW508" s="37">
        <v>0</v>
      </c>
      <c r="AX508" s="37">
        <v>0</v>
      </c>
      <c r="AY508" s="37">
        <v>0</v>
      </c>
      <c r="AZ508" s="37">
        <v>0</v>
      </c>
      <c r="BA508" s="37">
        <v>0</v>
      </c>
      <c r="BB508" s="37">
        <v>0</v>
      </c>
      <c r="BC508" s="37">
        <v>0</v>
      </c>
      <c r="BD508" s="37">
        <v>0</v>
      </c>
      <c r="BE508" s="37">
        <v>0</v>
      </c>
      <c r="BF508" s="37">
        <v>0</v>
      </c>
      <c r="BG508" s="37">
        <v>0</v>
      </c>
      <c r="BH508" s="37">
        <v>0</v>
      </c>
      <c r="BI508" s="37">
        <v>0</v>
      </c>
      <c r="BJ508" s="37">
        <v>0</v>
      </c>
      <c r="BK508" s="59">
        <v>0</v>
      </c>
      <c r="BL508" s="37">
        <v>0</v>
      </c>
      <c r="BM508" s="37">
        <v>0</v>
      </c>
      <c r="BN508" s="37">
        <v>0</v>
      </c>
      <c r="BO508" s="37">
        <v>0</v>
      </c>
      <c r="BP508" s="37">
        <v>0</v>
      </c>
      <c r="BQ508" s="37">
        <v>0</v>
      </c>
      <c r="BR508" s="37">
        <v>0</v>
      </c>
      <c r="BS508" s="37">
        <v>0</v>
      </c>
      <c r="BT508" s="37">
        <v>0</v>
      </c>
      <c r="BU508" s="37">
        <v>0</v>
      </c>
      <c r="BV508" s="37">
        <v>0</v>
      </c>
      <c r="BW508" s="59">
        <v>0</v>
      </c>
      <c r="BX508" s="59">
        <v>0</v>
      </c>
      <c r="BZ508" s="37">
        <v>2000000</v>
      </c>
      <c r="CA508" s="37">
        <v>500000</v>
      </c>
      <c r="CB508" s="37">
        <v>200000</v>
      </c>
      <c r="CC508" s="37">
        <v>60000</v>
      </c>
      <c r="CD508" s="37">
        <v>50000</v>
      </c>
      <c r="CE508" s="37">
        <v>20000</v>
      </c>
      <c r="CF508" s="37">
        <v>0</v>
      </c>
      <c r="CG508" s="59">
        <v>2830000</v>
      </c>
      <c r="CH508" s="37">
        <v>0</v>
      </c>
      <c r="CI508" s="37">
        <v>875</v>
      </c>
      <c r="CJ508" s="37">
        <v>0</v>
      </c>
      <c r="CK508" s="37">
        <v>200</v>
      </c>
      <c r="CL508" s="37">
        <v>0</v>
      </c>
      <c r="CM508" s="37">
        <v>0</v>
      </c>
      <c r="CN508" s="59">
        <v>1075</v>
      </c>
      <c r="CO508" s="59">
        <v>2831075</v>
      </c>
      <c r="CP508" s="58"/>
      <c r="CQ508" s="3">
        <v>2831075</v>
      </c>
    </row>
    <row r="509" spans="1:95" customFormat="1" x14ac:dyDescent="0.2">
      <c r="A509" s="209">
        <v>43412</v>
      </c>
      <c r="B509" s="33" t="s">
        <v>85</v>
      </c>
      <c r="C509" s="33" t="s">
        <v>76</v>
      </c>
      <c r="D509" s="43">
        <v>0</v>
      </c>
      <c r="E509" s="43">
        <v>1</v>
      </c>
      <c r="F509" s="43">
        <v>0</v>
      </c>
      <c r="G509" s="43">
        <v>0</v>
      </c>
      <c r="H509" s="43">
        <v>0</v>
      </c>
      <c r="I509" s="43">
        <v>0</v>
      </c>
      <c r="J509" s="43">
        <v>0</v>
      </c>
      <c r="K509" s="43">
        <v>0</v>
      </c>
      <c r="L509" s="43">
        <v>0</v>
      </c>
      <c r="M509" s="43">
        <v>0</v>
      </c>
      <c r="N509" s="43">
        <v>0</v>
      </c>
      <c r="O509" s="43">
        <v>0</v>
      </c>
      <c r="P509" s="47" t="s">
        <v>45</v>
      </c>
      <c r="R509" s="37">
        <v>0</v>
      </c>
      <c r="S509" s="37">
        <v>0</v>
      </c>
      <c r="T509" s="37"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v>0</v>
      </c>
      <c r="AD509" s="37">
        <v>0</v>
      </c>
      <c r="AE509" s="37">
        <v>0</v>
      </c>
      <c r="AF509" s="37">
        <v>0</v>
      </c>
      <c r="AG509" s="59">
        <v>0</v>
      </c>
      <c r="AH509" s="37">
        <v>0</v>
      </c>
      <c r="AI509" s="37">
        <v>0</v>
      </c>
      <c r="AJ509" s="37">
        <v>0</v>
      </c>
      <c r="AK509" s="37">
        <v>0</v>
      </c>
      <c r="AL509" s="37">
        <v>0</v>
      </c>
      <c r="AM509" s="37">
        <v>0</v>
      </c>
      <c r="AN509" s="37">
        <v>1200</v>
      </c>
      <c r="AO509" s="37">
        <v>0</v>
      </c>
      <c r="AP509" s="37">
        <v>300</v>
      </c>
      <c r="AQ509" s="37">
        <v>100</v>
      </c>
      <c r="AR509" s="37">
        <v>0</v>
      </c>
      <c r="AS509" s="59">
        <v>1600</v>
      </c>
      <c r="AT509" s="59">
        <v>1600</v>
      </c>
      <c r="AU509" s="45"/>
      <c r="AV509" s="37">
        <v>0</v>
      </c>
      <c r="AW509" s="37">
        <v>0</v>
      </c>
      <c r="AX509" s="37">
        <v>0</v>
      </c>
      <c r="AY509" s="37">
        <v>0</v>
      </c>
      <c r="AZ509" s="37">
        <v>0</v>
      </c>
      <c r="BA509" s="37">
        <v>0</v>
      </c>
      <c r="BB509" s="37">
        <v>0</v>
      </c>
      <c r="BC509" s="37">
        <v>0</v>
      </c>
      <c r="BD509" s="37">
        <v>0</v>
      </c>
      <c r="BE509" s="37">
        <v>0</v>
      </c>
      <c r="BF509" s="37">
        <v>0</v>
      </c>
      <c r="BG509" s="37">
        <v>0</v>
      </c>
      <c r="BH509" s="37">
        <v>0</v>
      </c>
      <c r="BI509" s="37">
        <v>0</v>
      </c>
      <c r="BJ509" s="37">
        <v>0</v>
      </c>
      <c r="BK509" s="59">
        <v>0</v>
      </c>
      <c r="BL509" s="37">
        <v>0</v>
      </c>
      <c r="BM509" s="37">
        <v>0</v>
      </c>
      <c r="BN509" s="37">
        <v>0</v>
      </c>
      <c r="BO509" s="37">
        <v>0</v>
      </c>
      <c r="BP509" s="37">
        <v>0</v>
      </c>
      <c r="BQ509" s="37">
        <v>0</v>
      </c>
      <c r="BR509" s="37">
        <v>0</v>
      </c>
      <c r="BS509" s="37">
        <v>0</v>
      </c>
      <c r="BT509" s="37">
        <v>0</v>
      </c>
      <c r="BU509" s="37">
        <v>0</v>
      </c>
      <c r="BV509" s="37">
        <v>0</v>
      </c>
      <c r="BW509" s="59">
        <v>0</v>
      </c>
      <c r="BX509" s="59">
        <v>0</v>
      </c>
      <c r="BZ509" s="37">
        <v>0</v>
      </c>
      <c r="CA509" s="37">
        <v>0</v>
      </c>
      <c r="CB509" s="37">
        <v>0</v>
      </c>
      <c r="CC509" s="37">
        <v>0</v>
      </c>
      <c r="CD509" s="37">
        <v>0</v>
      </c>
      <c r="CE509" s="37">
        <v>0</v>
      </c>
      <c r="CF509" s="37">
        <v>0</v>
      </c>
      <c r="CG509" s="59">
        <v>0</v>
      </c>
      <c r="CH509" s="37">
        <v>0</v>
      </c>
      <c r="CI509" s="37">
        <v>0</v>
      </c>
      <c r="CJ509" s="37">
        <v>1200</v>
      </c>
      <c r="CK509" s="37">
        <v>300</v>
      </c>
      <c r="CL509" s="37">
        <v>100</v>
      </c>
      <c r="CM509" s="37">
        <v>0</v>
      </c>
      <c r="CN509" s="59">
        <v>1600</v>
      </c>
      <c r="CO509" s="59">
        <v>1600</v>
      </c>
      <c r="CP509" s="58"/>
      <c r="CQ509" s="3">
        <v>1600</v>
      </c>
    </row>
    <row r="510" spans="1:95" customFormat="1" x14ac:dyDescent="0.2">
      <c r="A510" s="209">
        <v>43412</v>
      </c>
      <c r="B510" s="33" t="s">
        <v>53</v>
      </c>
      <c r="C510" s="33" t="s">
        <v>54</v>
      </c>
      <c r="D510" s="43">
        <v>1</v>
      </c>
      <c r="E510" s="43">
        <v>0</v>
      </c>
      <c r="F510" s="43">
        <v>0</v>
      </c>
      <c r="G510" s="43">
        <v>0</v>
      </c>
      <c r="H510" s="43">
        <v>0</v>
      </c>
      <c r="I510" s="43">
        <v>0</v>
      </c>
      <c r="J510" s="43">
        <v>0</v>
      </c>
      <c r="K510" s="43">
        <v>0</v>
      </c>
      <c r="L510" s="43">
        <v>0</v>
      </c>
      <c r="M510" s="43">
        <v>0</v>
      </c>
      <c r="N510" s="43">
        <v>0</v>
      </c>
      <c r="O510" s="43">
        <v>0</v>
      </c>
      <c r="P510" s="47" t="s">
        <v>45</v>
      </c>
      <c r="R510" s="37">
        <v>0</v>
      </c>
      <c r="S510" s="37">
        <v>0</v>
      </c>
      <c r="T510" s="37">
        <v>0</v>
      </c>
      <c r="U510" s="37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0</v>
      </c>
      <c r="AB510" s="37">
        <v>0</v>
      </c>
      <c r="AC510" s="37">
        <v>0</v>
      </c>
      <c r="AD510" s="37">
        <v>0</v>
      </c>
      <c r="AE510" s="37">
        <v>0</v>
      </c>
      <c r="AF510" s="37">
        <v>0</v>
      </c>
      <c r="AG510" s="59">
        <v>0</v>
      </c>
      <c r="AH510" s="37">
        <v>0</v>
      </c>
      <c r="AI510" s="37">
        <v>3750</v>
      </c>
      <c r="AJ510" s="37">
        <v>0</v>
      </c>
      <c r="AK510" s="37">
        <v>0</v>
      </c>
      <c r="AL510" s="37">
        <v>1625</v>
      </c>
      <c r="AM510" s="37">
        <v>0</v>
      </c>
      <c r="AN510" s="37">
        <v>500</v>
      </c>
      <c r="AO510" s="37">
        <v>0</v>
      </c>
      <c r="AP510" s="37">
        <v>0</v>
      </c>
      <c r="AQ510" s="37">
        <v>0</v>
      </c>
      <c r="AR510" s="37">
        <v>0</v>
      </c>
      <c r="AS510" s="59">
        <v>5875</v>
      </c>
      <c r="AT510" s="59">
        <v>5875</v>
      </c>
      <c r="AU510" s="45"/>
      <c r="AV510" s="37">
        <v>0</v>
      </c>
      <c r="AW510" s="37">
        <v>0</v>
      </c>
      <c r="AX510" s="37">
        <v>0</v>
      </c>
      <c r="AY510" s="37">
        <v>0</v>
      </c>
      <c r="AZ510" s="37">
        <v>0</v>
      </c>
      <c r="BA510" s="37">
        <v>0</v>
      </c>
      <c r="BB510" s="37">
        <v>0</v>
      </c>
      <c r="BC510" s="37">
        <v>0</v>
      </c>
      <c r="BD510" s="37">
        <v>0</v>
      </c>
      <c r="BE510" s="37">
        <v>0</v>
      </c>
      <c r="BF510" s="37">
        <v>0</v>
      </c>
      <c r="BG510" s="37">
        <v>0</v>
      </c>
      <c r="BH510" s="37">
        <v>0</v>
      </c>
      <c r="BI510" s="37">
        <v>0</v>
      </c>
      <c r="BJ510" s="37">
        <v>0</v>
      </c>
      <c r="BK510" s="59">
        <v>0</v>
      </c>
      <c r="BL510" s="37">
        <v>0</v>
      </c>
      <c r="BM510" s="37">
        <v>0</v>
      </c>
      <c r="BN510" s="37">
        <v>0</v>
      </c>
      <c r="BO510" s="37">
        <v>0</v>
      </c>
      <c r="BP510" s="37">
        <v>0</v>
      </c>
      <c r="BQ510" s="37">
        <v>0</v>
      </c>
      <c r="BR510" s="37">
        <v>0</v>
      </c>
      <c r="BS510" s="37">
        <v>0</v>
      </c>
      <c r="BT510" s="37">
        <v>0</v>
      </c>
      <c r="BU510" s="37">
        <v>0</v>
      </c>
      <c r="BV510" s="37">
        <v>0</v>
      </c>
      <c r="BW510" s="59">
        <v>0</v>
      </c>
      <c r="BX510" s="59">
        <v>0</v>
      </c>
      <c r="BZ510" s="37">
        <v>0</v>
      </c>
      <c r="CA510" s="37">
        <v>0</v>
      </c>
      <c r="CB510" s="37">
        <v>0</v>
      </c>
      <c r="CC510" s="37">
        <v>0</v>
      </c>
      <c r="CD510" s="37">
        <v>0</v>
      </c>
      <c r="CE510" s="37">
        <v>0</v>
      </c>
      <c r="CF510" s="37">
        <v>0</v>
      </c>
      <c r="CG510" s="59">
        <v>0</v>
      </c>
      <c r="CH510" s="37">
        <v>3750</v>
      </c>
      <c r="CI510" s="37">
        <v>1625</v>
      </c>
      <c r="CJ510" s="37">
        <v>500</v>
      </c>
      <c r="CK510" s="37">
        <v>0</v>
      </c>
      <c r="CL510" s="37">
        <v>0</v>
      </c>
      <c r="CM510" s="37">
        <v>0</v>
      </c>
      <c r="CN510" s="59">
        <v>5875</v>
      </c>
      <c r="CO510" s="59">
        <v>5875</v>
      </c>
      <c r="CP510" s="58"/>
      <c r="CQ510" s="3">
        <v>5875</v>
      </c>
    </row>
    <row r="511" spans="1:95" customFormat="1" x14ac:dyDescent="0.2">
      <c r="A511" s="209">
        <v>43413</v>
      </c>
      <c r="B511" s="33" t="s">
        <v>55</v>
      </c>
      <c r="C511" s="33" t="s">
        <v>56</v>
      </c>
      <c r="D511" s="43">
        <v>0</v>
      </c>
      <c r="E511" s="43">
        <v>0</v>
      </c>
      <c r="F511" s="43">
        <v>0</v>
      </c>
      <c r="G511" s="43">
        <v>0</v>
      </c>
      <c r="H511" s="43">
        <v>0</v>
      </c>
      <c r="I511" s="43">
        <v>0</v>
      </c>
      <c r="J511" s="43">
        <v>0</v>
      </c>
      <c r="K511" s="43">
        <v>0</v>
      </c>
      <c r="L511" s="43">
        <v>0</v>
      </c>
      <c r="M511" s="43">
        <v>0</v>
      </c>
      <c r="N511" s="43">
        <v>0</v>
      </c>
      <c r="O511" s="43">
        <v>0</v>
      </c>
      <c r="P511" s="47">
        <v>0</v>
      </c>
      <c r="R511" s="37">
        <v>0</v>
      </c>
      <c r="S511" s="37">
        <v>0</v>
      </c>
      <c r="T511" s="37">
        <v>4000</v>
      </c>
      <c r="U511" s="37">
        <v>0</v>
      </c>
      <c r="V511" s="37">
        <v>2000</v>
      </c>
      <c r="W511" s="37">
        <v>0</v>
      </c>
      <c r="X511" s="37">
        <v>800</v>
      </c>
      <c r="Y511" s="37">
        <v>0</v>
      </c>
      <c r="Z511" s="37">
        <v>400</v>
      </c>
      <c r="AA511" s="37">
        <v>0</v>
      </c>
      <c r="AB511" s="37">
        <v>200</v>
      </c>
      <c r="AC511" s="37">
        <v>0</v>
      </c>
      <c r="AD511" s="37">
        <v>80</v>
      </c>
      <c r="AE511" s="37">
        <v>0</v>
      </c>
      <c r="AF511" s="37">
        <v>0</v>
      </c>
      <c r="AG511" s="59">
        <v>7480</v>
      </c>
      <c r="AH511" s="37">
        <v>0</v>
      </c>
      <c r="AI511" s="37">
        <v>0</v>
      </c>
      <c r="AJ511" s="37">
        <v>0</v>
      </c>
      <c r="AK511" s="37">
        <v>0</v>
      </c>
      <c r="AL511" s="37">
        <v>0</v>
      </c>
      <c r="AM511" s="37">
        <v>0</v>
      </c>
      <c r="AN511" s="37">
        <v>0</v>
      </c>
      <c r="AO511" s="37">
        <v>0</v>
      </c>
      <c r="AP511" s="37">
        <v>0</v>
      </c>
      <c r="AQ511" s="37">
        <v>0</v>
      </c>
      <c r="AR511" s="37">
        <v>0</v>
      </c>
      <c r="AS511" s="59">
        <v>0</v>
      </c>
      <c r="AT511" s="59">
        <v>7480</v>
      </c>
      <c r="AU511" s="45"/>
      <c r="AV511" s="37">
        <v>0</v>
      </c>
      <c r="AW511" s="37">
        <v>0</v>
      </c>
      <c r="AX511" s="37">
        <v>0</v>
      </c>
      <c r="AY511" s="37">
        <v>0</v>
      </c>
      <c r="AZ511" s="37">
        <v>0</v>
      </c>
      <c r="BA511" s="37">
        <v>0</v>
      </c>
      <c r="BB511" s="37">
        <v>0</v>
      </c>
      <c r="BC511" s="37">
        <v>0</v>
      </c>
      <c r="BD511" s="37">
        <v>0</v>
      </c>
      <c r="BE511" s="37">
        <v>0</v>
      </c>
      <c r="BF511" s="37">
        <v>0</v>
      </c>
      <c r="BG511" s="37">
        <v>0</v>
      </c>
      <c r="BH511" s="37">
        <v>0</v>
      </c>
      <c r="BI511" s="37">
        <v>0</v>
      </c>
      <c r="BJ511" s="37">
        <v>0</v>
      </c>
      <c r="BK511" s="59">
        <v>0</v>
      </c>
      <c r="BL511" s="37">
        <v>0</v>
      </c>
      <c r="BM511" s="37">
        <v>0</v>
      </c>
      <c r="BN511" s="37">
        <v>0</v>
      </c>
      <c r="BO511" s="37">
        <v>0</v>
      </c>
      <c r="BP511" s="37">
        <v>0</v>
      </c>
      <c r="BQ511" s="37">
        <v>0</v>
      </c>
      <c r="BR511" s="37">
        <v>0</v>
      </c>
      <c r="BS511" s="37">
        <v>0</v>
      </c>
      <c r="BT511" s="37">
        <v>0</v>
      </c>
      <c r="BU511" s="37">
        <v>0</v>
      </c>
      <c r="BV511" s="37">
        <v>0</v>
      </c>
      <c r="BW511" s="59">
        <v>0</v>
      </c>
      <c r="BX511" s="59">
        <v>0</v>
      </c>
      <c r="BZ511" s="37">
        <v>4000</v>
      </c>
      <c r="CA511" s="37">
        <v>2000</v>
      </c>
      <c r="CB511" s="37">
        <v>800</v>
      </c>
      <c r="CC511" s="37">
        <v>400</v>
      </c>
      <c r="CD511" s="37">
        <v>200</v>
      </c>
      <c r="CE511" s="37">
        <v>80</v>
      </c>
      <c r="CF511" s="37">
        <v>0</v>
      </c>
      <c r="CG511" s="59">
        <v>7480</v>
      </c>
      <c r="CH511" s="37">
        <v>0</v>
      </c>
      <c r="CI511" s="37">
        <v>0</v>
      </c>
      <c r="CJ511" s="37">
        <v>0</v>
      </c>
      <c r="CK511" s="37">
        <v>0</v>
      </c>
      <c r="CL511" s="37">
        <v>0</v>
      </c>
      <c r="CM511" s="37">
        <v>0</v>
      </c>
      <c r="CN511" s="59">
        <v>0</v>
      </c>
      <c r="CO511" s="59">
        <v>7480</v>
      </c>
      <c r="CP511" s="58"/>
      <c r="CQ511" s="3">
        <v>7480</v>
      </c>
    </row>
    <row r="512" spans="1:95" customFormat="1" x14ac:dyDescent="0.2">
      <c r="A512" s="209">
        <v>43413</v>
      </c>
      <c r="B512" s="33" t="s">
        <v>58</v>
      </c>
      <c r="C512" s="33" t="s">
        <v>59</v>
      </c>
      <c r="D512" s="43">
        <v>0</v>
      </c>
      <c r="E512" s="43">
        <v>0</v>
      </c>
      <c r="F512" s="43">
        <v>0</v>
      </c>
      <c r="G512" s="43">
        <v>0</v>
      </c>
      <c r="H512" s="43">
        <v>0</v>
      </c>
      <c r="I512" s="43">
        <v>0</v>
      </c>
      <c r="J512" s="43">
        <v>0</v>
      </c>
      <c r="K512" s="43">
        <v>1</v>
      </c>
      <c r="L512" s="43"/>
      <c r="M512" s="43"/>
      <c r="N512" s="43">
        <v>0</v>
      </c>
      <c r="O512" s="43">
        <v>0</v>
      </c>
      <c r="P512" s="47" t="s">
        <v>45</v>
      </c>
      <c r="R512" s="37">
        <v>0</v>
      </c>
      <c r="S512" s="37">
        <v>0</v>
      </c>
      <c r="T512" s="37">
        <v>1400000</v>
      </c>
      <c r="U512" s="37">
        <v>0</v>
      </c>
      <c r="V512" s="37">
        <v>750000</v>
      </c>
      <c r="W512" s="37">
        <v>0</v>
      </c>
      <c r="X512" s="37">
        <v>0</v>
      </c>
      <c r="Y512" s="37">
        <v>0</v>
      </c>
      <c r="Z512" s="37">
        <v>60000</v>
      </c>
      <c r="AA512" s="37">
        <v>0</v>
      </c>
      <c r="AB512" s="37">
        <v>10000</v>
      </c>
      <c r="AC512" s="37">
        <v>0</v>
      </c>
      <c r="AD512" s="37">
        <v>10000</v>
      </c>
      <c r="AE512" s="37">
        <v>0</v>
      </c>
      <c r="AF512" s="37">
        <v>0</v>
      </c>
      <c r="AG512" s="59">
        <v>2230000</v>
      </c>
      <c r="AH512" s="37">
        <v>0</v>
      </c>
      <c r="AI512" s="37">
        <v>0</v>
      </c>
      <c r="AJ512" s="37">
        <v>0</v>
      </c>
      <c r="AK512" s="37">
        <v>0</v>
      </c>
      <c r="AL512" s="37">
        <v>0</v>
      </c>
      <c r="AM512" s="37">
        <v>0</v>
      </c>
      <c r="AN512" s="37">
        <v>200</v>
      </c>
      <c r="AO512" s="37">
        <v>0</v>
      </c>
      <c r="AP512" s="37">
        <v>0</v>
      </c>
      <c r="AQ512" s="37">
        <v>0</v>
      </c>
      <c r="AR512" s="37">
        <v>0</v>
      </c>
      <c r="AS512" s="59">
        <v>200</v>
      </c>
      <c r="AT512" s="59">
        <v>2230200</v>
      </c>
      <c r="AU512" s="45"/>
      <c r="AV512" s="37">
        <v>0</v>
      </c>
      <c r="AW512" s="37">
        <v>0</v>
      </c>
      <c r="AX512" s="37">
        <v>0</v>
      </c>
      <c r="AY512" s="37">
        <v>0</v>
      </c>
      <c r="AZ512" s="37">
        <v>0</v>
      </c>
      <c r="BA512" s="37">
        <v>0</v>
      </c>
      <c r="BB512" s="37">
        <v>0</v>
      </c>
      <c r="BC512" s="37">
        <v>0</v>
      </c>
      <c r="BD512" s="37">
        <v>0</v>
      </c>
      <c r="BE512" s="37">
        <v>0</v>
      </c>
      <c r="BF512" s="37">
        <v>0</v>
      </c>
      <c r="BG512" s="37">
        <v>0</v>
      </c>
      <c r="BH512" s="37">
        <v>0</v>
      </c>
      <c r="BI512" s="37">
        <v>0</v>
      </c>
      <c r="BJ512" s="37">
        <v>0</v>
      </c>
      <c r="BK512" s="59">
        <v>0</v>
      </c>
      <c r="BL512" s="37">
        <v>0</v>
      </c>
      <c r="BM512" s="37">
        <v>0</v>
      </c>
      <c r="BN512" s="37">
        <v>0</v>
      </c>
      <c r="BO512" s="37">
        <v>0</v>
      </c>
      <c r="BP512" s="37">
        <v>0</v>
      </c>
      <c r="BQ512" s="37">
        <v>0</v>
      </c>
      <c r="BR512" s="37">
        <v>0</v>
      </c>
      <c r="BS512" s="37">
        <v>0</v>
      </c>
      <c r="BT512" s="37">
        <v>0</v>
      </c>
      <c r="BU512" s="37">
        <v>0</v>
      </c>
      <c r="BV512" s="37">
        <v>0</v>
      </c>
      <c r="BW512" s="59">
        <v>0</v>
      </c>
      <c r="BX512" s="59">
        <v>0</v>
      </c>
      <c r="BZ512" s="37">
        <v>1400000</v>
      </c>
      <c r="CA512" s="37">
        <v>750000</v>
      </c>
      <c r="CB512" s="37">
        <v>0</v>
      </c>
      <c r="CC512" s="37">
        <v>60000</v>
      </c>
      <c r="CD512" s="37">
        <v>10000</v>
      </c>
      <c r="CE512" s="37">
        <v>10000</v>
      </c>
      <c r="CF512" s="37">
        <v>0</v>
      </c>
      <c r="CG512" s="59">
        <v>2230000</v>
      </c>
      <c r="CH512" s="37">
        <v>0</v>
      </c>
      <c r="CI512" s="37">
        <v>0</v>
      </c>
      <c r="CJ512" s="37">
        <v>200</v>
      </c>
      <c r="CK512" s="37">
        <v>0</v>
      </c>
      <c r="CL512" s="37">
        <v>0</v>
      </c>
      <c r="CM512" s="37">
        <v>0</v>
      </c>
      <c r="CN512" s="59">
        <v>200</v>
      </c>
      <c r="CO512" s="59">
        <v>2230200</v>
      </c>
      <c r="CP512" s="58"/>
      <c r="CQ512" s="3">
        <v>2230200</v>
      </c>
    </row>
    <row r="513" spans="1:95" customFormat="1" x14ac:dyDescent="0.2">
      <c r="A513" s="209">
        <v>43413</v>
      </c>
      <c r="B513" s="33" t="s">
        <v>53</v>
      </c>
      <c r="C513" s="33" t="s">
        <v>54</v>
      </c>
      <c r="D513" s="43">
        <v>1</v>
      </c>
      <c r="E513" s="43">
        <v>0</v>
      </c>
      <c r="F513" s="43">
        <v>0</v>
      </c>
      <c r="G513" s="43">
        <v>0</v>
      </c>
      <c r="H513" s="43">
        <v>0</v>
      </c>
      <c r="I513" s="43">
        <v>0</v>
      </c>
      <c r="J513" s="43">
        <v>0</v>
      </c>
      <c r="K513" s="43">
        <v>0</v>
      </c>
      <c r="L513" s="43">
        <v>0</v>
      </c>
      <c r="M513" s="43">
        <v>0</v>
      </c>
      <c r="N513" s="43">
        <v>0</v>
      </c>
      <c r="O513" s="43">
        <v>0</v>
      </c>
      <c r="P513" s="47" t="s">
        <v>45</v>
      </c>
      <c r="R513" s="37">
        <v>0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v>0</v>
      </c>
      <c r="AD513" s="37">
        <v>0</v>
      </c>
      <c r="AE513" s="37">
        <v>0</v>
      </c>
      <c r="AF513" s="37">
        <v>0</v>
      </c>
      <c r="AG513" s="59">
        <v>0</v>
      </c>
      <c r="AH513" s="37">
        <v>0</v>
      </c>
      <c r="AI513" s="37">
        <v>0</v>
      </c>
      <c r="AJ513" s="37">
        <v>0</v>
      </c>
      <c r="AK513" s="37">
        <v>0</v>
      </c>
      <c r="AL513" s="37">
        <v>0</v>
      </c>
      <c r="AM513" s="37">
        <v>0</v>
      </c>
      <c r="AN513" s="37">
        <v>0</v>
      </c>
      <c r="AO513" s="37">
        <v>0</v>
      </c>
      <c r="AP513" s="37">
        <v>200</v>
      </c>
      <c r="AQ513" s="37">
        <v>0</v>
      </c>
      <c r="AR513" s="37">
        <v>0</v>
      </c>
      <c r="AS513" s="59">
        <v>200</v>
      </c>
      <c r="AT513" s="59">
        <v>200</v>
      </c>
      <c r="AU513" s="45"/>
      <c r="AV513" s="37">
        <v>0</v>
      </c>
      <c r="AW513" s="37">
        <v>0</v>
      </c>
      <c r="AX513" s="37">
        <v>0</v>
      </c>
      <c r="AY513" s="37">
        <v>0</v>
      </c>
      <c r="AZ513" s="37">
        <v>0</v>
      </c>
      <c r="BA513" s="37">
        <v>0</v>
      </c>
      <c r="BB513" s="37">
        <v>0</v>
      </c>
      <c r="BC513" s="37">
        <v>0</v>
      </c>
      <c r="BD513" s="37">
        <v>0</v>
      </c>
      <c r="BE513" s="37">
        <v>0</v>
      </c>
      <c r="BF513" s="37">
        <v>0</v>
      </c>
      <c r="BG513" s="37">
        <v>0</v>
      </c>
      <c r="BH513" s="37">
        <v>0</v>
      </c>
      <c r="BI513" s="37">
        <v>0</v>
      </c>
      <c r="BJ513" s="37">
        <v>0</v>
      </c>
      <c r="BK513" s="59">
        <v>0</v>
      </c>
      <c r="BL513" s="37">
        <v>0</v>
      </c>
      <c r="BM513" s="37">
        <v>0</v>
      </c>
      <c r="BN513" s="37">
        <v>0</v>
      </c>
      <c r="BO513" s="37">
        <v>0</v>
      </c>
      <c r="BP513" s="37">
        <v>0</v>
      </c>
      <c r="BQ513" s="37">
        <v>0</v>
      </c>
      <c r="BR513" s="37">
        <v>0</v>
      </c>
      <c r="BS513" s="37">
        <v>0</v>
      </c>
      <c r="BT513" s="37">
        <v>0</v>
      </c>
      <c r="BU513" s="37">
        <v>0</v>
      </c>
      <c r="BV513" s="37">
        <v>0</v>
      </c>
      <c r="BW513" s="59">
        <v>0</v>
      </c>
      <c r="BX513" s="59">
        <v>0</v>
      </c>
      <c r="BZ513" s="37">
        <v>0</v>
      </c>
      <c r="CA513" s="37">
        <v>0</v>
      </c>
      <c r="CB513" s="37">
        <v>0</v>
      </c>
      <c r="CC513" s="37">
        <v>0</v>
      </c>
      <c r="CD513" s="37">
        <v>0</v>
      </c>
      <c r="CE513" s="37">
        <v>0</v>
      </c>
      <c r="CF513" s="37">
        <v>0</v>
      </c>
      <c r="CG513" s="59">
        <v>0</v>
      </c>
      <c r="CH513" s="37">
        <v>0</v>
      </c>
      <c r="CI513" s="37">
        <v>0</v>
      </c>
      <c r="CJ513" s="37">
        <v>0</v>
      </c>
      <c r="CK513" s="37">
        <v>200</v>
      </c>
      <c r="CL513" s="37">
        <v>0</v>
      </c>
      <c r="CM513" s="37">
        <v>0</v>
      </c>
      <c r="CN513" s="59">
        <v>200</v>
      </c>
      <c r="CO513" s="59">
        <v>200</v>
      </c>
      <c r="CP513" s="58"/>
      <c r="CQ513" s="3">
        <v>200</v>
      </c>
    </row>
    <row r="514" spans="1:95" customFormat="1" x14ac:dyDescent="0.2">
      <c r="A514" s="209">
        <v>43416</v>
      </c>
      <c r="B514" s="33" t="s">
        <v>55</v>
      </c>
      <c r="C514" s="33" t="s">
        <v>56</v>
      </c>
      <c r="D514" s="43">
        <v>0</v>
      </c>
      <c r="E514" s="43">
        <v>0</v>
      </c>
      <c r="F514" s="43">
        <v>0</v>
      </c>
      <c r="G514" s="43">
        <v>0</v>
      </c>
      <c r="H514" s="43">
        <v>0</v>
      </c>
      <c r="I514" s="43">
        <v>0</v>
      </c>
      <c r="J514" s="43">
        <v>0</v>
      </c>
      <c r="K514" s="43">
        <v>0</v>
      </c>
      <c r="L514" s="43">
        <v>0</v>
      </c>
      <c r="M514" s="43">
        <v>0</v>
      </c>
      <c r="N514" s="43">
        <v>0</v>
      </c>
      <c r="O514" s="43">
        <v>0</v>
      </c>
      <c r="P514" s="47">
        <v>0</v>
      </c>
      <c r="R514" s="37">
        <v>0</v>
      </c>
      <c r="S514" s="37">
        <v>0</v>
      </c>
      <c r="T514" s="37">
        <v>4000</v>
      </c>
      <c r="U514" s="37">
        <v>0</v>
      </c>
      <c r="V514" s="37">
        <v>2000</v>
      </c>
      <c r="W514" s="37">
        <v>0</v>
      </c>
      <c r="X514" s="37">
        <v>800</v>
      </c>
      <c r="Y514" s="37">
        <v>0</v>
      </c>
      <c r="Z514" s="37">
        <v>400</v>
      </c>
      <c r="AA514" s="37">
        <v>0</v>
      </c>
      <c r="AB514" s="37">
        <v>200</v>
      </c>
      <c r="AC514" s="37">
        <v>0</v>
      </c>
      <c r="AD514" s="37">
        <v>80</v>
      </c>
      <c r="AE514" s="37">
        <v>0</v>
      </c>
      <c r="AF514" s="37">
        <v>0</v>
      </c>
      <c r="AG514" s="59">
        <v>7480</v>
      </c>
      <c r="AH514" s="37">
        <v>0</v>
      </c>
      <c r="AI514" s="37">
        <v>0</v>
      </c>
      <c r="AJ514" s="37">
        <v>0</v>
      </c>
      <c r="AK514" s="37">
        <v>0</v>
      </c>
      <c r="AL514" s="37">
        <v>0</v>
      </c>
      <c r="AM514" s="37">
        <v>0</v>
      </c>
      <c r="AN514" s="37">
        <v>0</v>
      </c>
      <c r="AO514" s="37">
        <v>0</v>
      </c>
      <c r="AP514" s="37">
        <v>0</v>
      </c>
      <c r="AQ514" s="37">
        <v>0</v>
      </c>
      <c r="AR514" s="37">
        <v>0</v>
      </c>
      <c r="AS514" s="59">
        <v>0</v>
      </c>
      <c r="AT514" s="59">
        <v>7480</v>
      </c>
      <c r="AU514" s="45"/>
      <c r="AV514" s="37">
        <v>0</v>
      </c>
      <c r="AW514" s="37">
        <v>0</v>
      </c>
      <c r="AX514" s="37">
        <v>0</v>
      </c>
      <c r="AY514" s="37">
        <v>0</v>
      </c>
      <c r="AZ514" s="37">
        <v>0</v>
      </c>
      <c r="BA514" s="37">
        <v>0</v>
      </c>
      <c r="BB514" s="37">
        <v>0</v>
      </c>
      <c r="BC514" s="37">
        <v>0</v>
      </c>
      <c r="BD514" s="37">
        <v>0</v>
      </c>
      <c r="BE514" s="37">
        <v>0</v>
      </c>
      <c r="BF514" s="37">
        <v>0</v>
      </c>
      <c r="BG514" s="37">
        <v>0</v>
      </c>
      <c r="BH514" s="37">
        <v>0</v>
      </c>
      <c r="BI514" s="37">
        <v>0</v>
      </c>
      <c r="BJ514" s="37">
        <v>0</v>
      </c>
      <c r="BK514" s="59">
        <v>0</v>
      </c>
      <c r="BL514" s="37">
        <v>0</v>
      </c>
      <c r="BM514" s="37">
        <v>0</v>
      </c>
      <c r="BN514" s="37">
        <v>0</v>
      </c>
      <c r="BO514" s="37">
        <v>0</v>
      </c>
      <c r="BP514" s="37">
        <v>0</v>
      </c>
      <c r="BQ514" s="37">
        <v>0</v>
      </c>
      <c r="BR514" s="37">
        <v>0</v>
      </c>
      <c r="BS514" s="37">
        <v>0</v>
      </c>
      <c r="BT514" s="37">
        <v>0</v>
      </c>
      <c r="BU514" s="37">
        <v>0</v>
      </c>
      <c r="BV514" s="37">
        <v>0</v>
      </c>
      <c r="BW514" s="59">
        <v>0</v>
      </c>
      <c r="BX514" s="59">
        <v>0</v>
      </c>
      <c r="BZ514" s="37">
        <v>4000</v>
      </c>
      <c r="CA514" s="37">
        <v>2000</v>
      </c>
      <c r="CB514" s="37">
        <v>800</v>
      </c>
      <c r="CC514" s="37">
        <v>400</v>
      </c>
      <c r="CD514" s="37">
        <v>200</v>
      </c>
      <c r="CE514" s="37">
        <v>80</v>
      </c>
      <c r="CF514" s="37">
        <v>0</v>
      </c>
      <c r="CG514" s="59">
        <v>7480</v>
      </c>
      <c r="CH514" s="37">
        <v>0</v>
      </c>
      <c r="CI514" s="37">
        <v>0</v>
      </c>
      <c r="CJ514" s="37">
        <v>0</v>
      </c>
      <c r="CK514" s="37">
        <v>0</v>
      </c>
      <c r="CL514" s="37">
        <v>0</v>
      </c>
      <c r="CM514" s="37">
        <v>0</v>
      </c>
      <c r="CN514" s="59">
        <v>0</v>
      </c>
      <c r="CO514" s="59">
        <v>7480</v>
      </c>
      <c r="CP514" s="58"/>
      <c r="CQ514" s="3">
        <v>7480</v>
      </c>
    </row>
    <row r="515" spans="1:95" customFormat="1" x14ac:dyDescent="0.2">
      <c r="A515" s="209">
        <v>43417</v>
      </c>
      <c r="B515" s="33" t="s">
        <v>55</v>
      </c>
      <c r="C515" s="33" t="s">
        <v>56</v>
      </c>
      <c r="D515" s="43">
        <v>0</v>
      </c>
      <c r="E515" s="43">
        <v>0</v>
      </c>
      <c r="F515" s="43">
        <v>0</v>
      </c>
      <c r="G515" s="43">
        <v>0</v>
      </c>
      <c r="H515" s="43">
        <v>0</v>
      </c>
      <c r="I515" s="43">
        <v>0</v>
      </c>
      <c r="J515" s="43">
        <v>0</v>
      </c>
      <c r="K515" s="43">
        <v>0</v>
      </c>
      <c r="L515" s="43">
        <v>0</v>
      </c>
      <c r="M515" s="43">
        <v>0</v>
      </c>
      <c r="N515" s="43">
        <v>0</v>
      </c>
      <c r="O515" s="43">
        <v>0</v>
      </c>
      <c r="P515" s="47">
        <v>0</v>
      </c>
      <c r="R515" s="37">
        <v>0</v>
      </c>
      <c r="S515" s="37">
        <v>0</v>
      </c>
      <c r="T515" s="37">
        <v>4000</v>
      </c>
      <c r="U515" s="37">
        <v>0</v>
      </c>
      <c r="V515" s="37">
        <v>2000</v>
      </c>
      <c r="W515" s="37">
        <v>0</v>
      </c>
      <c r="X515" s="37">
        <v>0</v>
      </c>
      <c r="Y515" s="37">
        <v>0</v>
      </c>
      <c r="Z515" s="37">
        <v>400</v>
      </c>
      <c r="AA515" s="37">
        <v>0</v>
      </c>
      <c r="AB515" s="37">
        <v>200</v>
      </c>
      <c r="AC515" s="37">
        <v>0</v>
      </c>
      <c r="AD515" s="37">
        <v>80</v>
      </c>
      <c r="AE515" s="37">
        <v>0</v>
      </c>
      <c r="AF515" s="37">
        <v>0</v>
      </c>
      <c r="AG515" s="59">
        <v>6680</v>
      </c>
      <c r="AH515" s="37">
        <v>0</v>
      </c>
      <c r="AI515" s="37">
        <v>0</v>
      </c>
      <c r="AJ515" s="37">
        <v>0</v>
      </c>
      <c r="AK515" s="37">
        <v>0</v>
      </c>
      <c r="AL515" s="37">
        <v>5</v>
      </c>
      <c r="AM515" s="37">
        <v>0</v>
      </c>
      <c r="AN515" s="37">
        <v>4</v>
      </c>
      <c r="AO515" s="37">
        <v>0</v>
      </c>
      <c r="AP515" s="37">
        <v>2</v>
      </c>
      <c r="AQ515" s="37">
        <v>0</v>
      </c>
      <c r="AR515" s="37">
        <v>0</v>
      </c>
      <c r="AS515" s="59">
        <v>11</v>
      </c>
      <c r="AT515" s="59">
        <v>6691</v>
      </c>
      <c r="AU515" s="45"/>
      <c r="AV515" s="37">
        <v>0</v>
      </c>
      <c r="AW515" s="37">
        <v>0</v>
      </c>
      <c r="AX515" s="37">
        <v>0</v>
      </c>
      <c r="AY515" s="37">
        <v>0</v>
      </c>
      <c r="AZ515" s="37">
        <v>0</v>
      </c>
      <c r="BA515" s="37">
        <v>0</v>
      </c>
      <c r="BB515" s="37">
        <v>0</v>
      </c>
      <c r="BC515" s="37">
        <v>0</v>
      </c>
      <c r="BD515" s="37">
        <v>0</v>
      </c>
      <c r="BE515" s="37">
        <v>0</v>
      </c>
      <c r="BF515" s="37">
        <v>0</v>
      </c>
      <c r="BG515" s="37">
        <v>0</v>
      </c>
      <c r="BH515" s="37">
        <v>0</v>
      </c>
      <c r="BI515" s="37">
        <v>0</v>
      </c>
      <c r="BJ515" s="37">
        <v>0</v>
      </c>
      <c r="BK515" s="59">
        <v>0</v>
      </c>
      <c r="BL515" s="37">
        <v>0</v>
      </c>
      <c r="BM515" s="37">
        <v>0</v>
      </c>
      <c r="BN515" s="37">
        <v>0</v>
      </c>
      <c r="BO515" s="37">
        <v>0</v>
      </c>
      <c r="BP515" s="37">
        <v>0</v>
      </c>
      <c r="BQ515" s="37">
        <v>0</v>
      </c>
      <c r="BR515" s="37">
        <v>0</v>
      </c>
      <c r="BS515" s="37">
        <v>0</v>
      </c>
      <c r="BT515" s="37">
        <v>0</v>
      </c>
      <c r="BU515" s="37">
        <v>0</v>
      </c>
      <c r="BV515" s="37">
        <v>0</v>
      </c>
      <c r="BW515" s="59">
        <v>0</v>
      </c>
      <c r="BX515" s="59">
        <v>0</v>
      </c>
      <c r="BZ515" s="37">
        <v>4000</v>
      </c>
      <c r="CA515" s="37">
        <v>2000</v>
      </c>
      <c r="CB515" s="37">
        <v>0</v>
      </c>
      <c r="CC515" s="37">
        <v>400</v>
      </c>
      <c r="CD515" s="37">
        <v>200</v>
      </c>
      <c r="CE515" s="37">
        <v>80</v>
      </c>
      <c r="CF515" s="37">
        <v>0</v>
      </c>
      <c r="CG515" s="59">
        <v>6680</v>
      </c>
      <c r="CH515" s="37">
        <v>0</v>
      </c>
      <c r="CI515" s="37">
        <v>5</v>
      </c>
      <c r="CJ515" s="37">
        <v>4</v>
      </c>
      <c r="CK515" s="37">
        <v>2</v>
      </c>
      <c r="CL515" s="37">
        <v>0</v>
      </c>
      <c r="CM515" s="37">
        <v>0</v>
      </c>
      <c r="CN515" s="59">
        <v>11</v>
      </c>
      <c r="CO515" s="59">
        <v>6691</v>
      </c>
      <c r="CP515" s="58"/>
      <c r="CQ515" s="3">
        <v>6691</v>
      </c>
    </row>
    <row r="516" spans="1:95" customFormat="1" x14ac:dyDescent="0.2">
      <c r="A516" s="209">
        <v>43417</v>
      </c>
      <c r="B516" s="33" t="s">
        <v>53</v>
      </c>
      <c r="C516" s="33" t="s">
        <v>54</v>
      </c>
      <c r="D516" s="43">
        <v>1</v>
      </c>
      <c r="E516" s="43">
        <v>0</v>
      </c>
      <c r="F516" s="43">
        <v>0</v>
      </c>
      <c r="G516" s="43">
        <v>0</v>
      </c>
      <c r="H516" s="43">
        <v>0</v>
      </c>
      <c r="I516" s="43">
        <v>0</v>
      </c>
      <c r="J516" s="43">
        <v>0</v>
      </c>
      <c r="K516" s="43">
        <v>0</v>
      </c>
      <c r="L516" s="43">
        <v>0</v>
      </c>
      <c r="M516" s="43">
        <v>0</v>
      </c>
      <c r="N516" s="43">
        <v>0</v>
      </c>
      <c r="O516" s="43">
        <v>0</v>
      </c>
      <c r="P516" s="47" t="s">
        <v>45</v>
      </c>
      <c r="R516" s="37">
        <v>0</v>
      </c>
      <c r="S516" s="37">
        <v>0</v>
      </c>
      <c r="T516" s="37">
        <v>0</v>
      </c>
      <c r="U516" s="37">
        <v>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7">
        <v>0</v>
      </c>
      <c r="AB516" s="37">
        <v>0</v>
      </c>
      <c r="AC516" s="37">
        <v>0</v>
      </c>
      <c r="AD516" s="37">
        <v>0</v>
      </c>
      <c r="AE516" s="37">
        <v>0</v>
      </c>
      <c r="AF516" s="37">
        <v>0</v>
      </c>
      <c r="AG516" s="59">
        <v>0</v>
      </c>
      <c r="AH516" s="37">
        <v>2250</v>
      </c>
      <c r="AI516" s="37">
        <v>0</v>
      </c>
      <c r="AJ516" s="37">
        <v>1000</v>
      </c>
      <c r="AK516" s="37">
        <v>0</v>
      </c>
      <c r="AL516" s="37">
        <v>0</v>
      </c>
      <c r="AM516" s="37">
        <v>0</v>
      </c>
      <c r="AN516" s="37">
        <v>0</v>
      </c>
      <c r="AO516" s="37">
        <v>0</v>
      </c>
      <c r="AP516" s="37">
        <v>0</v>
      </c>
      <c r="AQ516" s="37">
        <v>0</v>
      </c>
      <c r="AR516" s="37">
        <v>0</v>
      </c>
      <c r="AS516" s="59">
        <v>3250</v>
      </c>
      <c r="AT516" s="59">
        <v>3250</v>
      </c>
      <c r="AU516" s="45"/>
      <c r="AV516" s="37">
        <v>0</v>
      </c>
      <c r="AW516" s="37">
        <v>0</v>
      </c>
      <c r="AX516" s="37">
        <v>0</v>
      </c>
      <c r="AY516" s="37">
        <v>0</v>
      </c>
      <c r="AZ516" s="37">
        <v>0</v>
      </c>
      <c r="BA516" s="37">
        <v>0</v>
      </c>
      <c r="BB516" s="37">
        <v>0</v>
      </c>
      <c r="BC516" s="37">
        <v>0</v>
      </c>
      <c r="BD516" s="37">
        <v>0</v>
      </c>
      <c r="BE516" s="37">
        <v>0</v>
      </c>
      <c r="BF516" s="37">
        <v>0</v>
      </c>
      <c r="BG516" s="37">
        <v>0</v>
      </c>
      <c r="BH516" s="37">
        <v>0</v>
      </c>
      <c r="BI516" s="37">
        <v>0</v>
      </c>
      <c r="BJ516" s="37">
        <v>0</v>
      </c>
      <c r="BK516" s="59">
        <v>0</v>
      </c>
      <c r="BL516" s="37">
        <v>0</v>
      </c>
      <c r="BM516" s="37">
        <v>0</v>
      </c>
      <c r="BN516" s="37">
        <v>0</v>
      </c>
      <c r="BO516" s="37">
        <v>0</v>
      </c>
      <c r="BP516" s="37">
        <v>0</v>
      </c>
      <c r="BQ516" s="37">
        <v>0</v>
      </c>
      <c r="BR516" s="37">
        <v>0</v>
      </c>
      <c r="BS516" s="37">
        <v>0</v>
      </c>
      <c r="BT516" s="37">
        <v>0</v>
      </c>
      <c r="BU516" s="37">
        <v>0</v>
      </c>
      <c r="BV516" s="37">
        <v>0</v>
      </c>
      <c r="BW516" s="59">
        <v>0</v>
      </c>
      <c r="BX516" s="59">
        <v>0</v>
      </c>
      <c r="BZ516" s="37">
        <v>0</v>
      </c>
      <c r="CA516" s="37">
        <v>0</v>
      </c>
      <c r="CB516" s="37">
        <v>0</v>
      </c>
      <c r="CC516" s="37">
        <v>0</v>
      </c>
      <c r="CD516" s="37">
        <v>0</v>
      </c>
      <c r="CE516" s="37">
        <v>0</v>
      </c>
      <c r="CF516" s="37">
        <v>0</v>
      </c>
      <c r="CG516" s="59">
        <v>0</v>
      </c>
      <c r="CH516" s="37">
        <v>2250</v>
      </c>
      <c r="CI516" s="37">
        <v>1000</v>
      </c>
      <c r="CJ516" s="37">
        <v>0</v>
      </c>
      <c r="CK516" s="37">
        <v>0</v>
      </c>
      <c r="CL516" s="37">
        <v>0</v>
      </c>
      <c r="CM516" s="37">
        <v>0</v>
      </c>
      <c r="CN516" s="59">
        <v>3250</v>
      </c>
      <c r="CO516" s="59">
        <v>3250</v>
      </c>
      <c r="CP516" s="58"/>
      <c r="CQ516" s="3">
        <v>3250</v>
      </c>
    </row>
    <row r="517" spans="1:95" customFormat="1" x14ac:dyDescent="0.2">
      <c r="A517" s="209">
        <v>43417</v>
      </c>
      <c r="B517" s="33" t="s">
        <v>60</v>
      </c>
      <c r="C517" s="33" t="s">
        <v>151</v>
      </c>
      <c r="D517" s="43">
        <v>0</v>
      </c>
      <c r="E517" s="43">
        <v>0</v>
      </c>
      <c r="F517" s="43">
        <v>0</v>
      </c>
      <c r="G517" s="43">
        <v>0</v>
      </c>
      <c r="H517" s="43">
        <v>0</v>
      </c>
      <c r="I517" s="43">
        <v>0</v>
      </c>
      <c r="J517" s="43">
        <v>0</v>
      </c>
      <c r="K517" s="43">
        <v>0</v>
      </c>
      <c r="L517" s="43">
        <v>0</v>
      </c>
      <c r="M517" s="43">
        <v>0</v>
      </c>
      <c r="N517" s="43">
        <v>1</v>
      </c>
      <c r="O517" s="43">
        <v>0</v>
      </c>
      <c r="P517" s="47" t="s">
        <v>45</v>
      </c>
      <c r="R517" s="37">
        <v>0</v>
      </c>
      <c r="S517" s="37">
        <v>0</v>
      </c>
      <c r="T517" s="37">
        <v>600000</v>
      </c>
      <c r="U517" s="37">
        <v>0</v>
      </c>
      <c r="V517" s="37">
        <v>400000</v>
      </c>
      <c r="W517" s="37">
        <v>0</v>
      </c>
      <c r="X517" s="37">
        <v>0</v>
      </c>
      <c r="Y517" s="37">
        <v>0</v>
      </c>
      <c r="Z517" s="37">
        <v>60000</v>
      </c>
      <c r="AA517" s="37">
        <v>0</v>
      </c>
      <c r="AB517" s="37">
        <v>0</v>
      </c>
      <c r="AC517" s="37">
        <v>0</v>
      </c>
      <c r="AD517" s="37">
        <v>0</v>
      </c>
      <c r="AE517" s="37">
        <v>0</v>
      </c>
      <c r="AF517" s="37">
        <v>0</v>
      </c>
      <c r="AG517" s="59">
        <v>1060000</v>
      </c>
      <c r="AH517" s="37">
        <v>0</v>
      </c>
      <c r="AI517" s="37">
        <v>400</v>
      </c>
      <c r="AJ517" s="37">
        <v>0</v>
      </c>
      <c r="AK517" s="37">
        <v>0</v>
      </c>
      <c r="AL517" s="37">
        <v>800</v>
      </c>
      <c r="AM517" s="37">
        <v>0</v>
      </c>
      <c r="AN517" s="37">
        <v>400</v>
      </c>
      <c r="AO517" s="37">
        <v>0</v>
      </c>
      <c r="AP517" s="37">
        <v>200</v>
      </c>
      <c r="AQ517" s="37">
        <v>0</v>
      </c>
      <c r="AR517" s="37">
        <v>0</v>
      </c>
      <c r="AS517" s="59">
        <v>1800</v>
      </c>
      <c r="AT517" s="59">
        <v>1061800</v>
      </c>
      <c r="AU517" s="45"/>
      <c r="AV517" s="37">
        <v>0</v>
      </c>
      <c r="AW517" s="37">
        <v>0</v>
      </c>
      <c r="AX517" s="37">
        <v>0</v>
      </c>
      <c r="AY517" s="37">
        <v>0</v>
      </c>
      <c r="AZ517" s="37">
        <v>0</v>
      </c>
      <c r="BA517" s="37">
        <v>0</v>
      </c>
      <c r="BB517" s="37">
        <v>0</v>
      </c>
      <c r="BC517" s="37">
        <v>0</v>
      </c>
      <c r="BD517" s="37">
        <v>0</v>
      </c>
      <c r="BE517" s="37">
        <v>0</v>
      </c>
      <c r="BF517" s="37">
        <v>0</v>
      </c>
      <c r="BG517" s="37">
        <v>0</v>
      </c>
      <c r="BH517" s="37">
        <v>0</v>
      </c>
      <c r="BI517" s="37">
        <v>0</v>
      </c>
      <c r="BJ517" s="37">
        <v>0</v>
      </c>
      <c r="BK517" s="59">
        <v>0</v>
      </c>
      <c r="BL517" s="37">
        <v>0</v>
      </c>
      <c r="BM517" s="37">
        <v>0</v>
      </c>
      <c r="BN517" s="37">
        <v>0</v>
      </c>
      <c r="BO517" s="37">
        <v>0</v>
      </c>
      <c r="BP517" s="37">
        <v>0</v>
      </c>
      <c r="BQ517" s="37">
        <v>0</v>
      </c>
      <c r="BR517" s="37">
        <v>0</v>
      </c>
      <c r="BS517" s="37">
        <v>0</v>
      </c>
      <c r="BT517" s="37">
        <v>0</v>
      </c>
      <c r="BU517" s="37">
        <v>0</v>
      </c>
      <c r="BV517" s="37">
        <v>0</v>
      </c>
      <c r="BW517" s="59">
        <v>0</v>
      </c>
      <c r="BX517" s="59">
        <v>0</v>
      </c>
      <c r="BZ517" s="37">
        <v>600000</v>
      </c>
      <c r="CA517" s="37">
        <v>400000</v>
      </c>
      <c r="CB517" s="37">
        <v>0</v>
      </c>
      <c r="CC517" s="37">
        <v>60000</v>
      </c>
      <c r="CD517" s="37">
        <v>0</v>
      </c>
      <c r="CE517" s="37">
        <v>0</v>
      </c>
      <c r="CF517" s="37">
        <v>0</v>
      </c>
      <c r="CG517" s="59">
        <v>1060000</v>
      </c>
      <c r="CH517" s="37">
        <v>400</v>
      </c>
      <c r="CI517" s="37">
        <v>800</v>
      </c>
      <c r="CJ517" s="37">
        <v>400</v>
      </c>
      <c r="CK517" s="37">
        <v>200</v>
      </c>
      <c r="CL517" s="37">
        <v>0</v>
      </c>
      <c r="CM517" s="37">
        <v>0</v>
      </c>
      <c r="CN517" s="59">
        <v>1800</v>
      </c>
      <c r="CO517" s="59">
        <v>1061800</v>
      </c>
      <c r="CP517" s="58"/>
      <c r="CQ517" s="3">
        <v>1061800</v>
      </c>
    </row>
    <row r="518" spans="1:95" customFormat="1" x14ac:dyDescent="0.2">
      <c r="A518" s="209">
        <v>43418</v>
      </c>
      <c r="B518" s="33" t="s">
        <v>55</v>
      </c>
      <c r="C518" s="33" t="s">
        <v>56</v>
      </c>
      <c r="D518" s="43">
        <v>0</v>
      </c>
      <c r="E518" s="43">
        <v>0</v>
      </c>
      <c r="F518" s="43">
        <v>0</v>
      </c>
      <c r="G518" s="43">
        <v>0</v>
      </c>
      <c r="H518" s="43">
        <v>0</v>
      </c>
      <c r="I518" s="43">
        <v>0</v>
      </c>
      <c r="J518" s="43">
        <v>0</v>
      </c>
      <c r="K518" s="43">
        <v>0</v>
      </c>
      <c r="L518" s="43">
        <v>0</v>
      </c>
      <c r="M518" s="43">
        <v>0</v>
      </c>
      <c r="N518" s="43">
        <v>0</v>
      </c>
      <c r="O518" s="43">
        <v>0</v>
      </c>
      <c r="P518" s="47">
        <v>0</v>
      </c>
      <c r="R518" s="37">
        <v>0</v>
      </c>
      <c r="S518" s="37">
        <v>0</v>
      </c>
      <c r="T518" s="37">
        <v>4000</v>
      </c>
      <c r="U518" s="37">
        <v>0</v>
      </c>
      <c r="V518" s="37">
        <v>2000</v>
      </c>
      <c r="W518" s="37">
        <v>0</v>
      </c>
      <c r="X518" s="37">
        <v>800</v>
      </c>
      <c r="Y518" s="37">
        <v>0</v>
      </c>
      <c r="Z518" s="37">
        <v>400</v>
      </c>
      <c r="AA518" s="37">
        <v>0</v>
      </c>
      <c r="AB518" s="37">
        <v>200</v>
      </c>
      <c r="AC518" s="37">
        <v>0</v>
      </c>
      <c r="AD518" s="37">
        <v>80</v>
      </c>
      <c r="AE518" s="37">
        <v>0</v>
      </c>
      <c r="AF518" s="37">
        <v>0</v>
      </c>
      <c r="AG518" s="59">
        <v>7480</v>
      </c>
      <c r="AH518" s="37">
        <v>0</v>
      </c>
      <c r="AI518" s="37">
        <v>0</v>
      </c>
      <c r="AJ518" s="37">
        <v>0</v>
      </c>
      <c r="AK518" s="37">
        <v>0</v>
      </c>
      <c r="AL518" s="37">
        <v>0</v>
      </c>
      <c r="AM518" s="37">
        <v>0</v>
      </c>
      <c r="AN518" s="37">
        <v>0</v>
      </c>
      <c r="AO518" s="37">
        <v>0</v>
      </c>
      <c r="AP518" s="37">
        <v>0</v>
      </c>
      <c r="AQ518" s="37">
        <v>0</v>
      </c>
      <c r="AR518" s="37">
        <v>0</v>
      </c>
      <c r="AS518" s="59">
        <v>0</v>
      </c>
      <c r="AT518" s="59">
        <v>7480</v>
      </c>
      <c r="AU518" s="45"/>
      <c r="AV518" s="37">
        <v>0</v>
      </c>
      <c r="AW518" s="37">
        <v>0</v>
      </c>
      <c r="AX518" s="37">
        <v>0</v>
      </c>
      <c r="AY518" s="37">
        <v>0</v>
      </c>
      <c r="AZ518" s="37">
        <v>0</v>
      </c>
      <c r="BA518" s="37">
        <v>0</v>
      </c>
      <c r="BB518" s="37">
        <v>0</v>
      </c>
      <c r="BC518" s="37">
        <v>0</v>
      </c>
      <c r="BD518" s="37">
        <v>0</v>
      </c>
      <c r="BE518" s="37">
        <v>0</v>
      </c>
      <c r="BF518" s="37">
        <v>0</v>
      </c>
      <c r="BG518" s="37">
        <v>0</v>
      </c>
      <c r="BH518" s="37">
        <v>0</v>
      </c>
      <c r="BI518" s="37">
        <v>0</v>
      </c>
      <c r="BJ518" s="37">
        <v>0</v>
      </c>
      <c r="BK518" s="59">
        <v>0</v>
      </c>
      <c r="BL518" s="37">
        <v>0</v>
      </c>
      <c r="BM518" s="37">
        <v>0</v>
      </c>
      <c r="BN518" s="37">
        <v>0</v>
      </c>
      <c r="BO518" s="37">
        <v>0</v>
      </c>
      <c r="BP518" s="37">
        <v>0</v>
      </c>
      <c r="BQ518" s="37">
        <v>0</v>
      </c>
      <c r="BR518" s="37">
        <v>0</v>
      </c>
      <c r="BS518" s="37">
        <v>0</v>
      </c>
      <c r="BT518" s="37">
        <v>0</v>
      </c>
      <c r="BU518" s="37">
        <v>0</v>
      </c>
      <c r="BV518" s="37">
        <v>0</v>
      </c>
      <c r="BW518" s="59">
        <v>0</v>
      </c>
      <c r="BX518" s="59">
        <v>0</v>
      </c>
      <c r="BZ518" s="37">
        <v>4000</v>
      </c>
      <c r="CA518" s="37">
        <v>2000</v>
      </c>
      <c r="CB518" s="37">
        <v>800</v>
      </c>
      <c r="CC518" s="37">
        <v>400</v>
      </c>
      <c r="CD518" s="37">
        <v>200</v>
      </c>
      <c r="CE518" s="37">
        <v>80</v>
      </c>
      <c r="CF518" s="37">
        <v>0</v>
      </c>
      <c r="CG518" s="59">
        <v>7480</v>
      </c>
      <c r="CH518" s="37">
        <v>0</v>
      </c>
      <c r="CI518" s="37">
        <v>0</v>
      </c>
      <c r="CJ518" s="37">
        <v>0</v>
      </c>
      <c r="CK518" s="37">
        <v>0</v>
      </c>
      <c r="CL518" s="37">
        <v>0</v>
      </c>
      <c r="CM518" s="37">
        <v>0</v>
      </c>
      <c r="CN518" s="59">
        <v>0</v>
      </c>
      <c r="CO518" s="59">
        <v>7480</v>
      </c>
      <c r="CP518" s="58"/>
      <c r="CQ518" s="3">
        <v>7480</v>
      </c>
    </row>
    <row r="519" spans="1:95" customFormat="1" x14ac:dyDescent="0.2">
      <c r="A519" s="209">
        <v>43418</v>
      </c>
      <c r="B519" s="33" t="s">
        <v>152</v>
      </c>
      <c r="C519" s="33" t="s">
        <v>84</v>
      </c>
      <c r="D519" s="43">
        <v>0</v>
      </c>
      <c r="E519" s="43">
        <v>1</v>
      </c>
      <c r="F519" s="43">
        <v>0</v>
      </c>
      <c r="G519" s="43">
        <v>0</v>
      </c>
      <c r="H519" s="43">
        <v>0</v>
      </c>
      <c r="I519" s="43">
        <v>0</v>
      </c>
      <c r="J519" s="43">
        <v>0</v>
      </c>
      <c r="K519" s="43">
        <v>0</v>
      </c>
      <c r="L519" s="43">
        <v>0</v>
      </c>
      <c r="M519" s="43">
        <v>0</v>
      </c>
      <c r="N519" s="43">
        <v>0</v>
      </c>
      <c r="O519" s="43">
        <v>0</v>
      </c>
      <c r="P519" s="47" t="s">
        <v>45</v>
      </c>
      <c r="R519" s="37">
        <v>0</v>
      </c>
      <c r="S519" s="37">
        <v>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v>0</v>
      </c>
      <c r="AD519" s="37">
        <v>0</v>
      </c>
      <c r="AE519" s="37">
        <v>0</v>
      </c>
      <c r="AF519" s="37">
        <v>0</v>
      </c>
      <c r="AG519" s="59">
        <v>0</v>
      </c>
      <c r="AH519" s="37">
        <v>6250</v>
      </c>
      <c r="AI519" s="37">
        <v>0</v>
      </c>
      <c r="AJ519" s="37">
        <v>3125</v>
      </c>
      <c r="AK519" s="37">
        <v>0</v>
      </c>
      <c r="AL519" s="37">
        <v>0</v>
      </c>
      <c r="AM519" s="37">
        <v>0</v>
      </c>
      <c r="AN519" s="37">
        <v>0</v>
      </c>
      <c r="AO519" s="37">
        <v>0</v>
      </c>
      <c r="AP519" s="37">
        <v>0</v>
      </c>
      <c r="AQ519" s="37">
        <v>0</v>
      </c>
      <c r="AR519" s="37">
        <v>0</v>
      </c>
      <c r="AS519" s="59">
        <v>9375</v>
      </c>
      <c r="AT519" s="59">
        <v>9375</v>
      </c>
      <c r="AU519" s="45"/>
      <c r="AV519" s="37">
        <v>0</v>
      </c>
      <c r="AW519" s="37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37">
        <v>0</v>
      </c>
      <c r="BD519" s="37">
        <v>0</v>
      </c>
      <c r="BE519" s="37">
        <v>0</v>
      </c>
      <c r="BF519" s="37">
        <v>0</v>
      </c>
      <c r="BG519" s="37">
        <v>0</v>
      </c>
      <c r="BH519" s="37">
        <v>0</v>
      </c>
      <c r="BI519" s="37">
        <v>0</v>
      </c>
      <c r="BJ519" s="37">
        <v>0</v>
      </c>
      <c r="BK519" s="59">
        <v>0</v>
      </c>
      <c r="BL519" s="37">
        <v>0</v>
      </c>
      <c r="BM519" s="37">
        <v>0</v>
      </c>
      <c r="BN519" s="37">
        <v>0</v>
      </c>
      <c r="BO519" s="37">
        <v>0</v>
      </c>
      <c r="BP519" s="37">
        <v>0</v>
      </c>
      <c r="BQ519" s="37">
        <v>0</v>
      </c>
      <c r="BR519" s="37">
        <v>0</v>
      </c>
      <c r="BS519" s="37">
        <v>0</v>
      </c>
      <c r="BT519" s="37">
        <v>0</v>
      </c>
      <c r="BU519" s="37">
        <v>0</v>
      </c>
      <c r="BV519" s="37">
        <v>0</v>
      </c>
      <c r="BW519" s="59">
        <v>0</v>
      </c>
      <c r="BX519" s="59">
        <v>0</v>
      </c>
      <c r="BZ519" s="37">
        <v>0</v>
      </c>
      <c r="CA519" s="37">
        <v>0</v>
      </c>
      <c r="CB519" s="37">
        <v>0</v>
      </c>
      <c r="CC519" s="37">
        <v>0</v>
      </c>
      <c r="CD519" s="37">
        <v>0</v>
      </c>
      <c r="CE519" s="37">
        <v>0</v>
      </c>
      <c r="CF519" s="37">
        <v>0</v>
      </c>
      <c r="CG519" s="59">
        <v>0</v>
      </c>
      <c r="CH519" s="37">
        <v>6250</v>
      </c>
      <c r="CI519" s="37">
        <v>3125</v>
      </c>
      <c r="CJ519" s="37">
        <v>0</v>
      </c>
      <c r="CK519" s="37">
        <v>0</v>
      </c>
      <c r="CL519" s="37">
        <v>0</v>
      </c>
      <c r="CM519" s="37">
        <v>0</v>
      </c>
      <c r="CN519" s="59">
        <v>9375</v>
      </c>
      <c r="CO519" s="59">
        <v>9375</v>
      </c>
      <c r="CP519" s="58"/>
      <c r="CQ519" s="3">
        <v>9375</v>
      </c>
    </row>
    <row r="520" spans="1:95" customFormat="1" x14ac:dyDescent="0.2">
      <c r="A520" s="209">
        <v>43418</v>
      </c>
      <c r="B520" s="33" t="s">
        <v>53</v>
      </c>
      <c r="C520" s="33" t="s">
        <v>54</v>
      </c>
      <c r="D520" s="43">
        <v>1</v>
      </c>
      <c r="E520" s="43">
        <v>0</v>
      </c>
      <c r="F520" s="43">
        <v>0</v>
      </c>
      <c r="G520" s="43">
        <v>0</v>
      </c>
      <c r="H520" s="43">
        <v>0</v>
      </c>
      <c r="I520" s="43">
        <v>0</v>
      </c>
      <c r="J520" s="43">
        <v>0</v>
      </c>
      <c r="K520" s="43">
        <v>0</v>
      </c>
      <c r="L520" s="43">
        <v>0</v>
      </c>
      <c r="M520" s="43">
        <v>0</v>
      </c>
      <c r="N520" s="43">
        <v>0</v>
      </c>
      <c r="O520" s="43">
        <v>0</v>
      </c>
      <c r="P520" s="47" t="s">
        <v>45</v>
      </c>
      <c r="R520" s="37">
        <v>0</v>
      </c>
      <c r="S520" s="37">
        <v>0</v>
      </c>
      <c r="T520" s="37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0</v>
      </c>
      <c r="AB520" s="37">
        <v>0</v>
      </c>
      <c r="AC520" s="37">
        <v>0</v>
      </c>
      <c r="AD520" s="37">
        <v>0</v>
      </c>
      <c r="AE520" s="37">
        <v>0</v>
      </c>
      <c r="AF520" s="37">
        <v>0</v>
      </c>
      <c r="AG520" s="59">
        <v>0</v>
      </c>
      <c r="AH520" s="37">
        <v>0</v>
      </c>
      <c r="AI520" s="37">
        <v>0</v>
      </c>
      <c r="AJ520" s="37">
        <v>0</v>
      </c>
      <c r="AK520" s="37">
        <v>0</v>
      </c>
      <c r="AL520" s="37">
        <v>0</v>
      </c>
      <c r="AM520" s="37">
        <v>0</v>
      </c>
      <c r="AN520" s="37">
        <v>500</v>
      </c>
      <c r="AO520" s="37">
        <v>0</v>
      </c>
      <c r="AP520" s="37">
        <v>100</v>
      </c>
      <c r="AQ520" s="37">
        <v>0</v>
      </c>
      <c r="AR520" s="37">
        <v>0</v>
      </c>
      <c r="AS520" s="59">
        <v>600</v>
      </c>
      <c r="AT520" s="59">
        <v>600</v>
      </c>
      <c r="AU520" s="45"/>
      <c r="AV520" s="37">
        <v>0</v>
      </c>
      <c r="AW520" s="37">
        <v>0</v>
      </c>
      <c r="AX520" s="37">
        <v>0</v>
      </c>
      <c r="AY520" s="37">
        <v>0</v>
      </c>
      <c r="AZ520" s="37">
        <v>0</v>
      </c>
      <c r="BA520" s="37">
        <v>0</v>
      </c>
      <c r="BB520" s="37">
        <v>0</v>
      </c>
      <c r="BC520" s="37">
        <v>0</v>
      </c>
      <c r="BD520" s="37">
        <v>0</v>
      </c>
      <c r="BE520" s="37">
        <v>0</v>
      </c>
      <c r="BF520" s="37">
        <v>0</v>
      </c>
      <c r="BG520" s="37">
        <v>0</v>
      </c>
      <c r="BH520" s="37">
        <v>0</v>
      </c>
      <c r="BI520" s="37">
        <v>0</v>
      </c>
      <c r="BJ520" s="37">
        <v>0</v>
      </c>
      <c r="BK520" s="59">
        <v>0</v>
      </c>
      <c r="BL520" s="37">
        <v>0</v>
      </c>
      <c r="BM520" s="37">
        <v>0</v>
      </c>
      <c r="BN520" s="37">
        <v>0</v>
      </c>
      <c r="BO520" s="37">
        <v>0</v>
      </c>
      <c r="BP520" s="37">
        <v>0</v>
      </c>
      <c r="BQ520" s="37">
        <v>0</v>
      </c>
      <c r="BR520" s="37">
        <v>0</v>
      </c>
      <c r="BS520" s="37">
        <v>0</v>
      </c>
      <c r="BT520" s="37">
        <v>0</v>
      </c>
      <c r="BU520" s="37">
        <v>0</v>
      </c>
      <c r="BV520" s="37">
        <v>0</v>
      </c>
      <c r="BW520" s="59">
        <v>0</v>
      </c>
      <c r="BX520" s="59">
        <v>0</v>
      </c>
      <c r="BZ520" s="37">
        <v>0</v>
      </c>
      <c r="CA520" s="37">
        <v>0</v>
      </c>
      <c r="CB520" s="37">
        <v>0</v>
      </c>
      <c r="CC520" s="37">
        <v>0</v>
      </c>
      <c r="CD520" s="37">
        <v>0</v>
      </c>
      <c r="CE520" s="37">
        <v>0</v>
      </c>
      <c r="CF520" s="37">
        <v>0</v>
      </c>
      <c r="CG520" s="59">
        <v>0</v>
      </c>
      <c r="CH520" s="37">
        <v>0</v>
      </c>
      <c r="CI520" s="37">
        <v>0</v>
      </c>
      <c r="CJ520" s="37">
        <v>500</v>
      </c>
      <c r="CK520" s="37">
        <v>100</v>
      </c>
      <c r="CL520" s="37">
        <v>0</v>
      </c>
      <c r="CM520" s="37">
        <v>0</v>
      </c>
      <c r="CN520" s="59">
        <v>600</v>
      </c>
      <c r="CO520" s="59">
        <v>600</v>
      </c>
      <c r="CP520" s="58"/>
      <c r="CQ520" s="3">
        <v>600</v>
      </c>
    </row>
    <row r="521" spans="1:95" customFormat="1" x14ac:dyDescent="0.2">
      <c r="A521" s="209">
        <v>43419</v>
      </c>
      <c r="B521" s="33" t="s">
        <v>55</v>
      </c>
      <c r="C521" s="33" t="s">
        <v>56</v>
      </c>
      <c r="D521" s="43">
        <v>0</v>
      </c>
      <c r="E521" s="43">
        <v>0</v>
      </c>
      <c r="F521" s="43">
        <v>0</v>
      </c>
      <c r="G521" s="43">
        <v>0</v>
      </c>
      <c r="H521" s="43">
        <v>0</v>
      </c>
      <c r="I521" s="43">
        <v>0</v>
      </c>
      <c r="J521" s="43">
        <v>0</v>
      </c>
      <c r="K521" s="43">
        <v>0</v>
      </c>
      <c r="L521" s="43">
        <v>0</v>
      </c>
      <c r="M521" s="43">
        <v>0</v>
      </c>
      <c r="N521" s="43">
        <v>0</v>
      </c>
      <c r="O521" s="43">
        <v>0</v>
      </c>
      <c r="P521" s="47">
        <v>0</v>
      </c>
      <c r="R521" s="37">
        <v>0</v>
      </c>
      <c r="S521" s="37">
        <v>0</v>
      </c>
      <c r="T521" s="37">
        <v>4000</v>
      </c>
      <c r="U521" s="37">
        <v>0</v>
      </c>
      <c r="V521" s="37">
        <v>2000</v>
      </c>
      <c r="W521" s="37">
        <v>0</v>
      </c>
      <c r="X521" s="37">
        <v>0</v>
      </c>
      <c r="Y521" s="37">
        <v>0</v>
      </c>
      <c r="Z521" s="37">
        <v>400</v>
      </c>
      <c r="AA521" s="37">
        <v>0</v>
      </c>
      <c r="AB521" s="37">
        <v>200</v>
      </c>
      <c r="AC521" s="37">
        <v>0</v>
      </c>
      <c r="AD521" s="37">
        <v>80</v>
      </c>
      <c r="AE521" s="37">
        <v>0</v>
      </c>
      <c r="AF521" s="37">
        <v>0</v>
      </c>
      <c r="AG521" s="59">
        <v>6680</v>
      </c>
      <c r="AH521" s="37">
        <v>0</v>
      </c>
      <c r="AI521" s="37">
        <v>0</v>
      </c>
      <c r="AJ521" s="37">
        <v>0</v>
      </c>
      <c r="AK521" s="37">
        <v>0</v>
      </c>
      <c r="AL521" s="37">
        <v>5</v>
      </c>
      <c r="AM521" s="37">
        <v>0</v>
      </c>
      <c r="AN521" s="37">
        <v>4</v>
      </c>
      <c r="AO521" s="37">
        <v>0</v>
      </c>
      <c r="AP521" s="37">
        <v>2</v>
      </c>
      <c r="AQ521" s="37">
        <v>0</v>
      </c>
      <c r="AR521" s="37">
        <v>0</v>
      </c>
      <c r="AS521" s="59">
        <v>11</v>
      </c>
      <c r="AT521" s="59">
        <v>6691</v>
      </c>
      <c r="AU521" s="45"/>
      <c r="AV521" s="37">
        <v>0</v>
      </c>
      <c r="AW521" s="37">
        <v>0</v>
      </c>
      <c r="AX521" s="37">
        <v>0</v>
      </c>
      <c r="AY521" s="37">
        <v>0</v>
      </c>
      <c r="AZ521" s="37">
        <v>0</v>
      </c>
      <c r="BA521" s="37">
        <v>0</v>
      </c>
      <c r="BB521" s="37">
        <v>0</v>
      </c>
      <c r="BC521" s="37">
        <v>0</v>
      </c>
      <c r="BD521" s="37">
        <v>0</v>
      </c>
      <c r="BE521" s="37">
        <v>0</v>
      </c>
      <c r="BF521" s="37">
        <v>0</v>
      </c>
      <c r="BG521" s="37">
        <v>0</v>
      </c>
      <c r="BH521" s="37">
        <v>0</v>
      </c>
      <c r="BI521" s="37">
        <v>0</v>
      </c>
      <c r="BJ521" s="37">
        <v>0</v>
      </c>
      <c r="BK521" s="59">
        <v>0</v>
      </c>
      <c r="BL521" s="37">
        <v>0</v>
      </c>
      <c r="BM521" s="37">
        <v>0</v>
      </c>
      <c r="BN521" s="37">
        <v>0</v>
      </c>
      <c r="BO521" s="37">
        <v>0</v>
      </c>
      <c r="BP521" s="37">
        <v>0</v>
      </c>
      <c r="BQ521" s="37">
        <v>0</v>
      </c>
      <c r="BR521" s="37">
        <v>0</v>
      </c>
      <c r="BS521" s="37">
        <v>0</v>
      </c>
      <c r="BT521" s="37">
        <v>0</v>
      </c>
      <c r="BU521" s="37">
        <v>0</v>
      </c>
      <c r="BV521" s="37">
        <v>0</v>
      </c>
      <c r="BW521" s="59">
        <v>0</v>
      </c>
      <c r="BX521" s="59">
        <v>0</v>
      </c>
      <c r="BZ521" s="37">
        <v>4000</v>
      </c>
      <c r="CA521" s="37">
        <v>2000</v>
      </c>
      <c r="CB521" s="37">
        <v>0</v>
      </c>
      <c r="CC521" s="37">
        <v>400</v>
      </c>
      <c r="CD521" s="37">
        <v>200</v>
      </c>
      <c r="CE521" s="37">
        <v>80</v>
      </c>
      <c r="CF521" s="37">
        <v>0</v>
      </c>
      <c r="CG521" s="59">
        <v>6680</v>
      </c>
      <c r="CH521" s="37">
        <v>0</v>
      </c>
      <c r="CI521" s="37">
        <v>5</v>
      </c>
      <c r="CJ521" s="37">
        <v>4</v>
      </c>
      <c r="CK521" s="37">
        <v>2</v>
      </c>
      <c r="CL521" s="37">
        <v>0</v>
      </c>
      <c r="CM521" s="37">
        <v>0</v>
      </c>
      <c r="CN521" s="59">
        <v>11</v>
      </c>
      <c r="CO521" s="59">
        <v>6691</v>
      </c>
      <c r="CP521" s="58"/>
      <c r="CQ521" s="3">
        <v>6691</v>
      </c>
    </row>
    <row r="522" spans="1:95" customFormat="1" x14ac:dyDescent="0.2">
      <c r="A522" s="209">
        <v>43419</v>
      </c>
      <c r="B522" s="33" t="s">
        <v>62</v>
      </c>
      <c r="C522" s="33" t="s">
        <v>118</v>
      </c>
      <c r="D522" s="43">
        <v>0</v>
      </c>
      <c r="E522" s="43">
        <v>0</v>
      </c>
      <c r="F522" s="43">
        <v>0</v>
      </c>
      <c r="G522" s="43">
        <v>0</v>
      </c>
      <c r="H522" s="43">
        <v>0</v>
      </c>
      <c r="I522" s="43">
        <v>1</v>
      </c>
      <c r="J522" s="43">
        <v>0</v>
      </c>
      <c r="K522" s="43">
        <v>0</v>
      </c>
      <c r="L522" s="43">
        <v>0</v>
      </c>
      <c r="M522" s="43">
        <v>0</v>
      </c>
      <c r="N522" s="43">
        <v>0</v>
      </c>
      <c r="O522" s="43">
        <v>0</v>
      </c>
      <c r="P522" s="47" t="s">
        <v>45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100000</v>
      </c>
      <c r="AA522" s="37">
        <v>0</v>
      </c>
      <c r="AB522" s="37">
        <v>30000</v>
      </c>
      <c r="AC522" s="37">
        <v>0</v>
      </c>
      <c r="AD522" s="37">
        <v>24000</v>
      </c>
      <c r="AE522" s="37">
        <v>0</v>
      </c>
      <c r="AF522" s="37">
        <v>4000</v>
      </c>
      <c r="AG522" s="59">
        <v>158000</v>
      </c>
      <c r="AH522" s="37">
        <v>2000</v>
      </c>
      <c r="AI522" s="37">
        <v>0</v>
      </c>
      <c r="AJ522" s="37">
        <v>1375</v>
      </c>
      <c r="AK522" s="37">
        <v>0</v>
      </c>
      <c r="AL522" s="37">
        <v>0</v>
      </c>
      <c r="AM522" s="37">
        <v>0</v>
      </c>
      <c r="AN522" s="37">
        <v>1000</v>
      </c>
      <c r="AO522" s="37">
        <v>0</v>
      </c>
      <c r="AP522" s="37">
        <v>200</v>
      </c>
      <c r="AQ522" s="37">
        <v>0</v>
      </c>
      <c r="AR522" s="37">
        <v>0</v>
      </c>
      <c r="AS522" s="59">
        <v>4575</v>
      </c>
      <c r="AT522" s="59">
        <v>162575</v>
      </c>
      <c r="AU522" s="45"/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>
        <v>0</v>
      </c>
      <c r="BB522" s="37">
        <v>0</v>
      </c>
      <c r="BC522" s="37">
        <v>0</v>
      </c>
      <c r="BD522" s="37">
        <v>0</v>
      </c>
      <c r="BE522" s="37">
        <v>0</v>
      </c>
      <c r="BF522" s="37">
        <v>0</v>
      </c>
      <c r="BG522" s="37">
        <v>0</v>
      </c>
      <c r="BH522" s="37">
        <v>0</v>
      </c>
      <c r="BI522" s="37">
        <v>0</v>
      </c>
      <c r="BJ522" s="37">
        <v>0</v>
      </c>
      <c r="BK522" s="59">
        <v>0</v>
      </c>
      <c r="BL522" s="37">
        <v>0</v>
      </c>
      <c r="BM522" s="37">
        <v>0</v>
      </c>
      <c r="BN522" s="37">
        <v>0</v>
      </c>
      <c r="BO522" s="37">
        <v>0</v>
      </c>
      <c r="BP522" s="37">
        <v>0</v>
      </c>
      <c r="BQ522" s="37">
        <v>0</v>
      </c>
      <c r="BR522" s="37">
        <v>0</v>
      </c>
      <c r="BS522" s="37">
        <v>0</v>
      </c>
      <c r="BT522" s="37">
        <v>0</v>
      </c>
      <c r="BU522" s="37">
        <v>0</v>
      </c>
      <c r="BV522" s="37">
        <v>0</v>
      </c>
      <c r="BW522" s="59">
        <v>0</v>
      </c>
      <c r="BX522" s="59">
        <v>0</v>
      </c>
      <c r="BZ522" s="37">
        <v>0</v>
      </c>
      <c r="CA522" s="37">
        <v>0</v>
      </c>
      <c r="CB522" s="37">
        <v>0</v>
      </c>
      <c r="CC522" s="37">
        <v>100000</v>
      </c>
      <c r="CD522" s="37">
        <v>30000</v>
      </c>
      <c r="CE522" s="37">
        <v>24000</v>
      </c>
      <c r="CF522" s="37">
        <v>4000</v>
      </c>
      <c r="CG522" s="59">
        <v>158000</v>
      </c>
      <c r="CH522" s="37">
        <v>2000</v>
      </c>
      <c r="CI522" s="37">
        <v>1375</v>
      </c>
      <c r="CJ522" s="37">
        <v>1000</v>
      </c>
      <c r="CK522" s="37">
        <v>200</v>
      </c>
      <c r="CL522" s="37">
        <v>0</v>
      </c>
      <c r="CM522" s="37">
        <v>0</v>
      </c>
      <c r="CN522" s="59">
        <v>4575</v>
      </c>
      <c r="CO522" s="59">
        <v>162575</v>
      </c>
      <c r="CP522" s="58"/>
      <c r="CQ522" s="3">
        <v>162575</v>
      </c>
    </row>
    <row r="523" spans="1:95" customFormat="1" x14ac:dyDescent="0.2">
      <c r="A523" s="209">
        <v>43419</v>
      </c>
      <c r="B523" s="33" t="s">
        <v>83</v>
      </c>
      <c r="C523" s="33" t="s">
        <v>76</v>
      </c>
      <c r="D523" s="43">
        <v>0</v>
      </c>
      <c r="E523" s="43">
        <v>1</v>
      </c>
      <c r="F523" s="43">
        <v>0</v>
      </c>
      <c r="G523" s="43">
        <v>0</v>
      </c>
      <c r="H523" s="43">
        <v>0</v>
      </c>
      <c r="I523" s="43">
        <v>0</v>
      </c>
      <c r="J523" s="43">
        <v>0</v>
      </c>
      <c r="K523" s="43">
        <v>0</v>
      </c>
      <c r="L523" s="43">
        <v>0</v>
      </c>
      <c r="M523" s="43">
        <v>0</v>
      </c>
      <c r="N523" s="43">
        <v>0</v>
      </c>
      <c r="O523" s="43">
        <v>0</v>
      </c>
      <c r="P523" s="47" t="s">
        <v>45</v>
      </c>
      <c r="R523" s="37">
        <v>0</v>
      </c>
      <c r="S523" s="37">
        <v>0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60000</v>
      </c>
      <c r="AA523" s="37">
        <v>0</v>
      </c>
      <c r="AB523" s="37">
        <v>40000</v>
      </c>
      <c r="AC523" s="37">
        <v>0</v>
      </c>
      <c r="AD523" s="37">
        <v>0</v>
      </c>
      <c r="AE523" s="37">
        <v>0</v>
      </c>
      <c r="AF523" s="37">
        <v>0</v>
      </c>
      <c r="AG523" s="59">
        <v>100000</v>
      </c>
      <c r="AH523" s="37">
        <v>0</v>
      </c>
      <c r="AI523" s="37">
        <v>0</v>
      </c>
      <c r="AJ523" s="37">
        <v>0</v>
      </c>
      <c r="AK523" s="37">
        <v>0</v>
      </c>
      <c r="AL523" s="37">
        <v>0</v>
      </c>
      <c r="AM523" s="37">
        <v>0</v>
      </c>
      <c r="AN523" s="37">
        <v>300</v>
      </c>
      <c r="AO523" s="37">
        <v>0</v>
      </c>
      <c r="AP523" s="37">
        <v>150</v>
      </c>
      <c r="AQ523" s="37">
        <v>0</v>
      </c>
      <c r="AR523" s="37">
        <v>0</v>
      </c>
      <c r="AS523" s="59">
        <v>450</v>
      </c>
      <c r="AT523" s="59">
        <v>100450</v>
      </c>
      <c r="AU523" s="45"/>
      <c r="AV523" s="37">
        <v>0</v>
      </c>
      <c r="AW523" s="37">
        <v>0</v>
      </c>
      <c r="AX523" s="37">
        <v>0</v>
      </c>
      <c r="AY523" s="37">
        <v>0</v>
      </c>
      <c r="AZ523" s="37">
        <v>0</v>
      </c>
      <c r="BA523" s="37">
        <v>0</v>
      </c>
      <c r="BB523" s="37">
        <v>0</v>
      </c>
      <c r="BC523" s="37">
        <v>0</v>
      </c>
      <c r="BD523" s="37">
        <v>0</v>
      </c>
      <c r="BE523" s="37">
        <v>0</v>
      </c>
      <c r="BF523" s="37">
        <v>0</v>
      </c>
      <c r="BG523" s="37">
        <v>0</v>
      </c>
      <c r="BH523" s="37">
        <v>0</v>
      </c>
      <c r="BI523" s="37">
        <v>0</v>
      </c>
      <c r="BJ523" s="37">
        <v>0</v>
      </c>
      <c r="BK523" s="59">
        <v>0</v>
      </c>
      <c r="BL523" s="37">
        <v>0</v>
      </c>
      <c r="BM523" s="37">
        <v>0</v>
      </c>
      <c r="BN523" s="37">
        <v>0</v>
      </c>
      <c r="BO523" s="37">
        <v>0</v>
      </c>
      <c r="BP523" s="37">
        <v>0</v>
      </c>
      <c r="BQ523" s="37">
        <v>0</v>
      </c>
      <c r="BR523" s="37">
        <v>0</v>
      </c>
      <c r="BS523" s="37">
        <v>0</v>
      </c>
      <c r="BT523" s="37">
        <v>0</v>
      </c>
      <c r="BU523" s="37">
        <v>0</v>
      </c>
      <c r="BV523" s="37">
        <v>0</v>
      </c>
      <c r="BW523" s="59">
        <v>0</v>
      </c>
      <c r="BX523" s="59">
        <v>0</v>
      </c>
      <c r="BZ523" s="37">
        <v>0</v>
      </c>
      <c r="CA523" s="37">
        <v>0</v>
      </c>
      <c r="CB523" s="37">
        <v>0</v>
      </c>
      <c r="CC523" s="37">
        <v>60000</v>
      </c>
      <c r="CD523" s="37">
        <v>40000</v>
      </c>
      <c r="CE523" s="37">
        <v>0</v>
      </c>
      <c r="CF523" s="37">
        <v>0</v>
      </c>
      <c r="CG523" s="59">
        <v>100000</v>
      </c>
      <c r="CH523" s="37">
        <v>0</v>
      </c>
      <c r="CI523" s="37">
        <v>0</v>
      </c>
      <c r="CJ523" s="37">
        <v>300</v>
      </c>
      <c r="CK523" s="37">
        <v>150</v>
      </c>
      <c r="CL523" s="37">
        <v>0</v>
      </c>
      <c r="CM523" s="37">
        <v>0</v>
      </c>
      <c r="CN523" s="59">
        <v>450</v>
      </c>
      <c r="CO523" s="59">
        <v>100450</v>
      </c>
      <c r="CP523" s="58"/>
      <c r="CQ523" s="3">
        <v>100450</v>
      </c>
    </row>
    <row r="524" spans="1:95" customFormat="1" x14ac:dyDescent="0.2">
      <c r="A524" s="209">
        <v>43419</v>
      </c>
      <c r="B524" s="33" t="s">
        <v>60</v>
      </c>
      <c r="C524" s="33" t="s">
        <v>61</v>
      </c>
      <c r="D524" s="43">
        <v>0</v>
      </c>
      <c r="E524" s="43">
        <v>0</v>
      </c>
      <c r="F524" s="43">
        <v>0</v>
      </c>
      <c r="G524" s="43">
        <v>0</v>
      </c>
      <c r="H524" s="43">
        <v>0</v>
      </c>
      <c r="I524" s="43">
        <v>0</v>
      </c>
      <c r="J524" s="43">
        <v>0</v>
      </c>
      <c r="K524" s="43">
        <v>0</v>
      </c>
      <c r="L524" s="43">
        <v>0</v>
      </c>
      <c r="M524" s="43">
        <v>0</v>
      </c>
      <c r="N524" s="43">
        <v>1</v>
      </c>
      <c r="O524" s="43">
        <v>0</v>
      </c>
      <c r="P524" s="47" t="s">
        <v>67</v>
      </c>
      <c r="R524" s="37">
        <v>0</v>
      </c>
      <c r="S524" s="37">
        <v>0</v>
      </c>
      <c r="T524" s="37">
        <v>1200000</v>
      </c>
      <c r="U524" s="37">
        <v>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7">
        <v>0</v>
      </c>
      <c r="AB524" s="37">
        <v>0</v>
      </c>
      <c r="AC524" s="37">
        <v>0</v>
      </c>
      <c r="AD524" s="37">
        <v>0</v>
      </c>
      <c r="AE524" s="37">
        <v>0</v>
      </c>
      <c r="AF524" s="37">
        <v>4000</v>
      </c>
      <c r="AG524" s="59">
        <v>1204000</v>
      </c>
      <c r="AH524" s="37">
        <v>0</v>
      </c>
      <c r="AI524" s="37">
        <v>0</v>
      </c>
      <c r="AJ524" s="37">
        <v>0</v>
      </c>
      <c r="AK524" s="37">
        <v>0</v>
      </c>
      <c r="AL524" s="37">
        <v>250</v>
      </c>
      <c r="AM524" s="37">
        <v>0</v>
      </c>
      <c r="AN524" s="37">
        <v>400</v>
      </c>
      <c r="AO524" s="37">
        <v>0</v>
      </c>
      <c r="AP524" s="37">
        <v>200</v>
      </c>
      <c r="AQ524" s="37">
        <v>0</v>
      </c>
      <c r="AR524" s="37">
        <v>0</v>
      </c>
      <c r="AS524" s="59">
        <v>850</v>
      </c>
      <c r="AT524" s="59">
        <v>1204850</v>
      </c>
      <c r="AU524" s="45"/>
      <c r="AV524" s="37">
        <v>0</v>
      </c>
      <c r="AW524" s="37">
        <v>0</v>
      </c>
      <c r="AX524" s="37">
        <v>0</v>
      </c>
      <c r="AY524" s="37">
        <v>0</v>
      </c>
      <c r="AZ524" s="37">
        <v>0</v>
      </c>
      <c r="BA524" s="37">
        <v>0</v>
      </c>
      <c r="BB524" s="37">
        <v>0</v>
      </c>
      <c r="BC524" s="37">
        <v>0</v>
      </c>
      <c r="BD524" s="37">
        <v>0</v>
      </c>
      <c r="BE524" s="37">
        <v>0</v>
      </c>
      <c r="BF524" s="37">
        <v>0</v>
      </c>
      <c r="BG524" s="37">
        <v>0</v>
      </c>
      <c r="BH524" s="37">
        <v>0</v>
      </c>
      <c r="BI524" s="37">
        <v>0</v>
      </c>
      <c r="BJ524" s="37">
        <v>0</v>
      </c>
      <c r="BK524" s="59">
        <v>0</v>
      </c>
      <c r="BL524" s="37">
        <v>0</v>
      </c>
      <c r="BM524" s="37">
        <v>0</v>
      </c>
      <c r="BN524" s="37">
        <v>0</v>
      </c>
      <c r="BO524" s="37">
        <v>0</v>
      </c>
      <c r="BP524" s="37">
        <v>0</v>
      </c>
      <c r="BQ524" s="37">
        <v>0</v>
      </c>
      <c r="BR524" s="37">
        <v>0</v>
      </c>
      <c r="BS524" s="37">
        <v>0</v>
      </c>
      <c r="BT524" s="37">
        <v>0</v>
      </c>
      <c r="BU524" s="37">
        <v>0</v>
      </c>
      <c r="BV524" s="37">
        <v>0</v>
      </c>
      <c r="BW524" s="59">
        <v>0</v>
      </c>
      <c r="BX524" s="59">
        <v>0</v>
      </c>
      <c r="BZ524" s="37">
        <v>1200000</v>
      </c>
      <c r="CA524" s="37">
        <v>0</v>
      </c>
      <c r="CB524" s="37">
        <v>0</v>
      </c>
      <c r="CC524" s="37">
        <v>0</v>
      </c>
      <c r="CD524" s="37">
        <v>0</v>
      </c>
      <c r="CE524" s="37">
        <v>0</v>
      </c>
      <c r="CF524" s="37">
        <v>4000</v>
      </c>
      <c r="CG524" s="59">
        <v>1204000</v>
      </c>
      <c r="CH524" s="37">
        <v>0</v>
      </c>
      <c r="CI524" s="37">
        <v>250</v>
      </c>
      <c r="CJ524" s="37">
        <v>400</v>
      </c>
      <c r="CK524" s="37">
        <v>200</v>
      </c>
      <c r="CL524" s="37">
        <v>0</v>
      </c>
      <c r="CM524" s="37">
        <v>0</v>
      </c>
      <c r="CN524" s="59">
        <v>850</v>
      </c>
      <c r="CO524" s="59">
        <v>1204850</v>
      </c>
      <c r="CP524" s="58"/>
      <c r="CQ524" s="3">
        <v>1204850</v>
      </c>
    </row>
    <row r="525" spans="1:95" customFormat="1" x14ac:dyDescent="0.2">
      <c r="A525" s="209">
        <v>43419</v>
      </c>
      <c r="B525" s="33" t="s">
        <v>130</v>
      </c>
      <c r="C525" s="33" t="s">
        <v>61</v>
      </c>
      <c r="D525" s="43">
        <v>0</v>
      </c>
      <c r="E525" s="43">
        <v>0</v>
      </c>
      <c r="F525" s="43">
        <v>0</v>
      </c>
      <c r="G525" s="43">
        <v>0</v>
      </c>
      <c r="H525" s="43">
        <v>0</v>
      </c>
      <c r="I525" s="43">
        <v>0</v>
      </c>
      <c r="J525" s="43">
        <v>0</v>
      </c>
      <c r="K525" s="43">
        <v>0</v>
      </c>
      <c r="L525" s="43">
        <v>0</v>
      </c>
      <c r="M525" s="43">
        <v>0</v>
      </c>
      <c r="N525" s="43">
        <v>1</v>
      </c>
      <c r="O525" s="43">
        <v>0</v>
      </c>
      <c r="P525" s="47" t="s">
        <v>67</v>
      </c>
      <c r="R525" s="37">
        <v>0</v>
      </c>
      <c r="S525" s="37">
        <v>0</v>
      </c>
      <c r="T525" s="37">
        <v>0</v>
      </c>
      <c r="U525" s="37">
        <v>0</v>
      </c>
      <c r="V525" s="37">
        <v>500000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v>0</v>
      </c>
      <c r="AD525" s="37">
        <v>0</v>
      </c>
      <c r="AE525" s="37">
        <v>0</v>
      </c>
      <c r="AF525" s="37">
        <v>0</v>
      </c>
      <c r="AG525" s="59">
        <v>500000</v>
      </c>
      <c r="AH525" s="37">
        <v>0</v>
      </c>
      <c r="AI525" s="37">
        <v>0</v>
      </c>
      <c r="AJ525" s="37">
        <v>0</v>
      </c>
      <c r="AK525" s="37">
        <v>0</v>
      </c>
      <c r="AL525" s="37">
        <v>0</v>
      </c>
      <c r="AM525" s="37">
        <v>0</v>
      </c>
      <c r="AN525" s="37">
        <v>0</v>
      </c>
      <c r="AO525" s="37">
        <v>0</v>
      </c>
      <c r="AP525" s="37">
        <v>0</v>
      </c>
      <c r="AQ525" s="37">
        <v>0</v>
      </c>
      <c r="AR525" s="37">
        <v>0</v>
      </c>
      <c r="AS525" s="59">
        <v>0</v>
      </c>
      <c r="AT525" s="59">
        <v>500000</v>
      </c>
      <c r="AU525" s="45"/>
      <c r="AV525" s="37">
        <v>0</v>
      </c>
      <c r="AW525" s="37">
        <v>0</v>
      </c>
      <c r="AX525" s="37">
        <v>0</v>
      </c>
      <c r="AY525" s="37">
        <v>0</v>
      </c>
      <c r="AZ525" s="37">
        <v>0</v>
      </c>
      <c r="BA525" s="37">
        <v>0</v>
      </c>
      <c r="BB525" s="37">
        <v>0</v>
      </c>
      <c r="BC525" s="37">
        <v>0</v>
      </c>
      <c r="BD525" s="37">
        <v>0</v>
      </c>
      <c r="BE525" s="37">
        <v>0</v>
      </c>
      <c r="BF525" s="37">
        <v>0</v>
      </c>
      <c r="BG525" s="37">
        <v>0</v>
      </c>
      <c r="BH525" s="37">
        <v>0</v>
      </c>
      <c r="BI525" s="37">
        <v>0</v>
      </c>
      <c r="BJ525" s="37">
        <v>0</v>
      </c>
      <c r="BK525" s="59">
        <v>0</v>
      </c>
      <c r="BL525" s="37">
        <v>0</v>
      </c>
      <c r="BM525" s="37">
        <v>0</v>
      </c>
      <c r="BN525" s="37">
        <v>0</v>
      </c>
      <c r="BO525" s="37">
        <v>0</v>
      </c>
      <c r="BP525" s="37">
        <v>0</v>
      </c>
      <c r="BQ525" s="37">
        <v>0</v>
      </c>
      <c r="BR525" s="37">
        <v>0</v>
      </c>
      <c r="BS525" s="37">
        <v>0</v>
      </c>
      <c r="BT525" s="37">
        <v>0</v>
      </c>
      <c r="BU525" s="37">
        <v>0</v>
      </c>
      <c r="BV525" s="37">
        <v>0</v>
      </c>
      <c r="BW525" s="59">
        <v>0</v>
      </c>
      <c r="BX525" s="59">
        <v>0</v>
      </c>
      <c r="BZ525" s="37">
        <v>0</v>
      </c>
      <c r="CA525" s="37">
        <v>500000</v>
      </c>
      <c r="CB525" s="37">
        <v>0</v>
      </c>
      <c r="CC525" s="37">
        <v>0</v>
      </c>
      <c r="CD525" s="37">
        <v>0</v>
      </c>
      <c r="CE525" s="37">
        <v>0</v>
      </c>
      <c r="CF525" s="37">
        <v>0</v>
      </c>
      <c r="CG525" s="59">
        <v>500000</v>
      </c>
      <c r="CH525" s="37">
        <v>0</v>
      </c>
      <c r="CI525" s="37">
        <v>0</v>
      </c>
      <c r="CJ525" s="37">
        <v>0</v>
      </c>
      <c r="CK525" s="37">
        <v>0</v>
      </c>
      <c r="CL525" s="37">
        <v>0</v>
      </c>
      <c r="CM525" s="37">
        <v>0</v>
      </c>
      <c r="CN525" s="59">
        <v>0</v>
      </c>
      <c r="CO525" s="59">
        <v>500000</v>
      </c>
      <c r="CP525" s="58"/>
      <c r="CQ525" s="3">
        <v>500000</v>
      </c>
    </row>
    <row r="526" spans="1:95" customFormat="1" x14ac:dyDescent="0.2">
      <c r="A526" s="209">
        <v>43419</v>
      </c>
      <c r="B526" s="33" t="s">
        <v>53</v>
      </c>
      <c r="C526" s="33" t="s">
        <v>84</v>
      </c>
      <c r="D526" s="43">
        <v>0</v>
      </c>
      <c r="E526" s="43">
        <v>1</v>
      </c>
      <c r="F526" s="43">
        <v>0</v>
      </c>
      <c r="G526" s="43">
        <v>0</v>
      </c>
      <c r="H526" s="43">
        <v>0</v>
      </c>
      <c r="I526" s="43">
        <v>0</v>
      </c>
      <c r="J526" s="43">
        <v>0</v>
      </c>
      <c r="K526" s="43">
        <v>0</v>
      </c>
      <c r="L526" s="43">
        <v>0</v>
      </c>
      <c r="M526" s="43">
        <v>0</v>
      </c>
      <c r="N526" s="43">
        <v>0</v>
      </c>
      <c r="O526" s="43">
        <v>0</v>
      </c>
      <c r="P526" s="47" t="s">
        <v>45</v>
      </c>
      <c r="R526" s="37">
        <v>0</v>
      </c>
      <c r="S526" s="37">
        <v>0</v>
      </c>
      <c r="T526" s="37">
        <v>0</v>
      </c>
      <c r="U526" s="37">
        <v>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7">
        <v>0</v>
      </c>
      <c r="AB526" s="37">
        <v>0</v>
      </c>
      <c r="AC526" s="37">
        <v>0</v>
      </c>
      <c r="AD526" s="37">
        <v>0</v>
      </c>
      <c r="AE526" s="37">
        <v>0</v>
      </c>
      <c r="AF526" s="37">
        <v>0</v>
      </c>
      <c r="AG526" s="59">
        <v>0</v>
      </c>
      <c r="AH526" s="37">
        <v>3000</v>
      </c>
      <c r="AI526" s="37">
        <v>0</v>
      </c>
      <c r="AJ526" s="37">
        <v>982.5</v>
      </c>
      <c r="AK526" s="37">
        <v>0</v>
      </c>
      <c r="AL526" s="37">
        <v>642.5</v>
      </c>
      <c r="AM526" s="37">
        <v>0</v>
      </c>
      <c r="AN526" s="37">
        <v>0</v>
      </c>
      <c r="AO526" s="37">
        <v>0</v>
      </c>
      <c r="AP526" s="37">
        <v>0</v>
      </c>
      <c r="AQ526" s="37">
        <v>0</v>
      </c>
      <c r="AR526" s="37">
        <v>0</v>
      </c>
      <c r="AS526" s="59">
        <v>4625</v>
      </c>
      <c r="AT526" s="59">
        <v>4625</v>
      </c>
      <c r="AU526" s="45"/>
      <c r="AV526" s="37">
        <v>0</v>
      </c>
      <c r="AW526" s="37">
        <v>0</v>
      </c>
      <c r="AX526" s="37">
        <v>0</v>
      </c>
      <c r="AY526" s="37">
        <v>0</v>
      </c>
      <c r="AZ526" s="37">
        <v>0</v>
      </c>
      <c r="BA526" s="37">
        <v>0</v>
      </c>
      <c r="BB526" s="37">
        <v>0</v>
      </c>
      <c r="BC526" s="37">
        <v>0</v>
      </c>
      <c r="BD526" s="37">
        <v>0</v>
      </c>
      <c r="BE526" s="37">
        <v>0</v>
      </c>
      <c r="BF526" s="37">
        <v>0</v>
      </c>
      <c r="BG526" s="37">
        <v>0</v>
      </c>
      <c r="BH526" s="37">
        <v>0</v>
      </c>
      <c r="BI526" s="37">
        <v>0</v>
      </c>
      <c r="BJ526" s="37">
        <v>0</v>
      </c>
      <c r="BK526" s="59">
        <v>0</v>
      </c>
      <c r="BL526" s="37">
        <v>0</v>
      </c>
      <c r="BM526" s="37">
        <v>0</v>
      </c>
      <c r="BN526" s="37">
        <v>0</v>
      </c>
      <c r="BO526" s="37">
        <v>0</v>
      </c>
      <c r="BP526" s="37">
        <v>0</v>
      </c>
      <c r="BQ526" s="37">
        <v>0</v>
      </c>
      <c r="BR526" s="37">
        <v>0</v>
      </c>
      <c r="BS526" s="37">
        <v>0</v>
      </c>
      <c r="BT526" s="37">
        <v>0</v>
      </c>
      <c r="BU526" s="37">
        <v>0</v>
      </c>
      <c r="BV526" s="37">
        <v>0</v>
      </c>
      <c r="BW526" s="59">
        <v>0</v>
      </c>
      <c r="BX526" s="59">
        <v>0</v>
      </c>
      <c r="BZ526" s="37">
        <v>0</v>
      </c>
      <c r="CA526" s="37">
        <v>0</v>
      </c>
      <c r="CB526" s="37">
        <v>0</v>
      </c>
      <c r="CC526" s="37">
        <v>0</v>
      </c>
      <c r="CD526" s="37">
        <v>0</v>
      </c>
      <c r="CE526" s="37">
        <v>0</v>
      </c>
      <c r="CF526" s="37">
        <v>0</v>
      </c>
      <c r="CG526" s="59">
        <v>0</v>
      </c>
      <c r="CH526" s="37">
        <v>3000</v>
      </c>
      <c r="CI526" s="37">
        <v>1625</v>
      </c>
      <c r="CJ526" s="37">
        <v>0</v>
      </c>
      <c r="CK526" s="37">
        <v>0</v>
      </c>
      <c r="CL526" s="37">
        <v>0</v>
      </c>
      <c r="CM526" s="37">
        <v>0</v>
      </c>
      <c r="CN526" s="59">
        <v>4625</v>
      </c>
      <c r="CO526" s="59">
        <v>4625</v>
      </c>
      <c r="CP526" s="58"/>
      <c r="CQ526" s="3">
        <v>4625</v>
      </c>
    </row>
    <row r="527" spans="1:95" customFormat="1" x14ac:dyDescent="0.2">
      <c r="A527" s="209">
        <v>43420</v>
      </c>
      <c r="B527" s="33" t="s">
        <v>55</v>
      </c>
      <c r="C527" s="33" t="s">
        <v>56</v>
      </c>
      <c r="D527" s="43">
        <v>0</v>
      </c>
      <c r="E527" s="43">
        <v>0</v>
      </c>
      <c r="F527" s="43">
        <v>0</v>
      </c>
      <c r="G527" s="43">
        <v>0</v>
      </c>
      <c r="H527" s="43">
        <v>0</v>
      </c>
      <c r="I527" s="43">
        <v>0</v>
      </c>
      <c r="J527" s="43">
        <v>0</v>
      </c>
      <c r="K527" s="43">
        <v>0</v>
      </c>
      <c r="L527" s="43">
        <v>0</v>
      </c>
      <c r="M527" s="43">
        <v>0</v>
      </c>
      <c r="N527" s="43">
        <v>0</v>
      </c>
      <c r="O527" s="43">
        <v>0</v>
      </c>
      <c r="P527" s="47">
        <v>0</v>
      </c>
      <c r="R527" s="37">
        <v>0</v>
      </c>
      <c r="S527" s="37">
        <v>0</v>
      </c>
      <c r="T527" s="37">
        <v>4000</v>
      </c>
      <c r="U527" s="37">
        <v>0</v>
      </c>
      <c r="V527" s="37">
        <v>2000</v>
      </c>
      <c r="W527" s="37">
        <v>0</v>
      </c>
      <c r="X527" s="37">
        <v>0</v>
      </c>
      <c r="Y527" s="37">
        <v>0</v>
      </c>
      <c r="Z527" s="37">
        <v>400</v>
      </c>
      <c r="AA527" s="37">
        <v>0</v>
      </c>
      <c r="AB527" s="37">
        <v>200</v>
      </c>
      <c r="AC527" s="37">
        <v>0</v>
      </c>
      <c r="AD527" s="37">
        <v>80</v>
      </c>
      <c r="AE527" s="37">
        <v>0</v>
      </c>
      <c r="AF527" s="37">
        <v>0</v>
      </c>
      <c r="AG527" s="59">
        <v>6680</v>
      </c>
      <c r="AH527" s="37">
        <v>0</v>
      </c>
      <c r="AI527" s="37">
        <v>0</v>
      </c>
      <c r="AJ527" s="37">
        <v>0</v>
      </c>
      <c r="AK527" s="37">
        <v>0</v>
      </c>
      <c r="AL527" s="37">
        <v>0</v>
      </c>
      <c r="AM527" s="37">
        <v>0</v>
      </c>
      <c r="AN527" s="37">
        <v>0</v>
      </c>
      <c r="AO527" s="37">
        <v>0</v>
      </c>
      <c r="AP527" s="37">
        <v>0</v>
      </c>
      <c r="AQ527" s="37">
        <v>0</v>
      </c>
      <c r="AR527" s="37">
        <v>0</v>
      </c>
      <c r="AS527" s="59">
        <v>0</v>
      </c>
      <c r="AT527" s="59">
        <v>6680</v>
      </c>
      <c r="AU527" s="45"/>
      <c r="AV527" s="37">
        <v>0</v>
      </c>
      <c r="AW527" s="37">
        <v>0</v>
      </c>
      <c r="AX527" s="37">
        <v>0</v>
      </c>
      <c r="AY527" s="37">
        <v>0</v>
      </c>
      <c r="AZ527" s="37">
        <v>0</v>
      </c>
      <c r="BA527" s="37">
        <v>0</v>
      </c>
      <c r="BB527" s="37">
        <v>0</v>
      </c>
      <c r="BC527" s="37">
        <v>0</v>
      </c>
      <c r="BD527" s="37">
        <v>0</v>
      </c>
      <c r="BE527" s="37">
        <v>0</v>
      </c>
      <c r="BF527" s="37">
        <v>0</v>
      </c>
      <c r="BG527" s="37">
        <v>0</v>
      </c>
      <c r="BH527" s="37">
        <v>0</v>
      </c>
      <c r="BI527" s="37">
        <v>0</v>
      </c>
      <c r="BJ527" s="37">
        <v>0</v>
      </c>
      <c r="BK527" s="59">
        <v>0</v>
      </c>
      <c r="BL527" s="37">
        <v>0</v>
      </c>
      <c r="BM527" s="37">
        <v>0</v>
      </c>
      <c r="BN527" s="37">
        <v>0</v>
      </c>
      <c r="BO527" s="37">
        <v>0</v>
      </c>
      <c r="BP527" s="37">
        <v>0</v>
      </c>
      <c r="BQ527" s="37">
        <v>0</v>
      </c>
      <c r="BR527" s="37">
        <v>0</v>
      </c>
      <c r="BS527" s="37">
        <v>0</v>
      </c>
      <c r="BT527" s="37">
        <v>0</v>
      </c>
      <c r="BU527" s="37">
        <v>0</v>
      </c>
      <c r="BV527" s="37">
        <v>0</v>
      </c>
      <c r="BW527" s="59">
        <v>0</v>
      </c>
      <c r="BX527" s="59">
        <v>0</v>
      </c>
      <c r="BZ527" s="37">
        <v>4000</v>
      </c>
      <c r="CA527" s="37">
        <v>2000</v>
      </c>
      <c r="CB527" s="37">
        <v>0</v>
      </c>
      <c r="CC527" s="37">
        <v>400</v>
      </c>
      <c r="CD527" s="37">
        <v>200</v>
      </c>
      <c r="CE527" s="37">
        <v>80</v>
      </c>
      <c r="CF527" s="37">
        <v>0</v>
      </c>
      <c r="CG527" s="59">
        <v>6680</v>
      </c>
      <c r="CH527" s="37">
        <v>0</v>
      </c>
      <c r="CI527" s="37">
        <v>0</v>
      </c>
      <c r="CJ527" s="37">
        <v>0</v>
      </c>
      <c r="CK527" s="37">
        <v>0</v>
      </c>
      <c r="CL527" s="37">
        <v>0</v>
      </c>
      <c r="CM527" s="37">
        <v>0</v>
      </c>
      <c r="CN527" s="59">
        <v>0</v>
      </c>
      <c r="CO527" s="59">
        <v>6680</v>
      </c>
      <c r="CP527" s="58"/>
      <c r="CQ527" s="3">
        <v>6680</v>
      </c>
    </row>
    <row r="528" spans="1:95" customFormat="1" x14ac:dyDescent="0.2">
      <c r="A528" s="209">
        <v>43423</v>
      </c>
      <c r="B528" s="33" t="s">
        <v>55</v>
      </c>
      <c r="C528" s="33" t="s">
        <v>56</v>
      </c>
      <c r="D528" s="43">
        <v>0</v>
      </c>
      <c r="E528" s="43">
        <v>0</v>
      </c>
      <c r="F528" s="43">
        <v>0</v>
      </c>
      <c r="G528" s="43">
        <v>0</v>
      </c>
      <c r="H528" s="43">
        <v>0</v>
      </c>
      <c r="I528" s="43">
        <v>0</v>
      </c>
      <c r="J528" s="43">
        <v>0</v>
      </c>
      <c r="K528" s="43">
        <v>0</v>
      </c>
      <c r="L528" s="43">
        <v>0</v>
      </c>
      <c r="M528" s="43">
        <v>0</v>
      </c>
      <c r="N528" s="43">
        <v>0</v>
      </c>
      <c r="O528" s="43">
        <v>0</v>
      </c>
      <c r="P528" s="47">
        <v>0</v>
      </c>
      <c r="R528" s="37">
        <v>0</v>
      </c>
      <c r="S528" s="37">
        <v>0</v>
      </c>
      <c r="T528" s="37">
        <v>4000</v>
      </c>
      <c r="U528" s="37">
        <v>0</v>
      </c>
      <c r="V528" s="37">
        <v>2000</v>
      </c>
      <c r="W528" s="37">
        <v>0</v>
      </c>
      <c r="X528" s="37">
        <v>0</v>
      </c>
      <c r="Y528" s="37">
        <v>0</v>
      </c>
      <c r="Z528" s="37">
        <v>400</v>
      </c>
      <c r="AA528" s="37">
        <v>0</v>
      </c>
      <c r="AB528" s="37">
        <v>200</v>
      </c>
      <c r="AC528" s="37">
        <v>0</v>
      </c>
      <c r="AD528" s="37">
        <v>80</v>
      </c>
      <c r="AE528" s="37">
        <v>0</v>
      </c>
      <c r="AF528" s="37">
        <v>0</v>
      </c>
      <c r="AG528" s="59">
        <v>6680</v>
      </c>
      <c r="AH528" s="37">
        <v>0</v>
      </c>
      <c r="AI528" s="37">
        <v>0</v>
      </c>
      <c r="AJ528" s="37">
        <v>0</v>
      </c>
      <c r="AK528" s="37">
        <v>0</v>
      </c>
      <c r="AL528" s="37">
        <v>5</v>
      </c>
      <c r="AM528" s="37">
        <v>0</v>
      </c>
      <c r="AN528" s="37">
        <v>4</v>
      </c>
      <c r="AO528" s="37">
        <v>0</v>
      </c>
      <c r="AP528" s="37">
        <v>2</v>
      </c>
      <c r="AQ528" s="37">
        <v>0</v>
      </c>
      <c r="AR528" s="37">
        <v>0</v>
      </c>
      <c r="AS528" s="59">
        <v>11</v>
      </c>
      <c r="AT528" s="59">
        <v>6691</v>
      </c>
      <c r="AU528" s="45"/>
      <c r="AV528" s="37">
        <v>0</v>
      </c>
      <c r="AW528" s="37">
        <v>0</v>
      </c>
      <c r="AX528" s="37">
        <v>0</v>
      </c>
      <c r="AY528" s="37">
        <v>0</v>
      </c>
      <c r="AZ528" s="37">
        <v>0</v>
      </c>
      <c r="BA528" s="37">
        <v>0</v>
      </c>
      <c r="BB528" s="37">
        <v>0</v>
      </c>
      <c r="BC528" s="37">
        <v>0</v>
      </c>
      <c r="BD528" s="37">
        <v>0</v>
      </c>
      <c r="BE528" s="37">
        <v>0</v>
      </c>
      <c r="BF528" s="37">
        <v>0</v>
      </c>
      <c r="BG528" s="37">
        <v>0</v>
      </c>
      <c r="BH528" s="37">
        <v>0</v>
      </c>
      <c r="BI528" s="37">
        <v>0</v>
      </c>
      <c r="BJ528" s="37">
        <v>0</v>
      </c>
      <c r="BK528" s="59">
        <v>0</v>
      </c>
      <c r="BL528" s="37">
        <v>0</v>
      </c>
      <c r="BM528" s="37">
        <v>0</v>
      </c>
      <c r="BN528" s="37">
        <v>0</v>
      </c>
      <c r="BO528" s="37">
        <v>0</v>
      </c>
      <c r="BP528" s="37">
        <v>0</v>
      </c>
      <c r="BQ528" s="37">
        <v>0</v>
      </c>
      <c r="BR528" s="37">
        <v>0</v>
      </c>
      <c r="BS528" s="37">
        <v>0</v>
      </c>
      <c r="BT528" s="37">
        <v>0</v>
      </c>
      <c r="BU528" s="37">
        <v>0</v>
      </c>
      <c r="BV528" s="37">
        <v>0</v>
      </c>
      <c r="BW528" s="59">
        <v>0</v>
      </c>
      <c r="BX528" s="59">
        <v>0</v>
      </c>
      <c r="BZ528" s="37">
        <v>4000</v>
      </c>
      <c r="CA528" s="37">
        <v>2000</v>
      </c>
      <c r="CB528" s="37">
        <v>0</v>
      </c>
      <c r="CC528" s="37">
        <v>400</v>
      </c>
      <c r="CD528" s="37">
        <v>200</v>
      </c>
      <c r="CE528" s="37">
        <v>80</v>
      </c>
      <c r="CF528" s="37">
        <v>0</v>
      </c>
      <c r="CG528" s="59">
        <v>6680</v>
      </c>
      <c r="CH528" s="37">
        <v>0</v>
      </c>
      <c r="CI528" s="37">
        <v>5</v>
      </c>
      <c r="CJ528" s="37">
        <v>4</v>
      </c>
      <c r="CK528" s="37">
        <v>2</v>
      </c>
      <c r="CL528" s="37">
        <v>0</v>
      </c>
      <c r="CM528" s="37">
        <v>0</v>
      </c>
      <c r="CN528" s="59">
        <v>11</v>
      </c>
      <c r="CO528" s="59">
        <v>6691</v>
      </c>
      <c r="CP528" s="58"/>
      <c r="CQ528" s="3">
        <v>6691</v>
      </c>
    </row>
    <row r="529" spans="1:95" customFormat="1" x14ac:dyDescent="0.2">
      <c r="A529" s="209">
        <v>43423</v>
      </c>
      <c r="B529" s="33" t="s">
        <v>116</v>
      </c>
      <c r="C529" s="33" t="s">
        <v>98</v>
      </c>
      <c r="D529" s="43">
        <v>0</v>
      </c>
      <c r="E529" s="43">
        <v>0</v>
      </c>
      <c r="F529" s="43">
        <v>0</v>
      </c>
      <c r="G529" s="43">
        <v>0</v>
      </c>
      <c r="H529" s="43">
        <v>0</v>
      </c>
      <c r="I529" s="43">
        <v>0</v>
      </c>
      <c r="J529" s="43">
        <v>0</v>
      </c>
      <c r="K529" s="43">
        <v>1</v>
      </c>
      <c r="L529" s="43">
        <v>0</v>
      </c>
      <c r="M529" s="43">
        <v>0</v>
      </c>
      <c r="N529" s="43">
        <v>0</v>
      </c>
      <c r="O529" s="43">
        <v>0</v>
      </c>
      <c r="P529" s="47" t="s">
        <v>45</v>
      </c>
      <c r="R529" s="37">
        <v>0</v>
      </c>
      <c r="S529" s="37">
        <v>0</v>
      </c>
      <c r="T529" s="37">
        <v>4500000</v>
      </c>
      <c r="U529" s="37">
        <v>0</v>
      </c>
      <c r="V529" s="37">
        <v>200000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v>0</v>
      </c>
      <c r="AD529" s="37">
        <v>0</v>
      </c>
      <c r="AE529" s="37">
        <v>0</v>
      </c>
      <c r="AF529" s="37">
        <v>0</v>
      </c>
      <c r="AG529" s="59">
        <v>4700000</v>
      </c>
      <c r="AH529" s="37">
        <v>2500</v>
      </c>
      <c r="AI529" s="37">
        <v>0</v>
      </c>
      <c r="AJ529" s="37">
        <v>500</v>
      </c>
      <c r="AK529" s="37">
        <v>0</v>
      </c>
      <c r="AL529" s="37">
        <v>125</v>
      </c>
      <c r="AM529" s="37">
        <v>0</v>
      </c>
      <c r="AN529" s="37">
        <v>100</v>
      </c>
      <c r="AO529" s="37">
        <v>0</v>
      </c>
      <c r="AP529" s="37">
        <v>50</v>
      </c>
      <c r="AQ529" s="37">
        <v>0</v>
      </c>
      <c r="AR529" s="37">
        <v>0</v>
      </c>
      <c r="AS529" s="59">
        <v>3275</v>
      </c>
      <c r="AT529" s="59">
        <v>4703275</v>
      </c>
      <c r="AU529" s="45"/>
      <c r="AV529" s="37">
        <v>0</v>
      </c>
      <c r="AW529" s="37">
        <v>0</v>
      </c>
      <c r="AX529" s="37">
        <v>0</v>
      </c>
      <c r="AY529" s="37">
        <v>0</v>
      </c>
      <c r="AZ529" s="37">
        <v>0</v>
      </c>
      <c r="BA529" s="37">
        <v>0</v>
      </c>
      <c r="BB529" s="37">
        <v>0</v>
      </c>
      <c r="BC529" s="37">
        <v>0</v>
      </c>
      <c r="BD529" s="37">
        <v>0</v>
      </c>
      <c r="BE529" s="37">
        <v>0</v>
      </c>
      <c r="BF529" s="37">
        <v>0</v>
      </c>
      <c r="BG529" s="37">
        <v>0</v>
      </c>
      <c r="BH529" s="37">
        <v>0</v>
      </c>
      <c r="BI529" s="37">
        <v>0</v>
      </c>
      <c r="BJ529" s="37">
        <v>0</v>
      </c>
      <c r="BK529" s="59">
        <v>0</v>
      </c>
      <c r="BL529" s="37">
        <v>0</v>
      </c>
      <c r="BM529" s="37">
        <v>0</v>
      </c>
      <c r="BN529" s="37">
        <v>0</v>
      </c>
      <c r="BO529" s="37">
        <v>0</v>
      </c>
      <c r="BP529" s="37">
        <v>0</v>
      </c>
      <c r="BQ529" s="37">
        <v>0</v>
      </c>
      <c r="BR529" s="37">
        <v>0</v>
      </c>
      <c r="BS529" s="37">
        <v>0</v>
      </c>
      <c r="BT529" s="37">
        <v>0</v>
      </c>
      <c r="BU529" s="37">
        <v>0</v>
      </c>
      <c r="BV529" s="37">
        <v>0</v>
      </c>
      <c r="BW529" s="59">
        <v>0</v>
      </c>
      <c r="BX529" s="59">
        <v>0</v>
      </c>
      <c r="BZ529" s="37">
        <v>4500000</v>
      </c>
      <c r="CA529" s="37">
        <v>200000</v>
      </c>
      <c r="CB529" s="37">
        <v>0</v>
      </c>
      <c r="CC529" s="37">
        <v>0</v>
      </c>
      <c r="CD529" s="37">
        <v>0</v>
      </c>
      <c r="CE529" s="37">
        <v>0</v>
      </c>
      <c r="CF529" s="37">
        <v>0</v>
      </c>
      <c r="CG529" s="59">
        <v>4700000</v>
      </c>
      <c r="CH529" s="37">
        <v>2500</v>
      </c>
      <c r="CI529" s="37">
        <v>625</v>
      </c>
      <c r="CJ529" s="37">
        <v>100</v>
      </c>
      <c r="CK529" s="37">
        <v>50</v>
      </c>
      <c r="CL529" s="37">
        <v>0</v>
      </c>
      <c r="CM529" s="37">
        <v>0</v>
      </c>
      <c r="CN529" s="59">
        <v>3275</v>
      </c>
      <c r="CO529" s="59">
        <v>4703275</v>
      </c>
      <c r="CP529" s="58"/>
      <c r="CQ529" s="3">
        <v>4703275</v>
      </c>
    </row>
    <row r="530" spans="1:95" customFormat="1" x14ac:dyDescent="0.2">
      <c r="A530" s="209">
        <v>43423</v>
      </c>
      <c r="B530" s="33" t="s">
        <v>53</v>
      </c>
      <c r="C530" s="33" t="s">
        <v>54</v>
      </c>
      <c r="D530" s="43">
        <v>1</v>
      </c>
      <c r="E530" s="43">
        <v>0</v>
      </c>
      <c r="F530" s="43">
        <v>0</v>
      </c>
      <c r="G530" s="43">
        <v>0</v>
      </c>
      <c r="H530" s="43">
        <v>0</v>
      </c>
      <c r="I530" s="43">
        <v>0</v>
      </c>
      <c r="J530" s="43">
        <v>0</v>
      </c>
      <c r="K530" s="43">
        <v>0</v>
      </c>
      <c r="L530" s="43">
        <v>0</v>
      </c>
      <c r="M530" s="43">
        <v>0</v>
      </c>
      <c r="N530" s="43">
        <v>0</v>
      </c>
      <c r="O530" s="43">
        <v>0</v>
      </c>
      <c r="P530" s="47" t="s">
        <v>45</v>
      </c>
      <c r="R530" s="37">
        <v>0</v>
      </c>
      <c r="S530" s="37">
        <v>0</v>
      </c>
      <c r="T530" s="37">
        <v>0</v>
      </c>
      <c r="U530" s="37">
        <v>100000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7">
        <v>0</v>
      </c>
      <c r="AB530" s="37">
        <v>0</v>
      </c>
      <c r="AC530" s="37">
        <v>0</v>
      </c>
      <c r="AD530" s="37">
        <v>0</v>
      </c>
      <c r="AE530" s="37">
        <v>0</v>
      </c>
      <c r="AF530" s="37">
        <v>0</v>
      </c>
      <c r="AG530" s="59">
        <v>100000</v>
      </c>
      <c r="AH530" s="37">
        <v>0</v>
      </c>
      <c r="AI530" s="37">
        <v>0</v>
      </c>
      <c r="AJ530" s="37">
        <v>0</v>
      </c>
      <c r="AK530" s="37">
        <v>0</v>
      </c>
      <c r="AL530" s="37">
        <v>0</v>
      </c>
      <c r="AM530" s="37">
        <v>0</v>
      </c>
      <c r="AN530" s="37">
        <v>0</v>
      </c>
      <c r="AO530" s="37">
        <v>0</v>
      </c>
      <c r="AP530" s="37">
        <v>0</v>
      </c>
      <c r="AQ530" s="37">
        <v>0</v>
      </c>
      <c r="AR530" s="37">
        <v>0</v>
      </c>
      <c r="AS530" s="59">
        <v>0</v>
      </c>
      <c r="AT530" s="59">
        <v>100000</v>
      </c>
      <c r="AU530" s="45"/>
      <c r="AV530" s="37">
        <v>0</v>
      </c>
      <c r="AW530" s="37">
        <v>0</v>
      </c>
      <c r="AX530" s="37">
        <v>0</v>
      </c>
      <c r="AY530" s="37">
        <v>0</v>
      </c>
      <c r="AZ530" s="37">
        <v>0</v>
      </c>
      <c r="BA530" s="37">
        <v>0</v>
      </c>
      <c r="BB530" s="37">
        <v>0</v>
      </c>
      <c r="BC530" s="37">
        <v>0</v>
      </c>
      <c r="BD530" s="37">
        <v>0</v>
      </c>
      <c r="BE530" s="37">
        <v>0</v>
      </c>
      <c r="BF530" s="37">
        <v>0</v>
      </c>
      <c r="BG530" s="37">
        <v>0</v>
      </c>
      <c r="BH530" s="37">
        <v>0</v>
      </c>
      <c r="BI530" s="37">
        <v>0</v>
      </c>
      <c r="BJ530" s="37">
        <v>0</v>
      </c>
      <c r="BK530" s="59">
        <v>0</v>
      </c>
      <c r="BL530" s="37">
        <v>0</v>
      </c>
      <c r="BM530" s="37">
        <v>0</v>
      </c>
      <c r="BN530" s="37">
        <v>0</v>
      </c>
      <c r="BO530" s="37">
        <v>0</v>
      </c>
      <c r="BP530" s="37">
        <v>0</v>
      </c>
      <c r="BQ530" s="37">
        <v>0</v>
      </c>
      <c r="BR530" s="37">
        <v>0</v>
      </c>
      <c r="BS530" s="37">
        <v>0</v>
      </c>
      <c r="BT530" s="37">
        <v>0</v>
      </c>
      <c r="BU530" s="37">
        <v>0</v>
      </c>
      <c r="BV530" s="37">
        <v>0</v>
      </c>
      <c r="BW530" s="59">
        <v>0</v>
      </c>
      <c r="BX530" s="59">
        <v>0</v>
      </c>
      <c r="BZ530" s="37">
        <v>0</v>
      </c>
      <c r="CA530" s="37">
        <v>100000</v>
      </c>
      <c r="CB530" s="37">
        <v>0</v>
      </c>
      <c r="CC530" s="37">
        <v>0</v>
      </c>
      <c r="CD530" s="37">
        <v>0</v>
      </c>
      <c r="CE530" s="37">
        <v>0</v>
      </c>
      <c r="CF530" s="37">
        <v>0</v>
      </c>
      <c r="CG530" s="59">
        <v>100000</v>
      </c>
      <c r="CH530" s="37">
        <v>0</v>
      </c>
      <c r="CI530" s="37">
        <v>0</v>
      </c>
      <c r="CJ530" s="37">
        <v>0</v>
      </c>
      <c r="CK530" s="37">
        <v>0</v>
      </c>
      <c r="CL530" s="37">
        <v>0</v>
      </c>
      <c r="CM530" s="37">
        <v>0</v>
      </c>
      <c r="CN530" s="59">
        <v>0</v>
      </c>
      <c r="CO530" s="59">
        <v>100000</v>
      </c>
      <c r="CP530" s="58"/>
      <c r="CQ530" s="3">
        <v>100000</v>
      </c>
    </row>
    <row r="531" spans="1:95" customFormat="1" x14ac:dyDescent="0.2">
      <c r="A531" s="209">
        <v>43425</v>
      </c>
      <c r="B531" s="33" t="s">
        <v>55</v>
      </c>
      <c r="C531" s="33" t="s">
        <v>56</v>
      </c>
      <c r="D531" s="43">
        <v>0</v>
      </c>
      <c r="E531" s="43">
        <v>0</v>
      </c>
      <c r="F531" s="43">
        <v>0</v>
      </c>
      <c r="G531" s="43">
        <v>0</v>
      </c>
      <c r="H531" s="43">
        <v>0</v>
      </c>
      <c r="I531" s="43">
        <v>0</v>
      </c>
      <c r="J531" s="43">
        <v>0</v>
      </c>
      <c r="K531" s="43">
        <v>0</v>
      </c>
      <c r="L531" s="43">
        <v>0</v>
      </c>
      <c r="M531" s="43">
        <v>0</v>
      </c>
      <c r="N531" s="43">
        <v>0</v>
      </c>
      <c r="O531" s="43">
        <v>0</v>
      </c>
      <c r="P531" s="47">
        <v>0</v>
      </c>
      <c r="R531" s="37">
        <v>0</v>
      </c>
      <c r="S531" s="37">
        <v>0</v>
      </c>
      <c r="T531" s="37">
        <v>4000</v>
      </c>
      <c r="U531" s="37">
        <v>0</v>
      </c>
      <c r="V531" s="37">
        <v>2000</v>
      </c>
      <c r="W531" s="37">
        <v>0</v>
      </c>
      <c r="X531" s="37">
        <v>0</v>
      </c>
      <c r="Y531" s="37">
        <v>0</v>
      </c>
      <c r="Z531" s="37">
        <v>400</v>
      </c>
      <c r="AA531" s="37">
        <v>0</v>
      </c>
      <c r="AB531" s="37">
        <v>200</v>
      </c>
      <c r="AC531" s="37">
        <v>0</v>
      </c>
      <c r="AD531" s="37">
        <v>80</v>
      </c>
      <c r="AE531" s="37">
        <v>0</v>
      </c>
      <c r="AF531" s="37">
        <v>0</v>
      </c>
      <c r="AG531" s="59">
        <v>6680</v>
      </c>
      <c r="AH531" s="37">
        <v>0</v>
      </c>
      <c r="AI531" s="37">
        <v>0</v>
      </c>
      <c r="AJ531" s="37">
        <v>0</v>
      </c>
      <c r="AK531" s="37">
        <v>0</v>
      </c>
      <c r="AL531" s="37">
        <v>0</v>
      </c>
      <c r="AM531" s="37">
        <v>0</v>
      </c>
      <c r="AN531" s="37">
        <v>0</v>
      </c>
      <c r="AO531" s="37">
        <v>0</v>
      </c>
      <c r="AP531" s="37">
        <v>0</v>
      </c>
      <c r="AQ531" s="37">
        <v>0</v>
      </c>
      <c r="AR531" s="37">
        <v>0</v>
      </c>
      <c r="AS531" s="59">
        <v>0</v>
      </c>
      <c r="AT531" s="59">
        <v>6680</v>
      </c>
      <c r="AU531" s="45"/>
      <c r="AV531" s="37">
        <v>0</v>
      </c>
      <c r="AW531" s="37">
        <v>0</v>
      </c>
      <c r="AX531" s="37">
        <v>0</v>
      </c>
      <c r="AY531" s="37">
        <v>0</v>
      </c>
      <c r="AZ531" s="37">
        <v>0</v>
      </c>
      <c r="BA531" s="37">
        <v>0</v>
      </c>
      <c r="BB531" s="37">
        <v>0</v>
      </c>
      <c r="BC531" s="37">
        <v>0</v>
      </c>
      <c r="BD531" s="37">
        <v>0</v>
      </c>
      <c r="BE531" s="37">
        <v>0</v>
      </c>
      <c r="BF531" s="37">
        <v>0</v>
      </c>
      <c r="BG531" s="37">
        <v>0</v>
      </c>
      <c r="BH531" s="37">
        <v>0</v>
      </c>
      <c r="BI531" s="37">
        <v>0</v>
      </c>
      <c r="BJ531" s="37">
        <v>0</v>
      </c>
      <c r="BK531" s="59">
        <v>0</v>
      </c>
      <c r="BL531" s="37">
        <v>0</v>
      </c>
      <c r="BM531" s="37">
        <v>0</v>
      </c>
      <c r="BN531" s="37">
        <v>0</v>
      </c>
      <c r="BO531" s="37">
        <v>0</v>
      </c>
      <c r="BP531" s="37">
        <v>0</v>
      </c>
      <c r="BQ531" s="37">
        <v>0</v>
      </c>
      <c r="BR531" s="37">
        <v>0</v>
      </c>
      <c r="BS531" s="37">
        <v>0</v>
      </c>
      <c r="BT531" s="37">
        <v>0</v>
      </c>
      <c r="BU531" s="37">
        <v>0</v>
      </c>
      <c r="BV531" s="37">
        <v>0</v>
      </c>
      <c r="BW531" s="59">
        <v>0</v>
      </c>
      <c r="BX531" s="59">
        <v>0</v>
      </c>
      <c r="BZ531" s="37">
        <v>4000</v>
      </c>
      <c r="CA531" s="37">
        <v>2000</v>
      </c>
      <c r="CB531" s="37">
        <v>0</v>
      </c>
      <c r="CC531" s="37">
        <v>400</v>
      </c>
      <c r="CD531" s="37">
        <v>200</v>
      </c>
      <c r="CE531" s="37">
        <v>80</v>
      </c>
      <c r="CF531" s="37">
        <v>0</v>
      </c>
      <c r="CG531" s="59">
        <v>6680</v>
      </c>
      <c r="CH531" s="37">
        <v>0</v>
      </c>
      <c r="CI531" s="37">
        <v>0</v>
      </c>
      <c r="CJ531" s="37">
        <v>0</v>
      </c>
      <c r="CK531" s="37">
        <v>0</v>
      </c>
      <c r="CL531" s="37">
        <v>0</v>
      </c>
      <c r="CM531" s="37">
        <v>0</v>
      </c>
      <c r="CN531" s="59">
        <v>0</v>
      </c>
      <c r="CO531" s="59">
        <v>6680</v>
      </c>
      <c r="CP531" s="58"/>
      <c r="CQ531" s="3">
        <v>6680</v>
      </c>
    </row>
    <row r="532" spans="1:95" customFormat="1" x14ac:dyDescent="0.2">
      <c r="A532" s="209">
        <v>43425</v>
      </c>
      <c r="B532" s="33" t="s">
        <v>53</v>
      </c>
      <c r="C532" s="33" t="s">
        <v>57</v>
      </c>
      <c r="D532" s="43">
        <v>0</v>
      </c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0</v>
      </c>
      <c r="L532" s="43">
        <v>0</v>
      </c>
      <c r="M532" s="43">
        <v>0</v>
      </c>
      <c r="N532" s="43">
        <v>0</v>
      </c>
      <c r="O532" s="43">
        <v>0</v>
      </c>
      <c r="P532" s="47">
        <v>0</v>
      </c>
      <c r="R532" s="37">
        <v>0</v>
      </c>
      <c r="S532" s="37">
        <v>0</v>
      </c>
      <c r="T532" s="37">
        <v>40000</v>
      </c>
      <c r="U532" s="37">
        <v>0</v>
      </c>
      <c r="V532" s="37">
        <v>20000</v>
      </c>
      <c r="W532" s="37">
        <v>0</v>
      </c>
      <c r="X532" s="37">
        <v>6400</v>
      </c>
      <c r="Y532" s="37">
        <v>0</v>
      </c>
      <c r="Z532" s="37">
        <v>4000</v>
      </c>
      <c r="AA532" s="37">
        <v>0</v>
      </c>
      <c r="AB532" s="37">
        <v>2100</v>
      </c>
      <c r="AC532" s="37">
        <v>0</v>
      </c>
      <c r="AD532" s="37">
        <v>840</v>
      </c>
      <c r="AE532" s="37">
        <v>0</v>
      </c>
      <c r="AF532" s="37">
        <v>0</v>
      </c>
      <c r="AG532" s="59">
        <v>73340</v>
      </c>
      <c r="AH532" s="37">
        <v>0</v>
      </c>
      <c r="AI532" s="37">
        <v>0</v>
      </c>
      <c r="AJ532" s="37">
        <v>0</v>
      </c>
      <c r="AK532" s="37">
        <v>0</v>
      </c>
      <c r="AL532" s="37">
        <v>20</v>
      </c>
      <c r="AM532" s="37">
        <v>0</v>
      </c>
      <c r="AN532" s="37">
        <v>16</v>
      </c>
      <c r="AO532" s="37">
        <v>0</v>
      </c>
      <c r="AP532" s="37">
        <v>8</v>
      </c>
      <c r="AQ532" s="37">
        <v>0</v>
      </c>
      <c r="AR532" s="37">
        <v>0</v>
      </c>
      <c r="AS532" s="59">
        <v>44</v>
      </c>
      <c r="AT532" s="59">
        <v>73384</v>
      </c>
      <c r="AU532" s="45"/>
      <c r="AV532" s="37">
        <v>0</v>
      </c>
      <c r="AW532" s="37">
        <v>0</v>
      </c>
      <c r="AX532" s="37">
        <v>0</v>
      </c>
      <c r="AY532" s="37">
        <v>0</v>
      </c>
      <c r="AZ532" s="37">
        <v>0</v>
      </c>
      <c r="BA532" s="37">
        <v>0</v>
      </c>
      <c r="BB532" s="37">
        <v>0</v>
      </c>
      <c r="BC532" s="37">
        <v>0</v>
      </c>
      <c r="BD532" s="37">
        <v>0</v>
      </c>
      <c r="BE532" s="37">
        <v>0</v>
      </c>
      <c r="BF532" s="37">
        <v>0</v>
      </c>
      <c r="BG532" s="37">
        <v>0</v>
      </c>
      <c r="BH532" s="37">
        <v>0</v>
      </c>
      <c r="BI532" s="37">
        <v>0</v>
      </c>
      <c r="BJ532" s="37">
        <v>0</v>
      </c>
      <c r="BK532" s="59">
        <v>0</v>
      </c>
      <c r="BL532" s="37">
        <v>0</v>
      </c>
      <c r="BM532" s="37">
        <v>0</v>
      </c>
      <c r="BN532" s="37">
        <v>0</v>
      </c>
      <c r="BO532" s="37">
        <v>0</v>
      </c>
      <c r="BP532" s="37">
        <v>0</v>
      </c>
      <c r="BQ532" s="37">
        <v>0</v>
      </c>
      <c r="BR532" s="37">
        <v>0</v>
      </c>
      <c r="BS532" s="37">
        <v>0</v>
      </c>
      <c r="BT532" s="37">
        <v>0</v>
      </c>
      <c r="BU532" s="37">
        <v>0</v>
      </c>
      <c r="BV532" s="37">
        <v>0</v>
      </c>
      <c r="BW532" s="59">
        <v>0</v>
      </c>
      <c r="BX532" s="59"/>
      <c r="BZ532" s="37">
        <v>40000</v>
      </c>
      <c r="CA532" s="37">
        <v>20000</v>
      </c>
      <c r="CB532" s="37">
        <v>6400</v>
      </c>
      <c r="CC532" s="37">
        <v>4000</v>
      </c>
      <c r="CD532" s="37">
        <v>2100</v>
      </c>
      <c r="CE532" s="37">
        <v>840</v>
      </c>
      <c r="CF532" s="37">
        <v>0</v>
      </c>
      <c r="CG532" s="59">
        <v>73340</v>
      </c>
      <c r="CH532" s="37">
        <v>0</v>
      </c>
      <c r="CI532" s="37">
        <v>20</v>
      </c>
      <c r="CJ532" s="37">
        <v>16</v>
      </c>
      <c r="CK532" s="37">
        <v>8</v>
      </c>
      <c r="CL532" s="37">
        <v>0</v>
      </c>
      <c r="CM532" s="37">
        <v>0</v>
      </c>
      <c r="CN532" s="59">
        <v>44</v>
      </c>
      <c r="CO532" s="59">
        <v>73384</v>
      </c>
      <c r="CP532" s="58"/>
      <c r="CQ532" s="3">
        <v>73384</v>
      </c>
    </row>
    <row r="533" spans="1:95" customFormat="1" x14ac:dyDescent="0.2">
      <c r="A533" s="209">
        <v>43425</v>
      </c>
      <c r="B533" s="33" t="s">
        <v>53</v>
      </c>
      <c r="C533" s="33" t="s">
        <v>54</v>
      </c>
      <c r="D533" s="43">
        <v>1</v>
      </c>
      <c r="E533" s="43">
        <v>0</v>
      </c>
      <c r="F533" s="43">
        <v>0</v>
      </c>
      <c r="G533" s="43">
        <v>0</v>
      </c>
      <c r="H533" s="43">
        <v>0</v>
      </c>
      <c r="I533" s="43">
        <v>0</v>
      </c>
      <c r="J533" s="43">
        <v>0</v>
      </c>
      <c r="K533" s="43">
        <v>0</v>
      </c>
      <c r="L533" s="43">
        <v>0</v>
      </c>
      <c r="M533" s="43">
        <v>0</v>
      </c>
      <c r="N533" s="43">
        <v>0</v>
      </c>
      <c r="O533" s="43">
        <v>0</v>
      </c>
      <c r="P533" s="47" t="s">
        <v>45</v>
      </c>
      <c r="R533" s="37">
        <v>0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v>0</v>
      </c>
      <c r="AD533" s="37">
        <v>0</v>
      </c>
      <c r="AE533" s="37">
        <v>0</v>
      </c>
      <c r="AF533" s="37">
        <v>0</v>
      </c>
      <c r="AG533" s="59">
        <v>0</v>
      </c>
      <c r="AH533" s="37">
        <v>0</v>
      </c>
      <c r="AI533" s="37">
        <v>0</v>
      </c>
      <c r="AJ533" s="37">
        <v>0</v>
      </c>
      <c r="AK533" s="37">
        <v>0</v>
      </c>
      <c r="AL533" s="37">
        <v>0</v>
      </c>
      <c r="AM533" s="37">
        <v>0</v>
      </c>
      <c r="AN533" s="37">
        <v>500</v>
      </c>
      <c r="AO533" s="37">
        <v>0</v>
      </c>
      <c r="AP533" s="37">
        <v>100</v>
      </c>
      <c r="AQ533" s="37">
        <v>0</v>
      </c>
      <c r="AR533" s="37">
        <v>0</v>
      </c>
      <c r="AS533" s="59">
        <v>600</v>
      </c>
      <c r="AT533" s="59">
        <v>600</v>
      </c>
      <c r="AU533" s="45"/>
      <c r="AV533" s="37">
        <v>0</v>
      </c>
      <c r="AW533" s="37">
        <v>0</v>
      </c>
      <c r="AX533" s="37">
        <v>0</v>
      </c>
      <c r="AY533" s="37">
        <v>0</v>
      </c>
      <c r="AZ533" s="37">
        <v>0</v>
      </c>
      <c r="BA533" s="37">
        <v>0</v>
      </c>
      <c r="BB533" s="37">
        <v>0</v>
      </c>
      <c r="BC533" s="37">
        <v>0</v>
      </c>
      <c r="BD533" s="37">
        <v>0</v>
      </c>
      <c r="BE533" s="37">
        <v>0</v>
      </c>
      <c r="BF533" s="37">
        <v>0</v>
      </c>
      <c r="BG533" s="37">
        <v>0</v>
      </c>
      <c r="BH533" s="37">
        <v>0</v>
      </c>
      <c r="BI533" s="37">
        <v>0</v>
      </c>
      <c r="BJ533" s="37">
        <v>0</v>
      </c>
      <c r="BK533" s="59">
        <v>0</v>
      </c>
      <c r="BL533" s="37">
        <v>0</v>
      </c>
      <c r="BM533" s="37">
        <v>0</v>
      </c>
      <c r="BN533" s="37">
        <v>0</v>
      </c>
      <c r="BO533" s="37">
        <v>0</v>
      </c>
      <c r="BP533" s="37">
        <v>0</v>
      </c>
      <c r="BQ533" s="37">
        <v>0</v>
      </c>
      <c r="BR533" s="37">
        <v>0</v>
      </c>
      <c r="BS533" s="37">
        <v>0</v>
      </c>
      <c r="BT533" s="37">
        <v>0</v>
      </c>
      <c r="BU533" s="37">
        <v>0</v>
      </c>
      <c r="BV533" s="37">
        <v>0</v>
      </c>
      <c r="BW533" s="59">
        <v>0</v>
      </c>
      <c r="BX533" s="59">
        <v>0</v>
      </c>
      <c r="BZ533" s="37">
        <v>0</v>
      </c>
      <c r="CA533" s="37">
        <v>0</v>
      </c>
      <c r="CB533" s="37">
        <v>0</v>
      </c>
      <c r="CC533" s="37">
        <v>0</v>
      </c>
      <c r="CD533" s="37">
        <v>0</v>
      </c>
      <c r="CE533" s="37">
        <v>0</v>
      </c>
      <c r="CF533" s="37">
        <v>0</v>
      </c>
      <c r="CG533" s="59">
        <v>0</v>
      </c>
      <c r="CH533" s="37">
        <v>0</v>
      </c>
      <c r="CI533" s="37">
        <v>0</v>
      </c>
      <c r="CJ533" s="37">
        <v>500</v>
      </c>
      <c r="CK533" s="37">
        <v>100</v>
      </c>
      <c r="CL533" s="37">
        <v>0</v>
      </c>
      <c r="CM533" s="37">
        <v>0</v>
      </c>
      <c r="CN533" s="59">
        <v>600</v>
      </c>
      <c r="CO533" s="59">
        <v>600</v>
      </c>
      <c r="CP533" s="58"/>
      <c r="CQ533" s="3">
        <v>600</v>
      </c>
    </row>
    <row r="534" spans="1:95" customFormat="1" x14ac:dyDescent="0.2">
      <c r="A534" s="209">
        <v>43425</v>
      </c>
      <c r="B534" s="33" t="s">
        <v>72</v>
      </c>
      <c r="C534" s="33" t="s">
        <v>137</v>
      </c>
      <c r="D534" s="43">
        <v>0</v>
      </c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1</v>
      </c>
      <c r="L534" s="43">
        <v>0</v>
      </c>
      <c r="M534" s="43">
        <v>0</v>
      </c>
      <c r="N534" s="43">
        <v>0</v>
      </c>
      <c r="O534" s="43">
        <v>0</v>
      </c>
      <c r="P534" s="47" t="s">
        <v>45</v>
      </c>
      <c r="R534" s="37">
        <v>0</v>
      </c>
      <c r="S534" s="37">
        <v>0</v>
      </c>
      <c r="T534" s="37">
        <v>1700000</v>
      </c>
      <c r="U534" s="37">
        <v>300000</v>
      </c>
      <c r="V534" s="37">
        <v>500000</v>
      </c>
      <c r="W534" s="37">
        <v>0</v>
      </c>
      <c r="X534" s="37">
        <v>100000</v>
      </c>
      <c r="Y534" s="37">
        <v>0</v>
      </c>
      <c r="Z534" s="37">
        <v>0</v>
      </c>
      <c r="AA534" s="37">
        <v>0</v>
      </c>
      <c r="AB534" s="37">
        <v>50000</v>
      </c>
      <c r="AC534" s="37">
        <v>0</v>
      </c>
      <c r="AD534" s="37">
        <v>20000</v>
      </c>
      <c r="AE534" s="37">
        <v>0</v>
      </c>
      <c r="AF534" s="37">
        <v>2000</v>
      </c>
      <c r="AG534" s="59">
        <v>2672000</v>
      </c>
      <c r="AH534" s="37">
        <v>1500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59">
        <v>1500</v>
      </c>
      <c r="AT534" s="59">
        <v>2673500</v>
      </c>
      <c r="AU534" s="45"/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37">
        <v>0</v>
      </c>
      <c r="BD534" s="37">
        <v>0</v>
      </c>
      <c r="BE534" s="37">
        <v>0</v>
      </c>
      <c r="BF534" s="37">
        <v>0</v>
      </c>
      <c r="BG534" s="37">
        <v>0</v>
      </c>
      <c r="BH534" s="37">
        <v>0</v>
      </c>
      <c r="BI534" s="37">
        <v>0</v>
      </c>
      <c r="BJ534" s="37">
        <v>0</v>
      </c>
      <c r="BK534" s="59">
        <v>0</v>
      </c>
      <c r="BL534" s="37">
        <v>0</v>
      </c>
      <c r="BM534" s="37">
        <v>0</v>
      </c>
      <c r="BN534" s="37">
        <v>0</v>
      </c>
      <c r="BO534" s="37">
        <v>0</v>
      </c>
      <c r="BP534" s="37">
        <v>0</v>
      </c>
      <c r="BQ534" s="37">
        <v>0</v>
      </c>
      <c r="BR534" s="37">
        <v>0</v>
      </c>
      <c r="BS534" s="37">
        <v>0</v>
      </c>
      <c r="BT534" s="37">
        <v>0</v>
      </c>
      <c r="BU534" s="37">
        <v>0</v>
      </c>
      <c r="BV534" s="37">
        <v>0</v>
      </c>
      <c r="BW534" s="59">
        <v>0</v>
      </c>
      <c r="BX534" s="59">
        <v>0</v>
      </c>
      <c r="BZ534" s="37">
        <v>1700000</v>
      </c>
      <c r="CA534" s="37">
        <v>800000</v>
      </c>
      <c r="CB534" s="37">
        <v>100000</v>
      </c>
      <c r="CC534" s="37">
        <v>0</v>
      </c>
      <c r="CD534" s="37">
        <v>50000</v>
      </c>
      <c r="CE534" s="37">
        <v>20000</v>
      </c>
      <c r="CF534" s="37">
        <v>2000</v>
      </c>
      <c r="CG534" s="59">
        <v>2672000</v>
      </c>
      <c r="CH534" s="37">
        <v>1500</v>
      </c>
      <c r="CI534" s="37">
        <v>0</v>
      </c>
      <c r="CJ534" s="37">
        <v>0</v>
      </c>
      <c r="CK534" s="37">
        <v>0</v>
      </c>
      <c r="CL534" s="37">
        <v>0</v>
      </c>
      <c r="CM534" s="37">
        <v>0</v>
      </c>
      <c r="CN534" s="59">
        <v>1500</v>
      </c>
      <c r="CO534" s="59">
        <v>2673500</v>
      </c>
      <c r="CP534" s="58"/>
      <c r="CQ534" s="3">
        <v>2673500</v>
      </c>
    </row>
    <row r="535" spans="1:95" customFormat="1" x14ac:dyDescent="0.2">
      <c r="A535" s="209">
        <v>43426</v>
      </c>
      <c r="B535" s="33" t="s">
        <v>55</v>
      </c>
      <c r="C535" s="33" t="s">
        <v>56</v>
      </c>
      <c r="D535" s="43">
        <v>0</v>
      </c>
      <c r="E535" s="43">
        <v>0</v>
      </c>
      <c r="F535" s="43">
        <v>0</v>
      </c>
      <c r="G535" s="43">
        <v>0</v>
      </c>
      <c r="H535" s="43">
        <v>0</v>
      </c>
      <c r="I535" s="43">
        <v>0</v>
      </c>
      <c r="J535" s="43">
        <v>0</v>
      </c>
      <c r="K535" s="43">
        <v>0</v>
      </c>
      <c r="L535" s="43">
        <v>0</v>
      </c>
      <c r="M535" s="43">
        <v>0</v>
      </c>
      <c r="N535" s="43">
        <v>0</v>
      </c>
      <c r="O535" s="43">
        <v>0</v>
      </c>
      <c r="P535" s="47">
        <v>0</v>
      </c>
      <c r="R535" s="37">
        <v>0</v>
      </c>
      <c r="S535" s="37">
        <v>0</v>
      </c>
      <c r="T535" s="37">
        <v>4000</v>
      </c>
      <c r="U535" s="37">
        <v>0</v>
      </c>
      <c r="V535" s="37">
        <v>2000</v>
      </c>
      <c r="W535" s="37">
        <v>0</v>
      </c>
      <c r="X535" s="37">
        <v>0</v>
      </c>
      <c r="Y535" s="37">
        <v>0</v>
      </c>
      <c r="Z535" s="37">
        <v>400</v>
      </c>
      <c r="AA535" s="37">
        <v>0</v>
      </c>
      <c r="AB535" s="37">
        <v>200</v>
      </c>
      <c r="AC535" s="37">
        <v>0</v>
      </c>
      <c r="AD535" s="37">
        <v>80</v>
      </c>
      <c r="AE535" s="37">
        <v>0</v>
      </c>
      <c r="AF535" s="37">
        <v>0</v>
      </c>
      <c r="AG535" s="59">
        <v>6680</v>
      </c>
      <c r="AH535" s="37">
        <v>0</v>
      </c>
      <c r="AI535" s="37">
        <v>0</v>
      </c>
      <c r="AJ535" s="37">
        <v>0</v>
      </c>
      <c r="AK535" s="37">
        <v>0</v>
      </c>
      <c r="AL535" s="37">
        <v>5</v>
      </c>
      <c r="AM535" s="37">
        <v>0</v>
      </c>
      <c r="AN535" s="37">
        <v>4</v>
      </c>
      <c r="AO535" s="37">
        <v>0</v>
      </c>
      <c r="AP535" s="37">
        <v>2</v>
      </c>
      <c r="AQ535" s="37">
        <v>0</v>
      </c>
      <c r="AR535" s="37">
        <v>0</v>
      </c>
      <c r="AS535" s="59">
        <v>11</v>
      </c>
      <c r="AT535" s="59">
        <v>6691</v>
      </c>
      <c r="AU535" s="45"/>
      <c r="AV535" s="37">
        <v>0</v>
      </c>
      <c r="AW535" s="37">
        <v>0</v>
      </c>
      <c r="AX535" s="37">
        <v>0</v>
      </c>
      <c r="AY535" s="37">
        <v>0</v>
      </c>
      <c r="AZ535" s="37">
        <v>0</v>
      </c>
      <c r="BA535" s="37">
        <v>0</v>
      </c>
      <c r="BB535" s="37">
        <v>0</v>
      </c>
      <c r="BC535" s="37">
        <v>0</v>
      </c>
      <c r="BD535" s="37">
        <v>0</v>
      </c>
      <c r="BE535" s="37">
        <v>0</v>
      </c>
      <c r="BF535" s="37">
        <v>0</v>
      </c>
      <c r="BG535" s="37">
        <v>0</v>
      </c>
      <c r="BH535" s="37">
        <v>0</v>
      </c>
      <c r="BI535" s="37">
        <v>0</v>
      </c>
      <c r="BJ535" s="37">
        <v>0</v>
      </c>
      <c r="BK535" s="59">
        <v>0</v>
      </c>
      <c r="BL535" s="37">
        <v>0</v>
      </c>
      <c r="BM535" s="37">
        <v>0</v>
      </c>
      <c r="BN535" s="37">
        <v>0</v>
      </c>
      <c r="BO535" s="37">
        <v>0</v>
      </c>
      <c r="BP535" s="37">
        <v>0</v>
      </c>
      <c r="BQ535" s="37">
        <v>0</v>
      </c>
      <c r="BR535" s="37">
        <v>0</v>
      </c>
      <c r="BS535" s="37">
        <v>0</v>
      </c>
      <c r="BT535" s="37">
        <v>0</v>
      </c>
      <c r="BU535" s="37">
        <v>0</v>
      </c>
      <c r="BV535" s="37">
        <v>0</v>
      </c>
      <c r="BW535" s="59">
        <v>0</v>
      </c>
      <c r="BX535" s="59">
        <v>0</v>
      </c>
      <c r="BZ535" s="37">
        <v>4000</v>
      </c>
      <c r="CA535" s="37">
        <v>2000</v>
      </c>
      <c r="CB535" s="37">
        <v>0</v>
      </c>
      <c r="CC535" s="37">
        <v>400</v>
      </c>
      <c r="CD535" s="37">
        <v>200</v>
      </c>
      <c r="CE535" s="37">
        <v>80</v>
      </c>
      <c r="CF535" s="37">
        <v>0</v>
      </c>
      <c r="CG535" s="59">
        <v>6680</v>
      </c>
      <c r="CH535" s="37">
        <v>0</v>
      </c>
      <c r="CI535" s="37">
        <v>5</v>
      </c>
      <c r="CJ535" s="37">
        <v>4</v>
      </c>
      <c r="CK535" s="37">
        <v>2</v>
      </c>
      <c r="CL535" s="37">
        <v>0</v>
      </c>
      <c r="CM535" s="37">
        <v>0</v>
      </c>
      <c r="CN535" s="59">
        <v>11</v>
      </c>
      <c r="CO535" s="59">
        <v>6691</v>
      </c>
      <c r="CP535" s="58"/>
      <c r="CQ535" s="3">
        <v>6691</v>
      </c>
    </row>
    <row r="536" spans="1:95" customFormat="1" x14ac:dyDescent="0.2">
      <c r="A536" s="209">
        <v>43426</v>
      </c>
      <c r="B536" s="33" t="s">
        <v>53</v>
      </c>
      <c r="C536" s="33" t="s">
        <v>84</v>
      </c>
      <c r="D536" s="43">
        <v>0</v>
      </c>
      <c r="E536" s="43">
        <v>1</v>
      </c>
      <c r="F536" s="43">
        <v>0</v>
      </c>
      <c r="G536" s="43">
        <v>0</v>
      </c>
      <c r="H536" s="43">
        <v>0</v>
      </c>
      <c r="I536" s="43">
        <v>0</v>
      </c>
      <c r="J536" s="43">
        <v>0</v>
      </c>
      <c r="K536" s="43">
        <v>0</v>
      </c>
      <c r="L536" s="43">
        <v>0</v>
      </c>
      <c r="M536" s="43">
        <v>0</v>
      </c>
      <c r="N536" s="43">
        <v>0</v>
      </c>
      <c r="O536" s="43">
        <v>0</v>
      </c>
      <c r="P536" s="47" t="s">
        <v>45</v>
      </c>
      <c r="R536" s="37">
        <v>0</v>
      </c>
      <c r="S536" s="37">
        <v>0</v>
      </c>
      <c r="T536" s="37">
        <v>0</v>
      </c>
      <c r="U536" s="37">
        <v>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0</v>
      </c>
      <c r="AB536" s="37">
        <v>0</v>
      </c>
      <c r="AC536" s="37">
        <v>0</v>
      </c>
      <c r="AD536" s="37">
        <v>0</v>
      </c>
      <c r="AE536" s="37">
        <v>0</v>
      </c>
      <c r="AF536" s="37">
        <v>0</v>
      </c>
      <c r="AG536" s="59">
        <v>0</v>
      </c>
      <c r="AH536" s="37">
        <v>6250</v>
      </c>
      <c r="AI536" s="37">
        <v>0</v>
      </c>
      <c r="AJ536" s="37">
        <v>0</v>
      </c>
      <c r="AK536" s="37">
        <v>0</v>
      </c>
      <c r="AL536" s="37">
        <v>0</v>
      </c>
      <c r="AM536" s="37">
        <v>0</v>
      </c>
      <c r="AN536" s="37">
        <v>0</v>
      </c>
      <c r="AO536" s="37">
        <v>0</v>
      </c>
      <c r="AP536" s="37">
        <v>0</v>
      </c>
      <c r="AQ536" s="37">
        <v>0</v>
      </c>
      <c r="AR536" s="37">
        <v>0</v>
      </c>
      <c r="AS536" s="59">
        <v>6250</v>
      </c>
      <c r="AT536" s="59">
        <v>6250</v>
      </c>
      <c r="AU536" s="45"/>
      <c r="AV536" s="37">
        <v>0</v>
      </c>
      <c r="AW536" s="37">
        <v>0</v>
      </c>
      <c r="AX536" s="37">
        <v>0</v>
      </c>
      <c r="AY536" s="37">
        <v>0</v>
      </c>
      <c r="AZ536" s="37">
        <v>0</v>
      </c>
      <c r="BA536" s="37">
        <v>0</v>
      </c>
      <c r="BB536" s="37">
        <v>0</v>
      </c>
      <c r="BC536" s="37">
        <v>0</v>
      </c>
      <c r="BD536" s="37">
        <v>0</v>
      </c>
      <c r="BE536" s="37">
        <v>0</v>
      </c>
      <c r="BF536" s="37">
        <v>0</v>
      </c>
      <c r="BG536" s="37">
        <v>0</v>
      </c>
      <c r="BH536" s="37">
        <v>0</v>
      </c>
      <c r="BI536" s="37">
        <v>0</v>
      </c>
      <c r="BJ536" s="37">
        <v>0</v>
      </c>
      <c r="BK536" s="59">
        <v>0</v>
      </c>
      <c r="BL536" s="37">
        <v>0</v>
      </c>
      <c r="BM536" s="37">
        <v>0</v>
      </c>
      <c r="BN536" s="37">
        <v>0</v>
      </c>
      <c r="BO536" s="37">
        <v>0</v>
      </c>
      <c r="BP536" s="37">
        <v>0</v>
      </c>
      <c r="BQ536" s="37">
        <v>0</v>
      </c>
      <c r="BR536" s="37">
        <v>0</v>
      </c>
      <c r="BS536" s="37">
        <v>0</v>
      </c>
      <c r="BT536" s="37">
        <v>0</v>
      </c>
      <c r="BU536" s="37">
        <v>0</v>
      </c>
      <c r="BV536" s="37">
        <v>0</v>
      </c>
      <c r="BW536" s="59">
        <v>0</v>
      </c>
      <c r="BX536" s="59">
        <v>0</v>
      </c>
      <c r="BZ536" s="37">
        <v>0</v>
      </c>
      <c r="CA536" s="37">
        <v>0</v>
      </c>
      <c r="CB536" s="37">
        <v>0</v>
      </c>
      <c r="CC536" s="37">
        <v>0</v>
      </c>
      <c r="CD536" s="37">
        <v>0</v>
      </c>
      <c r="CE536" s="37">
        <v>0</v>
      </c>
      <c r="CF536" s="37">
        <v>0</v>
      </c>
      <c r="CG536" s="59">
        <v>0</v>
      </c>
      <c r="CH536" s="37">
        <v>6250</v>
      </c>
      <c r="CI536" s="37">
        <v>0</v>
      </c>
      <c r="CJ536" s="37">
        <v>0</v>
      </c>
      <c r="CK536" s="37">
        <v>0</v>
      </c>
      <c r="CL536" s="37">
        <v>0</v>
      </c>
      <c r="CM536" s="37">
        <v>0</v>
      </c>
      <c r="CN536" s="59">
        <v>6250</v>
      </c>
      <c r="CO536" s="59">
        <v>6250</v>
      </c>
      <c r="CP536" s="58"/>
      <c r="CQ536" s="3">
        <v>6250</v>
      </c>
    </row>
    <row r="537" spans="1:95" customFormat="1" x14ac:dyDescent="0.2">
      <c r="A537" s="209">
        <v>43426</v>
      </c>
      <c r="B537" s="33" t="s">
        <v>53</v>
      </c>
      <c r="C537" s="33" t="s">
        <v>54</v>
      </c>
      <c r="D537" s="43">
        <v>1</v>
      </c>
      <c r="E537" s="43">
        <v>0</v>
      </c>
      <c r="F537" s="43">
        <v>0</v>
      </c>
      <c r="G537" s="43">
        <v>0</v>
      </c>
      <c r="H537" s="43">
        <v>0</v>
      </c>
      <c r="I537" s="43">
        <v>0</v>
      </c>
      <c r="J537" s="43">
        <v>0</v>
      </c>
      <c r="K537" s="43">
        <v>0</v>
      </c>
      <c r="L537" s="43">
        <v>0</v>
      </c>
      <c r="M537" s="43">
        <v>0</v>
      </c>
      <c r="N537" s="43">
        <v>0</v>
      </c>
      <c r="O537" s="43">
        <v>0</v>
      </c>
      <c r="P537" s="47" t="s">
        <v>45</v>
      </c>
      <c r="R537" s="37">
        <v>0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v>0</v>
      </c>
      <c r="AD537" s="37">
        <v>0</v>
      </c>
      <c r="AE537" s="37">
        <v>0</v>
      </c>
      <c r="AF537" s="37">
        <v>0</v>
      </c>
      <c r="AG537" s="59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3125</v>
      </c>
      <c r="AM537" s="37">
        <v>0</v>
      </c>
      <c r="AN537" s="37">
        <v>0</v>
      </c>
      <c r="AO537" s="37">
        <v>0</v>
      </c>
      <c r="AP537" s="37">
        <v>0</v>
      </c>
      <c r="AQ537" s="37">
        <v>0</v>
      </c>
      <c r="AR537" s="37">
        <v>0</v>
      </c>
      <c r="AS537" s="59">
        <v>3125</v>
      </c>
      <c r="AT537" s="59">
        <v>3125</v>
      </c>
      <c r="AU537" s="45"/>
      <c r="AV537" s="37">
        <v>0</v>
      </c>
      <c r="AW537" s="37">
        <v>0</v>
      </c>
      <c r="AX537" s="37">
        <v>0</v>
      </c>
      <c r="AY537" s="37">
        <v>0</v>
      </c>
      <c r="AZ537" s="37">
        <v>0</v>
      </c>
      <c r="BA537" s="37">
        <v>0</v>
      </c>
      <c r="BB537" s="37">
        <v>0</v>
      </c>
      <c r="BC537" s="37">
        <v>0</v>
      </c>
      <c r="BD537" s="37">
        <v>0</v>
      </c>
      <c r="BE537" s="37">
        <v>0</v>
      </c>
      <c r="BF537" s="37">
        <v>0</v>
      </c>
      <c r="BG537" s="37">
        <v>0</v>
      </c>
      <c r="BH537" s="37">
        <v>0</v>
      </c>
      <c r="BI537" s="37">
        <v>0</v>
      </c>
      <c r="BJ537" s="37">
        <v>0</v>
      </c>
      <c r="BK537" s="59">
        <v>0</v>
      </c>
      <c r="BL537" s="37">
        <v>0</v>
      </c>
      <c r="BM537" s="37">
        <v>0</v>
      </c>
      <c r="BN537" s="37">
        <v>0</v>
      </c>
      <c r="BO537" s="37">
        <v>0</v>
      </c>
      <c r="BP537" s="37">
        <v>0</v>
      </c>
      <c r="BQ537" s="37">
        <v>0</v>
      </c>
      <c r="BR537" s="37">
        <v>0</v>
      </c>
      <c r="BS537" s="37">
        <v>0</v>
      </c>
      <c r="BT537" s="37">
        <v>0</v>
      </c>
      <c r="BU537" s="37">
        <v>0</v>
      </c>
      <c r="BV537" s="37">
        <v>0</v>
      </c>
      <c r="BW537" s="59">
        <v>0</v>
      </c>
      <c r="BX537" s="59">
        <v>0</v>
      </c>
      <c r="BZ537" s="37">
        <v>0</v>
      </c>
      <c r="CA537" s="37">
        <v>0</v>
      </c>
      <c r="CB537" s="37">
        <v>0</v>
      </c>
      <c r="CC537" s="37">
        <v>0</v>
      </c>
      <c r="CD537" s="37">
        <v>0</v>
      </c>
      <c r="CE537" s="37">
        <v>0</v>
      </c>
      <c r="CF537" s="37">
        <v>0</v>
      </c>
      <c r="CG537" s="59">
        <v>0</v>
      </c>
      <c r="CH537" s="37">
        <v>0</v>
      </c>
      <c r="CI537" s="37">
        <v>3125</v>
      </c>
      <c r="CJ537" s="37">
        <v>0</v>
      </c>
      <c r="CK537" s="37">
        <v>0</v>
      </c>
      <c r="CL537" s="37">
        <v>0</v>
      </c>
      <c r="CM537" s="37">
        <v>0</v>
      </c>
      <c r="CN537" s="59">
        <v>3125</v>
      </c>
      <c r="CO537" s="59">
        <v>3125</v>
      </c>
      <c r="CP537" s="58"/>
      <c r="CQ537" s="3">
        <v>3125</v>
      </c>
    </row>
    <row r="538" spans="1:95" customFormat="1" x14ac:dyDescent="0.2">
      <c r="A538" s="209">
        <v>43427</v>
      </c>
      <c r="B538" s="33" t="s">
        <v>55</v>
      </c>
      <c r="C538" s="33" t="s">
        <v>56</v>
      </c>
      <c r="D538" s="43">
        <v>0</v>
      </c>
      <c r="E538" s="43">
        <v>0</v>
      </c>
      <c r="F538" s="43">
        <v>0</v>
      </c>
      <c r="G538" s="43">
        <v>0</v>
      </c>
      <c r="H538" s="43">
        <v>0</v>
      </c>
      <c r="I538" s="43">
        <v>0</v>
      </c>
      <c r="J538" s="43">
        <v>0</v>
      </c>
      <c r="K538" s="43">
        <v>0</v>
      </c>
      <c r="L538" s="43">
        <v>0</v>
      </c>
      <c r="M538" s="43">
        <v>0</v>
      </c>
      <c r="N538" s="43">
        <v>0</v>
      </c>
      <c r="O538" s="43">
        <v>0</v>
      </c>
      <c r="P538" s="47">
        <v>0</v>
      </c>
      <c r="R538" s="37">
        <v>0</v>
      </c>
      <c r="S538" s="37">
        <v>0</v>
      </c>
      <c r="T538" s="37">
        <v>4000</v>
      </c>
      <c r="U538" s="37">
        <v>0</v>
      </c>
      <c r="V538" s="37">
        <v>2000</v>
      </c>
      <c r="W538" s="37">
        <v>0</v>
      </c>
      <c r="X538" s="37">
        <v>800</v>
      </c>
      <c r="Y538" s="37">
        <v>0</v>
      </c>
      <c r="Z538" s="37">
        <v>400</v>
      </c>
      <c r="AA538" s="37">
        <v>0</v>
      </c>
      <c r="AB538" s="37">
        <v>200</v>
      </c>
      <c r="AC538" s="37">
        <v>0</v>
      </c>
      <c r="AD538" s="37">
        <v>80</v>
      </c>
      <c r="AE538" s="37">
        <v>0</v>
      </c>
      <c r="AF538" s="37">
        <v>0</v>
      </c>
      <c r="AG538" s="59">
        <v>7480</v>
      </c>
      <c r="AH538" s="37">
        <v>0</v>
      </c>
      <c r="AI538" s="37">
        <v>0</v>
      </c>
      <c r="AJ538" s="37">
        <v>0</v>
      </c>
      <c r="AK538" s="37">
        <v>0</v>
      </c>
      <c r="AL538" s="37">
        <v>0</v>
      </c>
      <c r="AM538" s="37">
        <v>0</v>
      </c>
      <c r="AN538" s="37">
        <v>0</v>
      </c>
      <c r="AO538" s="37">
        <v>0</v>
      </c>
      <c r="AP538" s="37">
        <v>0</v>
      </c>
      <c r="AQ538" s="37">
        <v>0</v>
      </c>
      <c r="AR538" s="37">
        <v>0</v>
      </c>
      <c r="AS538" s="59">
        <v>0</v>
      </c>
      <c r="AT538" s="59">
        <v>7480</v>
      </c>
      <c r="AU538" s="45"/>
      <c r="AV538" s="37">
        <v>0</v>
      </c>
      <c r="AW538" s="37">
        <v>0</v>
      </c>
      <c r="AX538" s="37">
        <v>0</v>
      </c>
      <c r="AY538" s="37">
        <v>0</v>
      </c>
      <c r="AZ538" s="37">
        <v>0</v>
      </c>
      <c r="BA538" s="37">
        <v>0</v>
      </c>
      <c r="BB538" s="37">
        <v>0</v>
      </c>
      <c r="BC538" s="37">
        <v>0</v>
      </c>
      <c r="BD538" s="37">
        <v>0</v>
      </c>
      <c r="BE538" s="37">
        <v>0</v>
      </c>
      <c r="BF538" s="37">
        <v>0</v>
      </c>
      <c r="BG538" s="37">
        <v>0</v>
      </c>
      <c r="BH538" s="37">
        <v>0</v>
      </c>
      <c r="BI538" s="37">
        <v>0</v>
      </c>
      <c r="BJ538" s="37">
        <v>0</v>
      </c>
      <c r="BK538" s="59">
        <v>0</v>
      </c>
      <c r="BL538" s="37">
        <v>0</v>
      </c>
      <c r="BM538" s="37">
        <v>0</v>
      </c>
      <c r="BN538" s="37">
        <v>0</v>
      </c>
      <c r="BO538" s="37">
        <v>0</v>
      </c>
      <c r="BP538" s="37">
        <v>0</v>
      </c>
      <c r="BQ538" s="37">
        <v>0</v>
      </c>
      <c r="BR538" s="37">
        <v>0</v>
      </c>
      <c r="BS538" s="37">
        <v>0</v>
      </c>
      <c r="BT538" s="37">
        <v>0</v>
      </c>
      <c r="BU538" s="37">
        <v>0</v>
      </c>
      <c r="BV538" s="37">
        <v>0</v>
      </c>
      <c r="BW538" s="59">
        <v>0</v>
      </c>
      <c r="BX538" s="59">
        <v>0</v>
      </c>
      <c r="BZ538" s="37">
        <v>4000</v>
      </c>
      <c r="CA538" s="37">
        <v>2000</v>
      </c>
      <c r="CB538" s="37">
        <v>800</v>
      </c>
      <c r="CC538" s="37">
        <v>400</v>
      </c>
      <c r="CD538" s="37">
        <v>200</v>
      </c>
      <c r="CE538" s="37">
        <v>80</v>
      </c>
      <c r="CF538" s="37">
        <v>0</v>
      </c>
      <c r="CG538" s="59">
        <v>7480</v>
      </c>
      <c r="CH538" s="37">
        <v>0</v>
      </c>
      <c r="CI538" s="37">
        <v>0</v>
      </c>
      <c r="CJ538" s="37">
        <v>0</v>
      </c>
      <c r="CK538" s="37">
        <v>0</v>
      </c>
      <c r="CL538" s="37">
        <v>0</v>
      </c>
      <c r="CM538" s="37">
        <v>0</v>
      </c>
      <c r="CN538" s="59">
        <v>0</v>
      </c>
      <c r="CO538" s="59">
        <v>7480</v>
      </c>
      <c r="CP538" s="58"/>
      <c r="CQ538" s="3">
        <v>7480</v>
      </c>
    </row>
    <row r="539" spans="1:95" customFormat="1" x14ac:dyDescent="0.2">
      <c r="A539" s="209">
        <v>43427</v>
      </c>
      <c r="B539" s="33" t="s">
        <v>70</v>
      </c>
      <c r="C539" s="33" t="s">
        <v>71</v>
      </c>
      <c r="D539" s="43">
        <v>0</v>
      </c>
      <c r="E539" s="43">
        <v>0</v>
      </c>
      <c r="F539" s="43">
        <v>0</v>
      </c>
      <c r="G539" s="43">
        <v>0</v>
      </c>
      <c r="H539" s="43">
        <v>0</v>
      </c>
      <c r="I539" s="43">
        <v>1</v>
      </c>
      <c r="J539" s="43">
        <v>0</v>
      </c>
      <c r="K539" s="43">
        <v>0</v>
      </c>
      <c r="L539" s="43">
        <v>0</v>
      </c>
      <c r="M539" s="43">
        <v>0</v>
      </c>
      <c r="N539" s="43">
        <v>0</v>
      </c>
      <c r="O539" s="43">
        <v>0</v>
      </c>
      <c r="P539" s="47" t="s">
        <v>45</v>
      </c>
      <c r="R539" s="37">
        <v>0</v>
      </c>
      <c r="S539" s="37">
        <v>0</v>
      </c>
      <c r="T539" s="37">
        <v>2400000</v>
      </c>
      <c r="U539" s="37">
        <v>0</v>
      </c>
      <c r="V539" s="37">
        <v>600000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v>0</v>
      </c>
      <c r="AD539" s="37">
        <v>0</v>
      </c>
      <c r="AE539" s="37">
        <v>0</v>
      </c>
      <c r="AF539" s="37">
        <v>4000</v>
      </c>
      <c r="AG539" s="59">
        <v>3004000</v>
      </c>
      <c r="AH539" s="37">
        <v>1500</v>
      </c>
      <c r="AI539" s="37">
        <v>0</v>
      </c>
      <c r="AJ539" s="37">
        <v>0</v>
      </c>
      <c r="AK539" s="37">
        <v>0</v>
      </c>
      <c r="AL539" s="37">
        <v>1500</v>
      </c>
      <c r="AM539" s="37">
        <v>0</v>
      </c>
      <c r="AN539" s="37">
        <v>400</v>
      </c>
      <c r="AO539" s="37">
        <v>0</v>
      </c>
      <c r="AP539" s="37">
        <v>200</v>
      </c>
      <c r="AQ539" s="37">
        <v>0</v>
      </c>
      <c r="AR539" s="37">
        <v>0</v>
      </c>
      <c r="AS539" s="59">
        <v>3600</v>
      </c>
      <c r="AT539" s="59">
        <v>3007600</v>
      </c>
      <c r="AU539" s="45"/>
      <c r="AV539" s="37">
        <v>0</v>
      </c>
      <c r="AW539" s="37">
        <v>0</v>
      </c>
      <c r="AX539" s="37">
        <v>0</v>
      </c>
      <c r="AY539" s="37">
        <v>0</v>
      </c>
      <c r="AZ539" s="37">
        <v>0</v>
      </c>
      <c r="BA539" s="37">
        <v>0</v>
      </c>
      <c r="BB539" s="37">
        <v>0</v>
      </c>
      <c r="BC539" s="37">
        <v>0</v>
      </c>
      <c r="BD539" s="37">
        <v>0</v>
      </c>
      <c r="BE539" s="37">
        <v>0</v>
      </c>
      <c r="BF539" s="37">
        <v>0</v>
      </c>
      <c r="BG539" s="37">
        <v>0</v>
      </c>
      <c r="BH539" s="37">
        <v>0</v>
      </c>
      <c r="BI539" s="37">
        <v>0</v>
      </c>
      <c r="BJ539" s="37">
        <v>0</v>
      </c>
      <c r="BK539" s="59">
        <v>0</v>
      </c>
      <c r="BL539" s="37">
        <v>0</v>
      </c>
      <c r="BM539" s="37">
        <v>0</v>
      </c>
      <c r="BN539" s="37">
        <v>0</v>
      </c>
      <c r="BO539" s="37">
        <v>0</v>
      </c>
      <c r="BP539" s="37">
        <v>0</v>
      </c>
      <c r="BQ539" s="37">
        <v>0</v>
      </c>
      <c r="BR539" s="37">
        <v>0</v>
      </c>
      <c r="BS539" s="37">
        <v>0</v>
      </c>
      <c r="BT539" s="37">
        <v>0</v>
      </c>
      <c r="BU539" s="37">
        <v>0</v>
      </c>
      <c r="BV539" s="37">
        <v>0</v>
      </c>
      <c r="BW539" s="59">
        <v>0</v>
      </c>
      <c r="BX539" s="59">
        <v>0</v>
      </c>
      <c r="BZ539" s="37">
        <v>2400000</v>
      </c>
      <c r="CA539" s="37">
        <v>600000</v>
      </c>
      <c r="CB539" s="37">
        <v>0</v>
      </c>
      <c r="CC539" s="37">
        <v>0</v>
      </c>
      <c r="CD539" s="37">
        <v>0</v>
      </c>
      <c r="CE539" s="37">
        <v>0</v>
      </c>
      <c r="CF539" s="37">
        <v>4000</v>
      </c>
      <c r="CG539" s="59">
        <v>3004000</v>
      </c>
      <c r="CH539" s="37">
        <v>1500</v>
      </c>
      <c r="CI539" s="37">
        <v>1500</v>
      </c>
      <c r="CJ539" s="37">
        <v>400</v>
      </c>
      <c r="CK539" s="37">
        <v>200</v>
      </c>
      <c r="CL539" s="37">
        <v>0</v>
      </c>
      <c r="CM539" s="37">
        <v>0</v>
      </c>
      <c r="CN539" s="59">
        <v>3600</v>
      </c>
      <c r="CO539" s="59">
        <v>3007600</v>
      </c>
      <c r="CP539" s="58"/>
      <c r="CQ539" s="3">
        <v>3007600</v>
      </c>
    </row>
    <row r="540" spans="1:95" customFormat="1" x14ac:dyDescent="0.2">
      <c r="A540" s="209">
        <v>43430</v>
      </c>
      <c r="B540" s="33" t="s">
        <v>55</v>
      </c>
      <c r="C540" s="33" t="s">
        <v>56</v>
      </c>
      <c r="D540" s="43">
        <v>0</v>
      </c>
      <c r="E540" s="43">
        <v>0</v>
      </c>
      <c r="F540" s="43">
        <v>0</v>
      </c>
      <c r="G540" s="43">
        <v>0</v>
      </c>
      <c r="H540" s="43">
        <v>0</v>
      </c>
      <c r="I540" s="43">
        <v>0</v>
      </c>
      <c r="J540" s="43">
        <v>0</v>
      </c>
      <c r="K540" s="43">
        <v>0</v>
      </c>
      <c r="L540" s="43">
        <v>0</v>
      </c>
      <c r="M540" s="43">
        <v>0</v>
      </c>
      <c r="N540" s="43">
        <v>0</v>
      </c>
      <c r="O540" s="43">
        <v>0</v>
      </c>
      <c r="P540" s="47">
        <v>0</v>
      </c>
      <c r="R540" s="37">
        <v>0</v>
      </c>
      <c r="S540" s="37">
        <v>0</v>
      </c>
      <c r="T540" s="37">
        <v>4000</v>
      </c>
      <c r="U540" s="37">
        <v>0</v>
      </c>
      <c r="V540" s="37">
        <v>2000</v>
      </c>
      <c r="W540" s="37">
        <v>0</v>
      </c>
      <c r="X540" s="37">
        <v>0</v>
      </c>
      <c r="Y540" s="37">
        <v>0</v>
      </c>
      <c r="Z540" s="37">
        <v>400</v>
      </c>
      <c r="AA540" s="37">
        <v>0</v>
      </c>
      <c r="AB540" s="37">
        <v>200</v>
      </c>
      <c r="AC540" s="37">
        <v>0</v>
      </c>
      <c r="AD540" s="37">
        <v>80</v>
      </c>
      <c r="AE540" s="37">
        <v>0</v>
      </c>
      <c r="AF540" s="37">
        <v>0</v>
      </c>
      <c r="AG540" s="59">
        <v>6680</v>
      </c>
      <c r="AH540" s="37">
        <v>0</v>
      </c>
      <c r="AI540" s="37">
        <v>0</v>
      </c>
      <c r="AJ540" s="37">
        <v>0</v>
      </c>
      <c r="AK540" s="37">
        <v>0</v>
      </c>
      <c r="AL540" s="37">
        <v>0</v>
      </c>
      <c r="AM540" s="37">
        <v>0</v>
      </c>
      <c r="AN540" s="37">
        <v>0</v>
      </c>
      <c r="AO540" s="37">
        <v>0</v>
      </c>
      <c r="AP540" s="37">
        <v>0</v>
      </c>
      <c r="AQ540" s="37">
        <v>0</v>
      </c>
      <c r="AR540" s="37">
        <v>0</v>
      </c>
      <c r="AS540" s="59">
        <v>0</v>
      </c>
      <c r="AT540" s="59">
        <v>6680</v>
      </c>
      <c r="AU540" s="45"/>
      <c r="AV540" s="37">
        <v>0</v>
      </c>
      <c r="AW540" s="37">
        <v>0</v>
      </c>
      <c r="AX540" s="37">
        <v>0</v>
      </c>
      <c r="AY540" s="37">
        <v>0</v>
      </c>
      <c r="AZ540" s="37">
        <v>0</v>
      </c>
      <c r="BA540" s="37">
        <v>0</v>
      </c>
      <c r="BB540" s="37">
        <v>0</v>
      </c>
      <c r="BC540" s="37">
        <v>0</v>
      </c>
      <c r="BD540" s="37">
        <v>0</v>
      </c>
      <c r="BE540" s="37">
        <v>0</v>
      </c>
      <c r="BF540" s="37">
        <v>0</v>
      </c>
      <c r="BG540" s="37">
        <v>0</v>
      </c>
      <c r="BH540" s="37">
        <v>0</v>
      </c>
      <c r="BI540" s="37">
        <v>0</v>
      </c>
      <c r="BJ540" s="37">
        <v>0</v>
      </c>
      <c r="BK540" s="59">
        <v>0</v>
      </c>
      <c r="BL540" s="37">
        <v>0</v>
      </c>
      <c r="BM540" s="37">
        <v>0</v>
      </c>
      <c r="BN540" s="37">
        <v>0</v>
      </c>
      <c r="BO540" s="37">
        <v>0</v>
      </c>
      <c r="BP540" s="37">
        <v>0</v>
      </c>
      <c r="BQ540" s="37">
        <v>0</v>
      </c>
      <c r="BR540" s="37">
        <v>0</v>
      </c>
      <c r="BS540" s="37">
        <v>0</v>
      </c>
      <c r="BT540" s="37">
        <v>0</v>
      </c>
      <c r="BU540" s="37">
        <v>0</v>
      </c>
      <c r="BV540" s="37">
        <v>0</v>
      </c>
      <c r="BW540" s="59">
        <v>0</v>
      </c>
      <c r="BX540" s="59">
        <v>0</v>
      </c>
      <c r="BZ540" s="37">
        <v>4000</v>
      </c>
      <c r="CA540" s="37">
        <v>2000</v>
      </c>
      <c r="CB540" s="37">
        <v>0</v>
      </c>
      <c r="CC540" s="37">
        <v>400</v>
      </c>
      <c r="CD540" s="37">
        <v>200</v>
      </c>
      <c r="CE540" s="37">
        <v>80</v>
      </c>
      <c r="CF540" s="37">
        <v>0</v>
      </c>
      <c r="CG540" s="59">
        <v>6680</v>
      </c>
      <c r="CH540" s="37">
        <v>0</v>
      </c>
      <c r="CI540" s="37">
        <v>0</v>
      </c>
      <c r="CJ540" s="37">
        <v>0</v>
      </c>
      <c r="CK540" s="37">
        <v>0</v>
      </c>
      <c r="CL540" s="37">
        <v>0</v>
      </c>
      <c r="CM540" s="37">
        <v>0</v>
      </c>
      <c r="CN540" s="59">
        <v>0</v>
      </c>
      <c r="CO540" s="59">
        <v>6680</v>
      </c>
      <c r="CP540" s="58"/>
      <c r="CQ540" s="3">
        <v>6680</v>
      </c>
    </row>
    <row r="541" spans="1:95" customFormat="1" x14ac:dyDescent="0.2">
      <c r="A541" s="209">
        <v>43431</v>
      </c>
      <c r="B541" s="33" t="s">
        <v>55</v>
      </c>
      <c r="C541" s="33" t="s">
        <v>56</v>
      </c>
      <c r="D541" s="43">
        <v>0</v>
      </c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>
        <v>0</v>
      </c>
      <c r="M541" s="43">
        <v>0</v>
      </c>
      <c r="N541" s="43">
        <v>0</v>
      </c>
      <c r="O541" s="43">
        <v>0</v>
      </c>
      <c r="P541" s="47">
        <v>0</v>
      </c>
      <c r="R541" s="37">
        <v>0</v>
      </c>
      <c r="S541" s="37">
        <v>0</v>
      </c>
      <c r="T541" s="37">
        <v>4000</v>
      </c>
      <c r="U541" s="37">
        <v>0</v>
      </c>
      <c r="V541" s="37">
        <v>2000</v>
      </c>
      <c r="W541" s="37">
        <v>0</v>
      </c>
      <c r="X541" s="37">
        <v>0</v>
      </c>
      <c r="Y541" s="37">
        <v>0</v>
      </c>
      <c r="Z541" s="37">
        <v>400</v>
      </c>
      <c r="AA541" s="37">
        <v>0</v>
      </c>
      <c r="AB541" s="37">
        <v>200</v>
      </c>
      <c r="AC541" s="37">
        <v>0</v>
      </c>
      <c r="AD541" s="37">
        <v>80</v>
      </c>
      <c r="AE541" s="37">
        <v>0</v>
      </c>
      <c r="AF541" s="37">
        <v>0</v>
      </c>
      <c r="AG541" s="59">
        <v>6680</v>
      </c>
      <c r="AH541" s="37">
        <v>0</v>
      </c>
      <c r="AI541" s="37">
        <v>0</v>
      </c>
      <c r="AJ541" s="37">
        <v>0</v>
      </c>
      <c r="AK541" s="37">
        <v>0</v>
      </c>
      <c r="AL541" s="37">
        <v>5</v>
      </c>
      <c r="AM541" s="37">
        <v>0</v>
      </c>
      <c r="AN541" s="37">
        <v>4</v>
      </c>
      <c r="AO541" s="37">
        <v>0</v>
      </c>
      <c r="AP541" s="37">
        <v>2</v>
      </c>
      <c r="AQ541" s="37">
        <v>0</v>
      </c>
      <c r="AR541" s="37">
        <v>0</v>
      </c>
      <c r="AS541" s="59">
        <v>11</v>
      </c>
      <c r="AT541" s="59">
        <v>6691</v>
      </c>
      <c r="AU541" s="45"/>
      <c r="AV541" s="37">
        <v>0</v>
      </c>
      <c r="AW541" s="37">
        <v>0</v>
      </c>
      <c r="AX541" s="37">
        <v>0</v>
      </c>
      <c r="AY541" s="37">
        <v>0</v>
      </c>
      <c r="AZ541" s="37">
        <v>0</v>
      </c>
      <c r="BA541" s="37">
        <v>0</v>
      </c>
      <c r="BB541" s="37">
        <v>0</v>
      </c>
      <c r="BC541" s="37">
        <v>0</v>
      </c>
      <c r="BD541" s="37">
        <v>0</v>
      </c>
      <c r="BE541" s="37">
        <v>0</v>
      </c>
      <c r="BF541" s="37">
        <v>0</v>
      </c>
      <c r="BG541" s="37">
        <v>0</v>
      </c>
      <c r="BH541" s="37">
        <v>0</v>
      </c>
      <c r="BI541" s="37">
        <v>0</v>
      </c>
      <c r="BJ541" s="37">
        <v>0</v>
      </c>
      <c r="BK541" s="59">
        <v>0</v>
      </c>
      <c r="BL541" s="37">
        <v>0</v>
      </c>
      <c r="BM541" s="37">
        <v>0</v>
      </c>
      <c r="BN541" s="37">
        <v>0</v>
      </c>
      <c r="BO541" s="37">
        <v>0</v>
      </c>
      <c r="BP541" s="37">
        <v>0</v>
      </c>
      <c r="BQ541" s="37">
        <v>0</v>
      </c>
      <c r="BR541" s="37">
        <v>0</v>
      </c>
      <c r="BS541" s="37">
        <v>0</v>
      </c>
      <c r="BT541" s="37">
        <v>0</v>
      </c>
      <c r="BU541" s="37">
        <v>0</v>
      </c>
      <c r="BV541" s="37">
        <v>0</v>
      </c>
      <c r="BW541" s="59">
        <v>0</v>
      </c>
      <c r="BX541" s="59">
        <v>0</v>
      </c>
      <c r="BZ541" s="37">
        <v>4000</v>
      </c>
      <c r="CA541" s="37">
        <v>2000</v>
      </c>
      <c r="CB541" s="37">
        <v>0</v>
      </c>
      <c r="CC541" s="37">
        <v>400</v>
      </c>
      <c r="CD541" s="37">
        <v>200</v>
      </c>
      <c r="CE541" s="37">
        <v>80</v>
      </c>
      <c r="CF541" s="37">
        <v>0</v>
      </c>
      <c r="CG541" s="59">
        <v>6680</v>
      </c>
      <c r="CH541" s="37">
        <v>0</v>
      </c>
      <c r="CI541" s="37">
        <v>5</v>
      </c>
      <c r="CJ541" s="37">
        <v>4</v>
      </c>
      <c r="CK541" s="37">
        <v>2</v>
      </c>
      <c r="CL541" s="37">
        <v>0</v>
      </c>
      <c r="CM541" s="37">
        <v>0</v>
      </c>
      <c r="CN541" s="59">
        <v>11</v>
      </c>
      <c r="CO541" s="59">
        <v>6691</v>
      </c>
      <c r="CP541" s="58"/>
      <c r="CQ541" s="3">
        <v>6691</v>
      </c>
    </row>
    <row r="542" spans="1:95" customFormat="1" x14ac:dyDescent="0.2">
      <c r="A542" s="209">
        <v>43431</v>
      </c>
      <c r="B542" s="33" t="s">
        <v>68</v>
      </c>
      <c r="C542" s="33" t="s">
        <v>97</v>
      </c>
      <c r="D542" s="43">
        <v>0</v>
      </c>
      <c r="E542" s="43">
        <v>0</v>
      </c>
      <c r="F542" s="43">
        <v>0</v>
      </c>
      <c r="G542" s="43">
        <v>0</v>
      </c>
      <c r="H542" s="43">
        <v>0</v>
      </c>
      <c r="I542" s="43">
        <v>0</v>
      </c>
      <c r="J542" s="43">
        <v>0</v>
      </c>
      <c r="K542" s="43">
        <v>0</v>
      </c>
      <c r="L542" s="43">
        <v>0</v>
      </c>
      <c r="M542" s="43">
        <v>0</v>
      </c>
      <c r="N542" s="43">
        <v>1</v>
      </c>
      <c r="O542" s="43">
        <v>0</v>
      </c>
      <c r="P542" s="47" t="s">
        <v>45</v>
      </c>
      <c r="R542" s="37">
        <v>0</v>
      </c>
      <c r="S542" s="37">
        <v>0</v>
      </c>
      <c r="T542" s="37">
        <v>1200000</v>
      </c>
      <c r="U542" s="37">
        <v>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7">
        <v>0</v>
      </c>
      <c r="AB542" s="37">
        <v>0</v>
      </c>
      <c r="AC542" s="37">
        <v>0</v>
      </c>
      <c r="AD542" s="37">
        <v>0</v>
      </c>
      <c r="AE542" s="37">
        <v>0</v>
      </c>
      <c r="AF542" s="37">
        <v>0</v>
      </c>
      <c r="AG542" s="59">
        <v>1200000</v>
      </c>
      <c r="AH542" s="37">
        <v>3000</v>
      </c>
      <c r="AI542" s="37">
        <v>0</v>
      </c>
      <c r="AJ542" s="37">
        <v>0</v>
      </c>
      <c r="AK542" s="37">
        <v>0</v>
      </c>
      <c r="AL542" s="37">
        <v>2000</v>
      </c>
      <c r="AM542" s="37">
        <v>0</v>
      </c>
      <c r="AN542" s="37">
        <v>600</v>
      </c>
      <c r="AO542" s="37">
        <v>0</v>
      </c>
      <c r="AP542" s="37">
        <v>300</v>
      </c>
      <c r="AQ542" s="37">
        <v>0</v>
      </c>
      <c r="AR542" s="37">
        <v>0</v>
      </c>
      <c r="AS542" s="59">
        <v>5900</v>
      </c>
      <c r="AT542" s="59">
        <v>1205900</v>
      </c>
      <c r="AU542" s="45"/>
      <c r="AV542" s="37">
        <v>0</v>
      </c>
      <c r="AW542" s="37">
        <v>0</v>
      </c>
      <c r="AX542" s="37">
        <v>0</v>
      </c>
      <c r="AY542" s="37">
        <v>0</v>
      </c>
      <c r="AZ542" s="37">
        <v>0</v>
      </c>
      <c r="BA542" s="37">
        <v>0</v>
      </c>
      <c r="BB542" s="37">
        <v>0</v>
      </c>
      <c r="BC542" s="37">
        <v>0</v>
      </c>
      <c r="BD542" s="37">
        <v>0</v>
      </c>
      <c r="BE542" s="37">
        <v>0</v>
      </c>
      <c r="BF542" s="37">
        <v>0</v>
      </c>
      <c r="BG542" s="37">
        <v>0</v>
      </c>
      <c r="BH542" s="37">
        <v>0</v>
      </c>
      <c r="BI542" s="37">
        <v>0</v>
      </c>
      <c r="BJ542" s="37">
        <v>0</v>
      </c>
      <c r="BK542" s="59">
        <v>0</v>
      </c>
      <c r="BL542" s="37">
        <v>0</v>
      </c>
      <c r="BM542" s="37">
        <v>0</v>
      </c>
      <c r="BN542" s="37">
        <v>0</v>
      </c>
      <c r="BO542" s="37">
        <v>0</v>
      </c>
      <c r="BP542" s="37">
        <v>0</v>
      </c>
      <c r="BQ542" s="37">
        <v>0</v>
      </c>
      <c r="BR542" s="37">
        <v>0</v>
      </c>
      <c r="BS542" s="37">
        <v>0</v>
      </c>
      <c r="BT542" s="37">
        <v>0</v>
      </c>
      <c r="BU542" s="37">
        <v>0</v>
      </c>
      <c r="BV542" s="37">
        <v>0</v>
      </c>
      <c r="BW542" s="59">
        <v>0</v>
      </c>
      <c r="BX542" s="59">
        <v>0</v>
      </c>
      <c r="BZ542" s="37">
        <v>1200000</v>
      </c>
      <c r="CA542" s="37">
        <v>0</v>
      </c>
      <c r="CB542" s="37">
        <v>0</v>
      </c>
      <c r="CC542" s="37">
        <v>0</v>
      </c>
      <c r="CD542" s="37">
        <v>0</v>
      </c>
      <c r="CE542" s="37">
        <v>0</v>
      </c>
      <c r="CF542" s="37">
        <v>0</v>
      </c>
      <c r="CG542" s="59">
        <v>1200000</v>
      </c>
      <c r="CH542" s="37">
        <v>3000</v>
      </c>
      <c r="CI542" s="37">
        <v>2000</v>
      </c>
      <c r="CJ542" s="37">
        <v>600</v>
      </c>
      <c r="CK542" s="37">
        <v>300</v>
      </c>
      <c r="CL542" s="37">
        <v>0</v>
      </c>
      <c r="CM542" s="37">
        <v>0</v>
      </c>
      <c r="CN542" s="59">
        <v>5900</v>
      </c>
      <c r="CO542" s="59">
        <v>1205900</v>
      </c>
      <c r="CP542" s="58"/>
      <c r="CQ542" s="3">
        <v>1205900</v>
      </c>
    </row>
    <row r="543" spans="1:95" customFormat="1" x14ac:dyDescent="0.2">
      <c r="A543" s="209">
        <v>43431</v>
      </c>
      <c r="B543" s="33" t="s">
        <v>53</v>
      </c>
      <c r="C543" s="33" t="s">
        <v>54</v>
      </c>
      <c r="D543" s="43">
        <v>1</v>
      </c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0</v>
      </c>
      <c r="L543" s="43">
        <v>0</v>
      </c>
      <c r="M543" s="43">
        <v>0</v>
      </c>
      <c r="N543" s="43">
        <v>0</v>
      </c>
      <c r="O543" s="43">
        <v>0</v>
      </c>
      <c r="P543" s="47" t="s">
        <v>45</v>
      </c>
      <c r="R543" s="37">
        <v>0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v>0</v>
      </c>
      <c r="AD543" s="37">
        <v>0</v>
      </c>
      <c r="AE543" s="37">
        <v>0</v>
      </c>
      <c r="AF543" s="37">
        <v>0</v>
      </c>
      <c r="AG543" s="59">
        <v>0</v>
      </c>
      <c r="AH543" s="37">
        <v>0</v>
      </c>
      <c r="AI543" s="37">
        <v>0</v>
      </c>
      <c r="AJ543" s="37">
        <v>0</v>
      </c>
      <c r="AK543" s="37">
        <v>0</v>
      </c>
      <c r="AL543" s="37">
        <v>0</v>
      </c>
      <c r="AM543" s="37">
        <v>0</v>
      </c>
      <c r="AN543" s="37">
        <v>0</v>
      </c>
      <c r="AO543" s="37">
        <v>0</v>
      </c>
      <c r="AP543" s="37">
        <v>70</v>
      </c>
      <c r="AQ543" s="37">
        <v>0</v>
      </c>
      <c r="AR543" s="37">
        <v>0</v>
      </c>
      <c r="AS543" s="59">
        <v>70</v>
      </c>
      <c r="AT543" s="59">
        <v>70</v>
      </c>
      <c r="AU543" s="45"/>
      <c r="AV543" s="37">
        <v>0</v>
      </c>
      <c r="AW543" s="37">
        <v>0</v>
      </c>
      <c r="AX543" s="37">
        <v>0</v>
      </c>
      <c r="AY543" s="37">
        <v>0</v>
      </c>
      <c r="AZ543" s="37">
        <v>0</v>
      </c>
      <c r="BA543" s="37">
        <v>0</v>
      </c>
      <c r="BB543" s="37">
        <v>0</v>
      </c>
      <c r="BC543" s="37">
        <v>0</v>
      </c>
      <c r="BD543" s="37">
        <v>0</v>
      </c>
      <c r="BE543" s="37">
        <v>0</v>
      </c>
      <c r="BF543" s="37">
        <v>0</v>
      </c>
      <c r="BG543" s="37">
        <v>0</v>
      </c>
      <c r="BH543" s="37">
        <v>0</v>
      </c>
      <c r="BI543" s="37">
        <v>0</v>
      </c>
      <c r="BJ543" s="37">
        <v>0</v>
      </c>
      <c r="BK543" s="59">
        <v>0</v>
      </c>
      <c r="BL543" s="37">
        <v>0</v>
      </c>
      <c r="BM543" s="37">
        <v>0</v>
      </c>
      <c r="BN543" s="37">
        <v>0</v>
      </c>
      <c r="BO543" s="37">
        <v>0</v>
      </c>
      <c r="BP543" s="37">
        <v>0</v>
      </c>
      <c r="BQ543" s="37">
        <v>0</v>
      </c>
      <c r="BR543" s="37">
        <v>0</v>
      </c>
      <c r="BS543" s="37">
        <v>0</v>
      </c>
      <c r="BT543" s="37">
        <v>0</v>
      </c>
      <c r="BU543" s="37">
        <v>0</v>
      </c>
      <c r="BV543" s="37">
        <v>0</v>
      </c>
      <c r="BW543" s="59">
        <v>0</v>
      </c>
      <c r="BX543" s="59">
        <v>0</v>
      </c>
      <c r="BZ543" s="37">
        <v>0</v>
      </c>
      <c r="CA543" s="37">
        <v>0</v>
      </c>
      <c r="CB543" s="37">
        <v>0</v>
      </c>
      <c r="CC543" s="37">
        <v>0</v>
      </c>
      <c r="CD543" s="37">
        <v>0</v>
      </c>
      <c r="CE543" s="37">
        <v>0</v>
      </c>
      <c r="CF543" s="37">
        <v>0</v>
      </c>
      <c r="CG543" s="59">
        <v>0</v>
      </c>
      <c r="CH543" s="37">
        <v>0</v>
      </c>
      <c r="CI543" s="37">
        <v>0</v>
      </c>
      <c r="CJ543" s="37">
        <v>0</v>
      </c>
      <c r="CK543" s="37">
        <v>70</v>
      </c>
      <c r="CL543" s="37">
        <v>0</v>
      </c>
      <c r="CM543" s="37">
        <v>0</v>
      </c>
      <c r="CN543" s="59">
        <v>70</v>
      </c>
      <c r="CO543" s="59">
        <v>70</v>
      </c>
      <c r="CP543" s="58"/>
      <c r="CQ543" s="3">
        <v>70</v>
      </c>
    </row>
    <row r="544" spans="1:95" customFormat="1" x14ac:dyDescent="0.2">
      <c r="A544" s="209">
        <v>43432</v>
      </c>
      <c r="B544" s="33" t="s">
        <v>55</v>
      </c>
      <c r="C544" s="33" t="s">
        <v>56</v>
      </c>
      <c r="D544" s="43">
        <v>0</v>
      </c>
      <c r="E544" s="43">
        <v>0</v>
      </c>
      <c r="F544" s="43">
        <v>0</v>
      </c>
      <c r="G544" s="43">
        <v>0</v>
      </c>
      <c r="H544" s="43">
        <v>0</v>
      </c>
      <c r="I544" s="43">
        <v>0</v>
      </c>
      <c r="J544" s="43">
        <v>0</v>
      </c>
      <c r="K544" s="43">
        <v>0</v>
      </c>
      <c r="L544" s="43">
        <v>0</v>
      </c>
      <c r="M544" s="43">
        <v>0</v>
      </c>
      <c r="N544" s="43">
        <v>0</v>
      </c>
      <c r="O544" s="43">
        <v>0</v>
      </c>
      <c r="P544" s="47">
        <v>0</v>
      </c>
      <c r="R544" s="37">
        <v>0</v>
      </c>
      <c r="S544" s="37">
        <v>0</v>
      </c>
      <c r="T544" s="37">
        <v>4000</v>
      </c>
      <c r="U544" s="37">
        <v>0</v>
      </c>
      <c r="V544" s="37">
        <v>2000</v>
      </c>
      <c r="W544" s="37">
        <v>0</v>
      </c>
      <c r="X544" s="37">
        <v>0</v>
      </c>
      <c r="Y544" s="37">
        <v>0</v>
      </c>
      <c r="Z544" s="37">
        <v>400</v>
      </c>
      <c r="AA544" s="37">
        <v>0</v>
      </c>
      <c r="AB544" s="37">
        <v>200</v>
      </c>
      <c r="AC544" s="37">
        <v>0</v>
      </c>
      <c r="AD544" s="37">
        <v>80</v>
      </c>
      <c r="AE544" s="37">
        <v>0</v>
      </c>
      <c r="AF544" s="37">
        <v>40</v>
      </c>
      <c r="AG544" s="59">
        <v>6720</v>
      </c>
      <c r="AH544" s="37">
        <v>0</v>
      </c>
      <c r="AI544" s="37">
        <v>0</v>
      </c>
      <c r="AJ544" s="37">
        <v>0</v>
      </c>
      <c r="AK544" s="37">
        <v>0</v>
      </c>
      <c r="AL544" s="37">
        <v>0</v>
      </c>
      <c r="AM544" s="37">
        <v>0</v>
      </c>
      <c r="AN544" s="37">
        <v>0</v>
      </c>
      <c r="AO544" s="37">
        <v>0</v>
      </c>
      <c r="AP544" s="37">
        <v>0</v>
      </c>
      <c r="AQ544" s="37">
        <v>0</v>
      </c>
      <c r="AR544" s="37">
        <v>0</v>
      </c>
      <c r="AS544" s="59">
        <v>0</v>
      </c>
      <c r="AT544" s="59">
        <v>6720</v>
      </c>
      <c r="AU544" s="45"/>
      <c r="AV544" s="37">
        <v>0</v>
      </c>
      <c r="AW544" s="37">
        <v>0</v>
      </c>
      <c r="AX544" s="37">
        <v>0</v>
      </c>
      <c r="AY544" s="37">
        <v>0</v>
      </c>
      <c r="AZ544" s="37">
        <v>0</v>
      </c>
      <c r="BA544" s="37">
        <v>0</v>
      </c>
      <c r="BB544" s="37">
        <v>0</v>
      </c>
      <c r="BC544" s="37">
        <v>0</v>
      </c>
      <c r="BD544" s="37">
        <v>0</v>
      </c>
      <c r="BE544" s="37">
        <v>0</v>
      </c>
      <c r="BF544" s="37">
        <v>0</v>
      </c>
      <c r="BG544" s="37">
        <v>0</v>
      </c>
      <c r="BH544" s="37">
        <v>0</v>
      </c>
      <c r="BI544" s="37">
        <v>0</v>
      </c>
      <c r="BJ544" s="37">
        <v>0</v>
      </c>
      <c r="BK544" s="59">
        <v>0</v>
      </c>
      <c r="BL544" s="37">
        <v>0</v>
      </c>
      <c r="BM544" s="37">
        <v>0</v>
      </c>
      <c r="BN544" s="37">
        <v>0</v>
      </c>
      <c r="BO544" s="37">
        <v>0</v>
      </c>
      <c r="BP544" s="37">
        <v>0</v>
      </c>
      <c r="BQ544" s="37">
        <v>0</v>
      </c>
      <c r="BR544" s="37">
        <v>0</v>
      </c>
      <c r="BS544" s="37">
        <v>0</v>
      </c>
      <c r="BT544" s="37">
        <v>0</v>
      </c>
      <c r="BU544" s="37">
        <v>0</v>
      </c>
      <c r="BV544" s="37">
        <v>0</v>
      </c>
      <c r="BW544" s="59">
        <v>0</v>
      </c>
      <c r="BX544" s="59">
        <v>0</v>
      </c>
      <c r="BZ544" s="37">
        <v>4000</v>
      </c>
      <c r="CA544" s="37">
        <v>2000</v>
      </c>
      <c r="CB544" s="37">
        <v>0</v>
      </c>
      <c r="CC544" s="37">
        <v>400</v>
      </c>
      <c r="CD544" s="37">
        <v>200</v>
      </c>
      <c r="CE544" s="37">
        <v>80</v>
      </c>
      <c r="CF544" s="37">
        <v>40</v>
      </c>
      <c r="CG544" s="59">
        <v>6720</v>
      </c>
      <c r="CH544" s="37">
        <v>0</v>
      </c>
      <c r="CI544" s="37">
        <v>0</v>
      </c>
      <c r="CJ544" s="37">
        <v>0</v>
      </c>
      <c r="CK544" s="37">
        <v>0</v>
      </c>
      <c r="CL544" s="37">
        <v>0</v>
      </c>
      <c r="CM544" s="37">
        <v>0</v>
      </c>
      <c r="CN544" s="59">
        <v>0</v>
      </c>
      <c r="CO544" s="59">
        <v>6720</v>
      </c>
      <c r="CP544" s="58"/>
      <c r="CQ544" s="3">
        <v>6720</v>
      </c>
    </row>
    <row r="545" spans="1:95" customFormat="1" x14ac:dyDescent="0.2">
      <c r="A545" s="209">
        <v>43432</v>
      </c>
      <c r="B545" s="33" t="s">
        <v>53</v>
      </c>
      <c r="C545" s="33" t="s">
        <v>84</v>
      </c>
      <c r="D545" s="43">
        <v>0</v>
      </c>
      <c r="E545" s="43">
        <v>1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0</v>
      </c>
      <c r="P545" s="47" t="s">
        <v>45</v>
      </c>
      <c r="R545" s="37">
        <v>0</v>
      </c>
      <c r="S545" s="37">
        <v>0</v>
      </c>
      <c r="T545" s="37"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v>0</v>
      </c>
      <c r="AD545" s="37">
        <v>0</v>
      </c>
      <c r="AE545" s="37">
        <v>0</v>
      </c>
      <c r="AF545" s="37">
        <v>0</v>
      </c>
      <c r="AG545" s="59">
        <v>0</v>
      </c>
      <c r="AH545" s="37">
        <v>2500</v>
      </c>
      <c r="AI545" s="37">
        <v>0</v>
      </c>
      <c r="AJ545" s="37">
        <v>1250</v>
      </c>
      <c r="AK545" s="37">
        <v>0</v>
      </c>
      <c r="AL545" s="37">
        <v>0</v>
      </c>
      <c r="AM545" s="37">
        <v>0</v>
      </c>
      <c r="AN545" s="37">
        <v>0</v>
      </c>
      <c r="AO545" s="37">
        <v>0</v>
      </c>
      <c r="AP545" s="37">
        <v>0</v>
      </c>
      <c r="AQ545" s="37">
        <v>0</v>
      </c>
      <c r="AR545" s="37">
        <v>0</v>
      </c>
      <c r="AS545" s="59">
        <v>3750</v>
      </c>
      <c r="AT545" s="59">
        <v>3750</v>
      </c>
      <c r="AU545" s="45"/>
      <c r="AV545" s="37">
        <v>0</v>
      </c>
      <c r="AW545" s="37">
        <v>0</v>
      </c>
      <c r="AX545" s="37">
        <v>0</v>
      </c>
      <c r="AY545" s="37">
        <v>0</v>
      </c>
      <c r="AZ545" s="37">
        <v>0</v>
      </c>
      <c r="BA545" s="37">
        <v>0</v>
      </c>
      <c r="BB545" s="37">
        <v>0</v>
      </c>
      <c r="BC545" s="37">
        <v>0</v>
      </c>
      <c r="BD545" s="37">
        <v>0</v>
      </c>
      <c r="BE545" s="37">
        <v>0</v>
      </c>
      <c r="BF545" s="37">
        <v>0</v>
      </c>
      <c r="BG545" s="37">
        <v>0</v>
      </c>
      <c r="BH545" s="37">
        <v>0</v>
      </c>
      <c r="BI545" s="37">
        <v>0</v>
      </c>
      <c r="BJ545" s="37">
        <v>0</v>
      </c>
      <c r="BK545" s="59">
        <v>0</v>
      </c>
      <c r="BL545" s="37">
        <v>0</v>
      </c>
      <c r="BM545" s="37">
        <v>0</v>
      </c>
      <c r="BN545" s="37">
        <v>0</v>
      </c>
      <c r="BO545" s="37">
        <v>0</v>
      </c>
      <c r="BP545" s="37">
        <v>0</v>
      </c>
      <c r="BQ545" s="37">
        <v>0</v>
      </c>
      <c r="BR545" s="37">
        <v>0</v>
      </c>
      <c r="BS545" s="37">
        <v>0</v>
      </c>
      <c r="BT545" s="37">
        <v>0</v>
      </c>
      <c r="BU545" s="37">
        <v>0</v>
      </c>
      <c r="BV545" s="37">
        <v>0</v>
      </c>
      <c r="BW545" s="59">
        <v>0</v>
      </c>
      <c r="BX545" s="59">
        <v>0</v>
      </c>
      <c r="BZ545" s="37">
        <v>0</v>
      </c>
      <c r="CA545" s="37">
        <v>0</v>
      </c>
      <c r="CB545" s="37">
        <v>0</v>
      </c>
      <c r="CC545" s="37">
        <v>0</v>
      </c>
      <c r="CD545" s="37">
        <v>0</v>
      </c>
      <c r="CE545" s="37">
        <v>0</v>
      </c>
      <c r="CF545" s="37">
        <v>0</v>
      </c>
      <c r="CG545" s="59">
        <v>0</v>
      </c>
      <c r="CH545" s="37">
        <v>2500</v>
      </c>
      <c r="CI545" s="37">
        <v>1250</v>
      </c>
      <c r="CJ545" s="37">
        <v>0</v>
      </c>
      <c r="CK545" s="37">
        <v>0</v>
      </c>
      <c r="CL545" s="37">
        <v>0</v>
      </c>
      <c r="CM545" s="37">
        <v>0</v>
      </c>
      <c r="CN545" s="59">
        <v>3750</v>
      </c>
      <c r="CO545" s="59">
        <v>3750</v>
      </c>
      <c r="CP545" s="58"/>
      <c r="CQ545" s="3">
        <v>3750</v>
      </c>
    </row>
    <row r="546" spans="1:95" customFormat="1" x14ac:dyDescent="0.2">
      <c r="A546" s="209">
        <v>43432</v>
      </c>
      <c r="B546" s="33" t="s">
        <v>53</v>
      </c>
      <c r="C546" s="33" t="s">
        <v>153</v>
      </c>
      <c r="D546" s="43">
        <v>0</v>
      </c>
      <c r="E546" s="43">
        <v>0</v>
      </c>
      <c r="F546" s="43">
        <v>0</v>
      </c>
      <c r="G546" s="43">
        <v>0</v>
      </c>
      <c r="H546" s="43">
        <v>0</v>
      </c>
      <c r="I546" s="43">
        <v>0</v>
      </c>
      <c r="J546" s="43">
        <v>0</v>
      </c>
      <c r="K546" s="43">
        <v>0</v>
      </c>
      <c r="L546" s="43">
        <v>0</v>
      </c>
      <c r="M546" s="43">
        <v>0</v>
      </c>
      <c r="N546" s="43">
        <v>1</v>
      </c>
      <c r="O546" s="43">
        <v>0</v>
      </c>
      <c r="P546" s="47" t="s">
        <v>67</v>
      </c>
      <c r="R546" s="37">
        <v>0</v>
      </c>
      <c r="S546" s="37">
        <v>1500000</v>
      </c>
      <c r="T546" s="37">
        <v>0</v>
      </c>
      <c r="U546" s="37">
        <v>250000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59">
        <v>1750000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59">
        <v>0</v>
      </c>
      <c r="AT546" s="59">
        <v>1750000</v>
      </c>
      <c r="AU546" s="45"/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>
        <v>0</v>
      </c>
      <c r="BB546" s="37">
        <v>0</v>
      </c>
      <c r="BC546" s="37">
        <v>0</v>
      </c>
      <c r="BD546" s="37">
        <v>0</v>
      </c>
      <c r="BE546" s="37">
        <v>0</v>
      </c>
      <c r="BF546" s="37">
        <v>0</v>
      </c>
      <c r="BG546" s="37">
        <v>0</v>
      </c>
      <c r="BH546" s="37">
        <v>0</v>
      </c>
      <c r="BI546" s="37">
        <v>0</v>
      </c>
      <c r="BJ546" s="37">
        <v>0</v>
      </c>
      <c r="BK546" s="59">
        <v>0</v>
      </c>
      <c r="BL546" s="37">
        <v>0</v>
      </c>
      <c r="BM546" s="37">
        <v>0</v>
      </c>
      <c r="BN546" s="37">
        <v>0</v>
      </c>
      <c r="BO546" s="37">
        <v>0</v>
      </c>
      <c r="BP546" s="37">
        <v>0</v>
      </c>
      <c r="BQ546" s="37">
        <v>0</v>
      </c>
      <c r="BR546" s="37">
        <v>0</v>
      </c>
      <c r="BS546" s="37">
        <v>0</v>
      </c>
      <c r="BT546" s="37">
        <v>0</v>
      </c>
      <c r="BU546" s="37">
        <v>0</v>
      </c>
      <c r="BV546" s="37">
        <v>0</v>
      </c>
      <c r="BW546" s="59">
        <v>0</v>
      </c>
      <c r="BX546" s="59">
        <v>0</v>
      </c>
      <c r="BZ546" s="37">
        <v>1500000</v>
      </c>
      <c r="CA546" s="37">
        <v>250000</v>
      </c>
      <c r="CB546" s="37">
        <v>0</v>
      </c>
      <c r="CC546" s="37">
        <v>0</v>
      </c>
      <c r="CD546" s="37">
        <v>0</v>
      </c>
      <c r="CE546" s="37">
        <v>0</v>
      </c>
      <c r="CF546" s="37">
        <v>0</v>
      </c>
      <c r="CG546" s="59">
        <v>1750000</v>
      </c>
      <c r="CH546" s="37">
        <v>0</v>
      </c>
      <c r="CI546" s="37">
        <v>0</v>
      </c>
      <c r="CJ546" s="37">
        <v>0</v>
      </c>
      <c r="CK546" s="37">
        <v>0</v>
      </c>
      <c r="CL546" s="37">
        <v>0</v>
      </c>
      <c r="CM546" s="37">
        <v>0</v>
      </c>
      <c r="CN546" s="59">
        <v>0</v>
      </c>
      <c r="CO546" s="59">
        <v>1750000</v>
      </c>
      <c r="CP546" s="58"/>
      <c r="CQ546" s="3">
        <v>1750000</v>
      </c>
    </row>
    <row r="547" spans="1:95" customFormat="1" x14ac:dyDescent="0.2">
      <c r="A547" s="209">
        <v>43434</v>
      </c>
      <c r="B547" s="33" t="s">
        <v>55</v>
      </c>
      <c r="C547" s="33" t="s">
        <v>56</v>
      </c>
      <c r="D547" s="43">
        <v>0</v>
      </c>
      <c r="E547" s="43">
        <v>0</v>
      </c>
      <c r="F547" s="43">
        <v>0</v>
      </c>
      <c r="G547" s="43">
        <v>0</v>
      </c>
      <c r="H547" s="43">
        <v>0</v>
      </c>
      <c r="I547" s="43">
        <v>0</v>
      </c>
      <c r="J547" s="43">
        <v>0</v>
      </c>
      <c r="K547" s="43">
        <v>0</v>
      </c>
      <c r="L547" s="43">
        <v>0</v>
      </c>
      <c r="M547" s="43">
        <v>0</v>
      </c>
      <c r="N547" s="43">
        <v>0</v>
      </c>
      <c r="O547" s="43">
        <v>0</v>
      </c>
      <c r="P547" s="47">
        <v>0</v>
      </c>
      <c r="R547" s="37">
        <v>0</v>
      </c>
      <c r="S547" s="37">
        <v>0</v>
      </c>
      <c r="T547" s="37">
        <v>4000</v>
      </c>
      <c r="U547" s="37">
        <v>0</v>
      </c>
      <c r="V547" s="37">
        <v>2000</v>
      </c>
      <c r="W547" s="37">
        <v>0</v>
      </c>
      <c r="X547" s="37">
        <v>800</v>
      </c>
      <c r="Y547" s="37">
        <v>0</v>
      </c>
      <c r="Z547" s="37">
        <v>400</v>
      </c>
      <c r="AA547" s="37">
        <v>0</v>
      </c>
      <c r="AB547" s="37">
        <v>200</v>
      </c>
      <c r="AC547" s="37">
        <v>0</v>
      </c>
      <c r="AD547" s="37">
        <v>80</v>
      </c>
      <c r="AE547" s="37">
        <v>0</v>
      </c>
      <c r="AF547" s="37">
        <v>40</v>
      </c>
      <c r="AG547" s="59">
        <v>7520</v>
      </c>
      <c r="AH547" s="37">
        <v>0</v>
      </c>
      <c r="AI547" s="37">
        <v>0</v>
      </c>
      <c r="AJ547" s="37">
        <v>0</v>
      </c>
      <c r="AK547" s="37">
        <v>0</v>
      </c>
      <c r="AL547" s="37">
        <v>0</v>
      </c>
      <c r="AM547" s="37">
        <v>0</v>
      </c>
      <c r="AN547" s="37">
        <v>0</v>
      </c>
      <c r="AO547" s="37">
        <v>0</v>
      </c>
      <c r="AP547" s="37">
        <v>0</v>
      </c>
      <c r="AQ547" s="37">
        <v>0</v>
      </c>
      <c r="AR547" s="37">
        <v>0</v>
      </c>
      <c r="AS547" s="59">
        <v>0</v>
      </c>
      <c r="AT547" s="59">
        <v>7520</v>
      </c>
      <c r="AU547" s="45"/>
      <c r="AV547" s="37">
        <v>0</v>
      </c>
      <c r="AW547" s="37">
        <v>0</v>
      </c>
      <c r="AX547" s="37">
        <v>0</v>
      </c>
      <c r="AY547" s="37">
        <v>0</v>
      </c>
      <c r="AZ547" s="37">
        <v>0</v>
      </c>
      <c r="BA547" s="37">
        <v>0</v>
      </c>
      <c r="BB547" s="37">
        <v>0</v>
      </c>
      <c r="BC547" s="37">
        <v>0</v>
      </c>
      <c r="BD547" s="37">
        <v>0</v>
      </c>
      <c r="BE547" s="37">
        <v>0</v>
      </c>
      <c r="BF547" s="37">
        <v>0</v>
      </c>
      <c r="BG547" s="37">
        <v>0</v>
      </c>
      <c r="BH547" s="37">
        <v>0</v>
      </c>
      <c r="BI547" s="37">
        <v>0</v>
      </c>
      <c r="BJ547" s="37">
        <v>0</v>
      </c>
      <c r="BK547" s="59">
        <v>0</v>
      </c>
      <c r="BL547" s="37">
        <v>0</v>
      </c>
      <c r="BM547" s="37">
        <v>0</v>
      </c>
      <c r="BN547" s="37">
        <v>0</v>
      </c>
      <c r="BO547" s="37">
        <v>0</v>
      </c>
      <c r="BP547" s="37">
        <v>0</v>
      </c>
      <c r="BQ547" s="37">
        <v>0</v>
      </c>
      <c r="BR547" s="37">
        <v>0</v>
      </c>
      <c r="BS547" s="37">
        <v>0</v>
      </c>
      <c r="BT547" s="37">
        <v>0</v>
      </c>
      <c r="BU547" s="37">
        <v>0</v>
      </c>
      <c r="BV547" s="37">
        <v>0</v>
      </c>
      <c r="BW547" s="59">
        <v>0</v>
      </c>
      <c r="BX547" s="59">
        <v>0</v>
      </c>
      <c r="BZ547" s="37">
        <v>4000</v>
      </c>
      <c r="CA547" s="37">
        <v>2000</v>
      </c>
      <c r="CB547" s="37">
        <v>800</v>
      </c>
      <c r="CC547" s="37">
        <v>400</v>
      </c>
      <c r="CD547" s="37">
        <v>200</v>
      </c>
      <c r="CE547" s="37">
        <v>80</v>
      </c>
      <c r="CF547" s="37">
        <v>40</v>
      </c>
      <c r="CG547" s="59">
        <v>7520</v>
      </c>
      <c r="CH547" s="37">
        <v>0</v>
      </c>
      <c r="CI547" s="37">
        <v>0</v>
      </c>
      <c r="CJ547" s="37">
        <v>0</v>
      </c>
      <c r="CK547" s="37">
        <v>0</v>
      </c>
      <c r="CL547" s="37">
        <v>0</v>
      </c>
      <c r="CM547" s="37">
        <v>0</v>
      </c>
      <c r="CN547" s="59">
        <v>0</v>
      </c>
      <c r="CO547" s="59">
        <v>7520</v>
      </c>
      <c r="CP547" s="58"/>
      <c r="CQ547" s="3">
        <v>7520</v>
      </c>
    </row>
    <row r="548" spans="1:95" customFormat="1" x14ac:dyDescent="0.2">
      <c r="A548" s="209">
        <v>43434</v>
      </c>
      <c r="B548" s="33" t="s">
        <v>64</v>
      </c>
      <c r="C548" s="33" t="s">
        <v>65</v>
      </c>
      <c r="D548" s="43">
        <v>0</v>
      </c>
      <c r="E548" s="43">
        <v>0</v>
      </c>
      <c r="F548" s="43">
        <v>0</v>
      </c>
      <c r="G548" s="43">
        <v>0</v>
      </c>
      <c r="H548" s="43">
        <v>0</v>
      </c>
      <c r="I548" s="43">
        <v>1</v>
      </c>
      <c r="J548" s="43">
        <v>0</v>
      </c>
      <c r="K548" s="43">
        <v>0</v>
      </c>
      <c r="L548" s="43">
        <v>0</v>
      </c>
      <c r="M548" s="43">
        <v>0</v>
      </c>
      <c r="N548" s="43">
        <v>0</v>
      </c>
      <c r="O548" s="43">
        <v>0</v>
      </c>
      <c r="P548" s="47" t="s">
        <v>45</v>
      </c>
      <c r="R548" s="37">
        <v>0</v>
      </c>
      <c r="S548" s="37">
        <v>0</v>
      </c>
      <c r="T548" s="37">
        <v>900000</v>
      </c>
      <c r="U548" s="37">
        <v>0</v>
      </c>
      <c r="V548" s="37">
        <v>400000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37">
        <v>0</v>
      </c>
      <c r="AF548" s="37">
        <v>0</v>
      </c>
      <c r="AG548" s="59">
        <v>1300000</v>
      </c>
      <c r="AH548" s="37">
        <v>0</v>
      </c>
      <c r="AI548" s="37">
        <v>0</v>
      </c>
      <c r="AJ548" s="37">
        <v>0</v>
      </c>
      <c r="AK548" s="37">
        <v>0</v>
      </c>
      <c r="AL548" s="37">
        <v>0</v>
      </c>
      <c r="AM548" s="37">
        <v>0</v>
      </c>
      <c r="AN548" s="37">
        <v>200</v>
      </c>
      <c r="AO548" s="37">
        <v>0</v>
      </c>
      <c r="AP548" s="37">
        <v>150</v>
      </c>
      <c r="AQ548" s="37">
        <v>0</v>
      </c>
      <c r="AR548" s="37">
        <v>0</v>
      </c>
      <c r="AS548" s="59">
        <v>350</v>
      </c>
      <c r="AT548" s="59">
        <v>1300350</v>
      </c>
      <c r="AU548" s="45"/>
      <c r="AV548" s="37">
        <v>0</v>
      </c>
      <c r="AW548" s="37">
        <v>0</v>
      </c>
      <c r="AX548" s="37">
        <v>0</v>
      </c>
      <c r="AY548" s="37">
        <v>0</v>
      </c>
      <c r="AZ548" s="37">
        <v>0</v>
      </c>
      <c r="BA548" s="37">
        <v>0</v>
      </c>
      <c r="BB548" s="37">
        <v>0</v>
      </c>
      <c r="BC548" s="37">
        <v>0</v>
      </c>
      <c r="BD548" s="37">
        <v>0</v>
      </c>
      <c r="BE548" s="37">
        <v>0</v>
      </c>
      <c r="BF548" s="37">
        <v>0</v>
      </c>
      <c r="BG548" s="37">
        <v>0</v>
      </c>
      <c r="BH548" s="37">
        <v>0</v>
      </c>
      <c r="BI548" s="37">
        <v>0</v>
      </c>
      <c r="BJ548" s="37">
        <v>0</v>
      </c>
      <c r="BK548" s="59">
        <v>0</v>
      </c>
      <c r="BL548" s="37">
        <v>0</v>
      </c>
      <c r="BM548" s="37">
        <v>0</v>
      </c>
      <c r="BN548" s="37">
        <v>0</v>
      </c>
      <c r="BO548" s="37">
        <v>0</v>
      </c>
      <c r="BP548" s="37">
        <v>0</v>
      </c>
      <c r="BQ548" s="37">
        <v>0</v>
      </c>
      <c r="BR548" s="37">
        <v>0</v>
      </c>
      <c r="BS548" s="37">
        <v>0</v>
      </c>
      <c r="BT548" s="37">
        <v>0</v>
      </c>
      <c r="BU548" s="37">
        <v>0</v>
      </c>
      <c r="BV548" s="37">
        <v>0</v>
      </c>
      <c r="BW548" s="59">
        <v>0</v>
      </c>
      <c r="BX548" s="59">
        <v>0</v>
      </c>
      <c r="BZ548" s="37">
        <v>900000</v>
      </c>
      <c r="CA548" s="37">
        <v>400000</v>
      </c>
      <c r="CB548" s="37">
        <v>0</v>
      </c>
      <c r="CC548" s="37">
        <v>0</v>
      </c>
      <c r="CD548" s="37">
        <v>0</v>
      </c>
      <c r="CE548" s="37">
        <v>0</v>
      </c>
      <c r="CF548" s="37">
        <v>0</v>
      </c>
      <c r="CG548" s="59">
        <v>1300000</v>
      </c>
      <c r="CH548" s="37">
        <v>0</v>
      </c>
      <c r="CI548" s="37">
        <v>0</v>
      </c>
      <c r="CJ548" s="37">
        <v>200</v>
      </c>
      <c r="CK548" s="37">
        <v>150</v>
      </c>
      <c r="CL548" s="37">
        <v>0</v>
      </c>
      <c r="CM548" s="37">
        <v>0</v>
      </c>
      <c r="CN548" s="59">
        <v>350</v>
      </c>
      <c r="CO548" s="59">
        <v>1300350</v>
      </c>
      <c r="CP548" s="58"/>
      <c r="CQ548" s="3">
        <v>1300350</v>
      </c>
    </row>
    <row r="549" spans="1:95" customFormat="1" x14ac:dyDescent="0.2">
      <c r="A549" s="209">
        <v>43434</v>
      </c>
      <c r="B549" s="33" t="s">
        <v>66</v>
      </c>
      <c r="C549" s="33" t="s">
        <v>65</v>
      </c>
      <c r="D549" s="43">
        <v>0</v>
      </c>
      <c r="E549" s="43">
        <v>0</v>
      </c>
      <c r="F549" s="43">
        <v>0</v>
      </c>
      <c r="G549" s="43">
        <v>0</v>
      </c>
      <c r="H549" s="43">
        <v>0</v>
      </c>
      <c r="I549" s="43">
        <v>1</v>
      </c>
      <c r="J549" s="43">
        <v>0</v>
      </c>
      <c r="K549" s="43">
        <v>0</v>
      </c>
      <c r="L549" s="43">
        <v>0</v>
      </c>
      <c r="M549" s="43">
        <v>0</v>
      </c>
      <c r="N549" s="43">
        <v>0</v>
      </c>
      <c r="O549" s="43">
        <v>0</v>
      </c>
      <c r="P549" s="47" t="s">
        <v>45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v>0</v>
      </c>
      <c r="AD549" s="37">
        <v>0</v>
      </c>
      <c r="AE549" s="37">
        <v>0</v>
      </c>
      <c r="AF549" s="37">
        <v>0</v>
      </c>
      <c r="AG549" s="59">
        <v>0</v>
      </c>
      <c r="AH549" s="37">
        <v>1000</v>
      </c>
      <c r="AI549" s="37">
        <v>0</v>
      </c>
      <c r="AJ549" s="37">
        <v>0</v>
      </c>
      <c r="AK549" s="37">
        <v>0</v>
      </c>
      <c r="AL549" s="37">
        <v>750</v>
      </c>
      <c r="AM549" s="37">
        <v>0</v>
      </c>
      <c r="AN549" s="37">
        <v>0</v>
      </c>
      <c r="AO549" s="37">
        <v>0</v>
      </c>
      <c r="AP549" s="37">
        <v>0</v>
      </c>
      <c r="AQ549" s="37">
        <v>0</v>
      </c>
      <c r="AR549" s="37">
        <v>0</v>
      </c>
      <c r="AS549" s="59">
        <v>1750</v>
      </c>
      <c r="AT549" s="59">
        <v>1750</v>
      </c>
      <c r="AU549" s="45"/>
      <c r="AV549" s="37">
        <v>0</v>
      </c>
      <c r="AW549" s="37">
        <v>0</v>
      </c>
      <c r="AX549" s="37">
        <v>0</v>
      </c>
      <c r="AY549" s="37">
        <v>0</v>
      </c>
      <c r="AZ549" s="37">
        <v>0</v>
      </c>
      <c r="BA549" s="37">
        <v>0</v>
      </c>
      <c r="BB549" s="37">
        <v>0</v>
      </c>
      <c r="BC549" s="37">
        <v>0</v>
      </c>
      <c r="BD549" s="37">
        <v>0</v>
      </c>
      <c r="BE549" s="37">
        <v>0</v>
      </c>
      <c r="BF549" s="37">
        <v>0</v>
      </c>
      <c r="BG549" s="37">
        <v>0</v>
      </c>
      <c r="BH549" s="37">
        <v>0</v>
      </c>
      <c r="BI549" s="37">
        <v>0</v>
      </c>
      <c r="BJ549" s="37">
        <v>0</v>
      </c>
      <c r="BK549" s="59">
        <v>0</v>
      </c>
      <c r="BL549" s="37">
        <v>0</v>
      </c>
      <c r="BM549" s="37">
        <v>0</v>
      </c>
      <c r="BN549" s="37">
        <v>0</v>
      </c>
      <c r="BO549" s="37">
        <v>0</v>
      </c>
      <c r="BP549" s="37">
        <v>0</v>
      </c>
      <c r="BQ549" s="37">
        <v>0</v>
      </c>
      <c r="BR549" s="37">
        <v>0</v>
      </c>
      <c r="BS549" s="37">
        <v>0</v>
      </c>
      <c r="BT549" s="37">
        <v>0</v>
      </c>
      <c r="BU549" s="37">
        <v>0</v>
      </c>
      <c r="BV549" s="37">
        <v>0</v>
      </c>
      <c r="BW549" s="59">
        <v>0</v>
      </c>
      <c r="BX549" s="59">
        <v>0</v>
      </c>
      <c r="BZ549" s="37">
        <v>0</v>
      </c>
      <c r="CA549" s="37">
        <v>0</v>
      </c>
      <c r="CB549" s="37">
        <v>0</v>
      </c>
      <c r="CC549" s="37">
        <v>0</v>
      </c>
      <c r="CD549" s="37">
        <v>0</v>
      </c>
      <c r="CE549" s="37">
        <v>0</v>
      </c>
      <c r="CF549" s="37">
        <v>0</v>
      </c>
      <c r="CG549" s="59">
        <v>0</v>
      </c>
      <c r="CH549" s="37">
        <v>1000</v>
      </c>
      <c r="CI549" s="37">
        <v>750</v>
      </c>
      <c r="CJ549" s="37">
        <v>0</v>
      </c>
      <c r="CK549" s="37">
        <v>0</v>
      </c>
      <c r="CL549" s="37">
        <v>0</v>
      </c>
      <c r="CM549" s="37">
        <v>0</v>
      </c>
      <c r="CN549" s="59">
        <v>1750</v>
      </c>
      <c r="CO549" s="59">
        <v>1750</v>
      </c>
      <c r="CP549" s="58"/>
      <c r="CQ549" s="3">
        <v>1750</v>
      </c>
    </row>
    <row r="550" spans="1:95" customFormat="1" x14ac:dyDescent="0.2">
      <c r="A550" s="209">
        <v>43434</v>
      </c>
      <c r="B550" s="33" t="s">
        <v>136</v>
      </c>
      <c r="C550" s="33" t="s">
        <v>65</v>
      </c>
      <c r="D550" s="43">
        <v>0</v>
      </c>
      <c r="E550" s="43">
        <v>0</v>
      </c>
      <c r="F550" s="43">
        <v>0</v>
      </c>
      <c r="G550" s="43">
        <v>0</v>
      </c>
      <c r="H550" s="43">
        <v>0</v>
      </c>
      <c r="I550" s="43">
        <v>1</v>
      </c>
      <c r="J550" s="43">
        <v>0</v>
      </c>
      <c r="K550" s="43">
        <v>0</v>
      </c>
      <c r="L550" s="43">
        <v>0</v>
      </c>
      <c r="M550" s="43">
        <v>0</v>
      </c>
      <c r="N550" s="43">
        <v>0</v>
      </c>
      <c r="O550" s="43">
        <v>0</v>
      </c>
      <c r="P550" s="47" t="s">
        <v>67</v>
      </c>
      <c r="R550" s="37">
        <v>0</v>
      </c>
      <c r="S550" s="37">
        <v>0</v>
      </c>
      <c r="T550" s="37">
        <v>4000000</v>
      </c>
      <c r="U550" s="37">
        <v>0</v>
      </c>
      <c r="V550" s="37">
        <v>800000</v>
      </c>
      <c r="W550" s="37">
        <v>0</v>
      </c>
      <c r="X550" s="37">
        <v>0</v>
      </c>
      <c r="Y550" s="37">
        <v>0</v>
      </c>
      <c r="Z550" s="37">
        <v>0</v>
      </c>
      <c r="AA550" s="37">
        <v>0</v>
      </c>
      <c r="AB550" s="37">
        <v>0</v>
      </c>
      <c r="AC550" s="37">
        <v>0</v>
      </c>
      <c r="AD550" s="37">
        <v>0</v>
      </c>
      <c r="AE550" s="37">
        <v>0</v>
      </c>
      <c r="AF550" s="37">
        <v>0</v>
      </c>
      <c r="AG550" s="59">
        <v>4800000</v>
      </c>
      <c r="AH550" s="37">
        <v>0</v>
      </c>
      <c r="AI550" s="37">
        <v>0</v>
      </c>
      <c r="AJ550" s="37">
        <v>0</v>
      </c>
      <c r="AK550" s="37">
        <v>0</v>
      </c>
      <c r="AL550" s="37">
        <v>0</v>
      </c>
      <c r="AM550" s="37">
        <v>0</v>
      </c>
      <c r="AN550" s="37">
        <v>0</v>
      </c>
      <c r="AO550" s="37">
        <v>0</v>
      </c>
      <c r="AP550" s="37">
        <v>0</v>
      </c>
      <c r="AQ550" s="37">
        <v>0</v>
      </c>
      <c r="AR550" s="37">
        <v>0</v>
      </c>
      <c r="AS550" s="59">
        <v>0</v>
      </c>
      <c r="AT550" s="59">
        <v>4800000</v>
      </c>
      <c r="AU550" s="45"/>
      <c r="AV550" s="37">
        <v>0</v>
      </c>
      <c r="AW550" s="37">
        <v>0</v>
      </c>
      <c r="AX550" s="37">
        <v>0</v>
      </c>
      <c r="AY550" s="37">
        <v>0</v>
      </c>
      <c r="AZ550" s="37">
        <v>0</v>
      </c>
      <c r="BA550" s="37">
        <v>0</v>
      </c>
      <c r="BB550" s="37">
        <v>0</v>
      </c>
      <c r="BC550" s="37">
        <v>0</v>
      </c>
      <c r="BD550" s="37">
        <v>0</v>
      </c>
      <c r="BE550" s="37">
        <v>0</v>
      </c>
      <c r="BF550" s="37">
        <v>0</v>
      </c>
      <c r="BG550" s="37">
        <v>0</v>
      </c>
      <c r="BH550" s="37">
        <v>0</v>
      </c>
      <c r="BI550" s="37">
        <v>0</v>
      </c>
      <c r="BJ550" s="37">
        <v>0</v>
      </c>
      <c r="BK550" s="59">
        <v>0</v>
      </c>
      <c r="BL550" s="37">
        <v>0</v>
      </c>
      <c r="BM550" s="37">
        <v>0</v>
      </c>
      <c r="BN550" s="37">
        <v>0</v>
      </c>
      <c r="BO550" s="37">
        <v>0</v>
      </c>
      <c r="BP550" s="37">
        <v>0</v>
      </c>
      <c r="BQ550" s="37">
        <v>0</v>
      </c>
      <c r="BR550" s="37">
        <v>0</v>
      </c>
      <c r="BS550" s="37">
        <v>0</v>
      </c>
      <c r="BT550" s="37">
        <v>0</v>
      </c>
      <c r="BU550" s="37">
        <v>0</v>
      </c>
      <c r="BV550" s="37">
        <v>0</v>
      </c>
      <c r="BW550" s="59">
        <v>0</v>
      </c>
      <c r="BX550" s="59">
        <v>0</v>
      </c>
      <c r="BZ550" s="37">
        <v>4000000</v>
      </c>
      <c r="CA550" s="37">
        <v>800000</v>
      </c>
      <c r="CB550" s="37">
        <v>0</v>
      </c>
      <c r="CC550" s="37">
        <v>0</v>
      </c>
      <c r="CD550" s="37">
        <v>0</v>
      </c>
      <c r="CE550" s="37">
        <v>0</v>
      </c>
      <c r="CF550" s="37">
        <v>0</v>
      </c>
      <c r="CG550" s="59">
        <v>4800000</v>
      </c>
      <c r="CH550" s="37">
        <v>0</v>
      </c>
      <c r="CI550" s="37">
        <v>0</v>
      </c>
      <c r="CJ550" s="37">
        <v>0</v>
      </c>
      <c r="CK550" s="37">
        <v>0</v>
      </c>
      <c r="CL550" s="37">
        <v>0</v>
      </c>
      <c r="CM550" s="37">
        <v>0</v>
      </c>
      <c r="CN550" s="59">
        <v>0</v>
      </c>
      <c r="CO550" s="59">
        <v>4800000</v>
      </c>
      <c r="CP550" s="58"/>
      <c r="CQ550" s="3">
        <v>4800000</v>
      </c>
    </row>
    <row r="551" spans="1:95" customFormat="1" x14ac:dyDescent="0.2">
      <c r="A551" s="209">
        <v>43434</v>
      </c>
      <c r="B551" s="33" t="s">
        <v>53</v>
      </c>
      <c r="C551" s="33" t="s">
        <v>54</v>
      </c>
      <c r="D551" s="43">
        <v>1</v>
      </c>
      <c r="E551" s="43">
        <v>0</v>
      </c>
      <c r="F551" s="43">
        <v>0</v>
      </c>
      <c r="G551" s="43">
        <v>0</v>
      </c>
      <c r="H551" s="43">
        <v>0</v>
      </c>
      <c r="I551" s="43">
        <v>0</v>
      </c>
      <c r="J551" s="43">
        <v>0</v>
      </c>
      <c r="K551" s="43">
        <v>0</v>
      </c>
      <c r="L551" s="43">
        <v>0</v>
      </c>
      <c r="M551" s="43">
        <v>0</v>
      </c>
      <c r="N551" s="43">
        <v>0</v>
      </c>
      <c r="O551" s="43">
        <v>0</v>
      </c>
      <c r="P551" s="47" t="s">
        <v>45</v>
      </c>
      <c r="R551" s="37">
        <v>0</v>
      </c>
      <c r="S551" s="37">
        <v>0</v>
      </c>
      <c r="T551" s="37">
        <v>0</v>
      </c>
      <c r="U551" s="37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v>0</v>
      </c>
      <c r="AD551" s="37">
        <v>0</v>
      </c>
      <c r="AE551" s="37">
        <v>0</v>
      </c>
      <c r="AF551" s="37">
        <v>0</v>
      </c>
      <c r="AG551" s="59">
        <v>0</v>
      </c>
      <c r="AH551" s="37">
        <v>0</v>
      </c>
      <c r="AI551" s="37">
        <v>0</v>
      </c>
      <c r="AJ551" s="37">
        <v>0</v>
      </c>
      <c r="AK551" s="37">
        <v>0</v>
      </c>
      <c r="AL551" s="37">
        <v>0</v>
      </c>
      <c r="AM551" s="37">
        <v>0</v>
      </c>
      <c r="AN551" s="37">
        <v>1000</v>
      </c>
      <c r="AO551" s="37">
        <v>0</v>
      </c>
      <c r="AP551" s="37">
        <v>100</v>
      </c>
      <c r="AQ551" s="37">
        <v>0</v>
      </c>
      <c r="AR551" s="37">
        <v>0</v>
      </c>
      <c r="AS551" s="59">
        <v>1100</v>
      </c>
      <c r="AT551" s="59">
        <v>1100</v>
      </c>
      <c r="AU551" s="45"/>
      <c r="AV551" s="37">
        <v>0</v>
      </c>
      <c r="AW551" s="37">
        <v>0</v>
      </c>
      <c r="AX551" s="37">
        <v>0</v>
      </c>
      <c r="AY551" s="37">
        <v>0</v>
      </c>
      <c r="AZ551" s="37">
        <v>0</v>
      </c>
      <c r="BA551" s="37">
        <v>0</v>
      </c>
      <c r="BB551" s="37">
        <v>0</v>
      </c>
      <c r="BC551" s="37">
        <v>0</v>
      </c>
      <c r="BD551" s="37">
        <v>0</v>
      </c>
      <c r="BE551" s="37">
        <v>0</v>
      </c>
      <c r="BF551" s="37">
        <v>0</v>
      </c>
      <c r="BG551" s="37">
        <v>0</v>
      </c>
      <c r="BH551" s="37">
        <v>0</v>
      </c>
      <c r="BI551" s="37">
        <v>0</v>
      </c>
      <c r="BJ551" s="37">
        <v>0</v>
      </c>
      <c r="BK551" s="59">
        <v>0</v>
      </c>
      <c r="BL551" s="37">
        <v>0</v>
      </c>
      <c r="BM551" s="37">
        <v>0</v>
      </c>
      <c r="BN551" s="37">
        <v>0</v>
      </c>
      <c r="BO551" s="37">
        <v>0</v>
      </c>
      <c r="BP551" s="37">
        <v>0</v>
      </c>
      <c r="BQ551" s="37">
        <v>0</v>
      </c>
      <c r="BR551" s="37">
        <v>0</v>
      </c>
      <c r="BS551" s="37">
        <v>0</v>
      </c>
      <c r="BT551" s="37">
        <v>0</v>
      </c>
      <c r="BU551" s="37">
        <v>0</v>
      </c>
      <c r="BV551" s="37">
        <v>0</v>
      </c>
      <c r="BW551" s="59">
        <v>0</v>
      </c>
      <c r="BX551" s="59">
        <v>0</v>
      </c>
      <c r="BZ551" s="37">
        <v>0</v>
      </c>
      <c r="CA551" s="37">
        <v>0</v>
      </c>
      <c r="CB551" s="37">
        <v>0</v>
      </c>
      <c r="CC551" s="37">
        <v>0</v>
      </c>
      <c r="CD551" s="37">
        <v>0</v>
      </c>
      <c r="CE551" s="37">
        <v>0</v>
      </c>
      <c r="CF551" s="37">
        <v>0</v>
      </c>
      <c r="CG551" s="59">
        <v>0</v>
      </c>
      <c r="CH551" s="37">
        <v>0</v>
      </c>
      <c r="CI551" s="37">
        <v>0</v>
      </c>
      <c r="CJ551" s="37">
        <v>1000</v>
      </c>
      <c r="CK551" s="37">
        <v>100</v>
      </c>
      <c r="CL551" s="37">
        <v>0</v>
      </c>
      <c r="CM551" s="37">
        <v>0</v>
      </c>
      <c r="CN551" s="59">
        <v>1100</v>
      </c>
      <c r="CO551" s="59">
        <v>1100</v>
      </c>
      <c r="CP551" s="58"/>
      <c r="CQ551" s="3">
        <v>1100</v>
      </c>
    </row>
    <row r="552" spans="1:95" customFormat="1" x14ac:dyDescent="0.2">
      <c r="A552" s="209">
        <v>43433</v>
      </c>
      <c r="B552" s="33" t="s">
        <v>55</v>
      </c>
      <c r="C552" s="33" t="s">
        <v>56</v>
      </c>
      <c r="D552" s="43">
        <v>0</v>
      </c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0</v>
      </c>
      <c r="O552" s="43">
        <v>0</v>
      </c>
      <c r="P552" s="47">
        <v>0</v>
      </c>
      <c r="R552" s="37">
        <v>0</v>
      </c>
      <c r="S552" s="37">
        <v>0</v>
      </c>
      <c r="T552" s="37">
        <v>4000</v>
      </c>
      <c r="U552" s="37">
        <v>0</v>
      </c>
      <c r="V552" s="37">
        <v>2000</v>
      </c>
      <c r="W552" s="37">
        <v>0</v>
      </c>
      <c r="X552" s="37">
        <v>800</v>
      </c>
      <c r="Y552" s="37">
        <v>0</v>
      </c>
      <c r="Z552" s="37">
        <v>400</v>
      </c>
      <c r="AA552" s="37">
        <v>0</v>
      </c>
      <c r="AB552" s="37">
        <v>200</v>
      </c>
      <c r="AC552" s="37">
        <v>0</v>
      </c>
      <c r="AD552" s="37">
        <v>80</v>
      </c>
      <c r="AE552" s="37">
        <v>0</v>
      </c>
      <c r="AF552" s="37">
        <v>40</v>
      </c>
      <c r="AG552" s="59">
        <v>7520</v>
      </c>
      <c r="AH552" s="37">
        <v>0</v>
      </c>
      <c r="AI552" s="37">
        <v>0</v>
      </c>
      <c r="AJ552" s="37">
        <v>0</v>
      </c>
      <c r="AK552" s="37">
        <v>0</v>
      </c>
      <c r="AL552" s="37">
        <v>5</v>
      </c>
      <c r="AM552" s="37">
        <v>0</v>
      </c>
      <c r="AN552" s="37">
        <v>4</v>
      </c>
      <c r="AO552" s="37">
        <v>0</v>
      </c>
      <c r="AP552" s="37">
        <v>2</v>
      </c>
      <c r="AQ552" s="37">
        <v>0</v>
      </c>
      <c r="AR552" s="37">
        <v>0</v>
      </c>
      <c r="AS552" s="59">
        <v>11</v>
      </c>
      <c r="AT552" s="59">
        <v>7531</v>
      </c>
      <c r="AU552" s="45"/>
      <c r="AV552" s="37">
        <v>0</v>
      </c>
      <c r="AW552" s="37">
        <v>0</v>
      </c>
      <c r="AX552" s="37">
        <v>0</v>
      </c>
      <c r="AY552" s="37">
        <v>0</v>
      </c>
      <c r="AZ552" s="37">
        <v>0</v>
      </c>
      <c r="BA552" s="37">
        <v>0</v>
      </c>
      <c r="BB552" s="37">
        <v>0</v>
      </c>
      <c r="BC552" s="37">
        <v>0</v>
      </c>
      <c r="BD552" s="37">
        <v>0</v>
      </c>
      <c r="BE552" s="37">
        <v>0</v>
      </c>
      <c r="BF552" s="37">
        <v>0</v>
      </c>
      <c r="BG552" s="37">
        <v>0</v>
      </c>
      <c r="BH552" s="37">
        <v>0</v>
      </c>
      <c r="BI552" s="37">
        <v>0</v>
      </c>
      <c r="BJ552" s="37">
        <v>0</v>
      </c>
      <c r="BK552" s="59">
        <v>0</v>
      </c>
      <c r="BL552" s="37">
        <v>0</v>
      </c>
      <c r="BM552" s="37">
        <v>0</v>
      </c>
      <c r="BN552" s="37">
        <v>0</v>
      </c>
      <c r="BO552" s="37">
        <v>0</v>
      </c>
      <c r="BP552" s="37">
        <v>0</v>
      </c>
      <c r="BQ552" s="37">
        <v>0</v>
      </c>
      <c r="BR552" s="37">
        <v>0</v>
      </c>
      <c r="BS552" s="37">
        <v>0</v>
      </c>
      <c r="BT552" s="37">
        <v>0</v>
      </c>
      <c r="BU552" s="37">
        <v>0</v>
      </c>
      <c r="BV552" s="37">
        <v>0</v>
      </c>
      <c r="BW552" s="59">
        <v>0</v>
      </c>
      <c r="BX552" s="59">
        <v>0</v>
      </c>
      <c r="BZ552" s="37">
        <v>4000</v>
      </c>
      <c r="CA552" s="37">
        <v>2000</v>
      </c>
      <c r="CB552" s="37">
        <v>800</v>
      </c>
      <c r="CC552" s="37">
        <v>400</v>
      </c>
      <c r="CD552" s="37">
        <v>200</v>
      </c>
      <c r="CE552" s="37">
        <v>80</v>
      </c>
      <c r="CF552" s="37">
        <v>40</v>
      </c>
      <c r="CG552" s="59">
        <v>7520</v>
      </c>
      <c r="CH552" s="37">
        <v>0</v>
      </c>
      <c r="CI552" s="37">
        <v>5</v>
      </c>
      <c r="CJ552" s="37">
        <v>4</v>
      </c>
      <c r="CK552" s="37">
        <v>2</v>
      </c>
      <c r="CL552" s="37">
        <v>0</v>
      </c>
      <c r="CM552" s="37">
        <v>0</v>
      </c>
      <c r="CN552" s="59">
        <v>11</v>
      </c>
      <c r="CO552" s="59">
        <v>7531</v>
      </c>
      <c r="CP552" s="58"/>
      <c r="CQ552" s="3">
        <v>7531</v>
      </c>
    </row>
    <row r="553" spans="1:95" customFormat="1" x14ac:dyDescent="0.2">
      <c r="A553" s="209">
        <v>43433</v>
      </c>
      <c r="B553" s="33" t="s">
        <v>62</v>
      </c>
      <c r="C553" s="33" t="s">
        <v>118</v>
      </c>
      <c r="D553" s="43">
        <v>0</v>
      </c>
      <c r="E553" s="43">
        <v>0</v>
      </c>
      <c r="F553" s="43">
        <v>0</v>
      </c>
      <c r="G553" s="43">
        <v>0</v>
      </c>
      <c r="H553" s="43">
        <v>0</v>
      </c>
      <c r="I553" s="43">
        <v>1</v>
      </c>
      <c r="J553" s="43">
        <v>0</v>
      </c>
      <c r="K553" s="43">
        <v>0</v>
      </c>
      <c r="L553" s="43">
        <v>0</v>
      </c>
      <c r="M553" s="43">
        <v>0</v>
      </c>
      <c r="N553" s="43">
        <v>0</v>
      </c>
      <c r="O553" s="43">
        <v>0</v>
      </c>
      <c r="P553" s="47" t="s">
        <v>45</v>
      </c>
      <c r="R553" s="37">
        <v>0</v>
      </c>
      <c r="S553" s="37">
        <v>0</v>
      </c>
      <c r="T553" s="37">
        <v>4000000</v>
      </c>
      <c r="U553" s="37">
        <v>0</v>
      </c>
      <c r="V553" s="37">
        <v>1700000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v>0</v>
      </c>
      <c r="AD553" s="37">
        <v>0</v>
      </c>
      <c r="AE553" s="37">
        <v>0</v>
      </c>
      <c r="AF553" s="37">
        <v>3000</v>
      </c>
      <c r="AG553" s="59">
        <v>5703000</v>
      </c>
      <c r="AH553" s="37">
        <v>0</v>
      </c>
      <c r="AI553" s="37">
        <v>0</v>
      </c>
      <c r="AJ553" s="37">
        <v>0</v>
      </c>
      <c r="AK553" s="37">
        <v>0</v>
      </c>
      <c r="AL553" s="37">
        <v>0</v>
      </c>
      <c r="AM553" s="37">
        <v>0</v>
      </c>
      <c r="AN553" s="37">
        <v>0</v>
      </c>
      <c r="AO553" s="37">
        <v>0</v>
      </c>
      <c r="AP553" s="37">
        <v>0</v>
      </c>
      <c r="AQ553" s="37">
        <v>0</v>
      </c>
      <c r="AR553" s="37">
        <v>0</v>
      </c>
      <c r="AS553" s="59">
        <v>0</v>
      </c>
      <c r="AT553" s="59">
        <v>5703000</v>
      </c>
      <c r="AU553" s="45"/>
      <c r="AV553" s="37">
        <v>0</v>
      </c>
      <c r="AW553" s="37">
        <v>0</v>
      </c>
      <c r="AX553" s="37">
        <v>0</v>
      </c>
      <c r="AY553" s="37">
        <v>0</v>
      </c>
      <c r="AZ553" s="37">
        <v>0</v>
      </c>
      <c r="BA553" s="37">
        <v>0</v>
      </c>
      <c r="BB553" s="37">
        <v>0</v>
      </c>
      <c r="BC553" s="37">
        <v>0</v>
      </c>
      <c r="BD553" s="37">
        <v>0</v>
      </c>
      <c r="BE553" s="37">
        <v>0</v>
      </c>
      <c r="BF553" s="37">
        <v>0</v>
      </c>
      <c r="BG553" s="37">
        <v>0</v>
      </c>
      <c r="BH553" s="37">
        <v>0</v>
      </c>
      <c r="BI553" s="37">
        <v>0</v>
      </c>
      <c r="BJ553" s="37">
        <v>0</v>
      </c>
      <c r="BK553" s="59">
        <v>0</v>
      </c>
      <c r="BL553" s="37">
        <v>0</v>
      </c>
      <c r="BM553" s="37">
        <v>0</v>
      </c>
      <c r="BN553" s="37">
        <v>0</v>
      </c>
      <c r="BO553" s="37">
        <v>0</v>
      </c>
      <c r="BP553" s="37">
        <v>0</v>
      </c>
      <c r="BQ553" s="37">
        <v>0</v>
      </c>
      <c r="BR553" s="37">
        <v>0</v>
      </c>
      <c r="BS553" s="37">
        <v>0</v>
      </c>
      <c r="BT553" s="37">
        <v>0</v>
      </c>
      <c r="BU553" s="37">
        <v>0</v>
      </c>
      <c r="BV553" s="37">
        <v>0</v>
      </c>
      <c r="BW553" s="59">
        <v>0</v>
      </c>
      <c r="BX553" s="59">
        <v>0</v>
      </c>
      <c r="BZ553" s="37">
        <v>4000000</v>
      </c>
      <c r="CA553" s="37">
        <v>1700000</v>
      </c>
      <c r="CB553" s="37">
        <v>0</v>
      </c>
      <c r="CC553" s="37">
        <v>0</v>
      </c>
      <c r="CD553" s="37">
        <v>0</v>
      </c>
      <c r="CE553" s="37">
        <v>0</v>
      </c>
      <c r="CF553" s="37">
        <v>3000</v>
      </c>
      <c r="CG553" s="59">
        <v>5703000</v>
      </c>
      <c r="CH553" s="37">
        <v>0</v>
      </c>
      <c r="CI553" s="37">
        <v>0</v>
      </c>
      <c r="CJ553" s="37">
        <v>0</v>
      </c>
      <c r="CK553" s="37">
        <v>0</v>
      </c>
      <c r="CL553" s="37">
        <v>0</v>
      </c>
      <c r="CM553" s="37">
        <v>0</v>
      </c>
      <c r="CN553" s="59">
        <v>0</v>
      </c>
      <c r="CO553" s="59">
        <v>5703000</v>
      </c>
      <c r="CP553" s="58"/>
      <c r="CQ553" s="3">
        <v>5703000</v>
      </c>
    </row>
    <row r="554" spans="1:95" customFormat="1" x14ac:dyDescent="0.2">
      <c r="A554" s="209">
        <v>43433</v>
      </c>
      <c r="B554" s="33" t="s">
        <v>81</v>
      </c>
      <c r="C554" s="33" t="s">
        <v>94</v>
      </c>
      <c r="D554" s="43">
        <v>0</v>
      </c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1</v>
      </c>
      <c r="O554" s="43">
        <v>0</v>
      </c>
      <c r="P554" s="47" t="s">
        <v>45</v>
      </c>
      <c r="R554" s="37">
        <v>0</v>
      </c>
      <c r="S554" s="37">
        <v>0</v>
      </c>
      <c r="T554" s="37">
        <v>1100000</v>
      </c>
      <c r="U554" s="37">
        <v>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7">
        <v>0</v>
      </c>
      <c r="AB554" s="37">
        <v>0</v>
      </c>
      <c r="AC554" s="37">
        <v>0</v>
      </c>
      <c r="AD554" s="37">
        <v>0</v>
      </c>
      <c r="AE554" s="37">
        <v>0</v>
      </c>
      <c r="AF554" s="37">
        <v>0</v>
      </c>
      <c r="AG554" s="59">
        <v>1100000</v>
      </c>
      <c r="AH554" s="37">
        <v>0</v>
      </c>
      <c r="AI554" s="37">
        <v>2000</v>
      </c>
      <c r="AJ554" s="37">
        <v>0</v>
      </c>
      <c r="AK554" s="37">
        <v>0</v>
      </c>
      <c r="AL554" s="37">
        <v>0</v>
      </c>
      <c r="AM554" s="37">
        <v>0</v>
      </c>
      <c r="AN554" s="37">
        <v>0</v>
      </c>
      <c r="AO554" s="37">
        <v>0</v>
      </c>
      <c r="AP554" s="37">
        <v>150</v>
      </c>
      <c r="AQ554" s="37">
        <v>0</v>
      </c>
      <c r="AR554" s="37">
        <v>0</v>
      </c>
      <c r="AS554" s="59">
        <v>2150</v>
      </c>
      <c r="AT554" s="59">
        <v>1102150</v>
      </c>
      <c r="AU554" s="45"/>
      <c r="AV554" s="37">
        <v>0</v>
      </c>
      <c r="AW554" s="37">
        <v>0</v>
      </c>
      <c r="AX554" s="37">
        <v>0</v>
      </c>
      <c r="AY554" s="37">
        <v>0</v>
      </c>
      <c r="AZ554" s="37">
        <v>0</v>
      </c>
      <c r="BA554" s="37">
        <v>0</v>
      </c>
      <c r="BB554" s="37">
        <v>0</v>
      </c>
      <c r="BC554" s="37">
        <v>0</v>
      </c>
      <c r="BD554" s="37">
        <v>0</v>
      </c>
      <c r="BE554" s="37">
        <v>0</v>
      </c>
      <c r="BF554" s="37">
        <v>0</v>
      </c>
      <c r="BG554" s="37">
        <v>0</v>
      </c>
      <c r="BH554" s="37">
        <v>0</v>
      </c>
      <c r="BI554" s="37">
        <v>0</v>
      </c>
      <c r="BJ554" s="37">
        <v>0</v>
      </c>
      <c r="BK554" s="59">
        <v>0</v>
      </c>
      <c r="BL554" s="37">
        <v>0</v>
      </c>
      <c r="BM554" s="37">
        <v>0</v>
      </c>
      <c r="BN554" s="37">
        <v>0</v>
      </c>
      <c r="BO554" s="37">
        <v>0</v>
      </c>
      <c r="BP554" s="37">
        <v>0</v>
      </c>
      <c r="BQ554" s="37">
        <v>0</v>
      </c>
      <c r="BR554" s="37">
        <v>0</v>
      </c>
      <c r="BS554" s="37">
        <v>0</v>
      </c>
      <c r="BT554" s="37">
        <v>0</v>
      </c>
      <c r="BU554" s="37">
        <v>0</v>
      </c>
      <c r="BV554" s="37">
        <v>0</v>
      </c>
      <c r="BW554" s="59">
        <v>0</v>
      </c>
      <c r="BX554" s="59">
        <v>0</v>
      </c>
      <c r="BZ554" s="37">
        <v>1100000</v>
      </c>
      <c r="CA554" s="37">
        <v>0</v>
      </c>
      <c r="CB554" s="37">
        <v>0</v>
      </c>
      <c r="CC554" s="37">
        <v>0</v>
      </c>
      <c r="CD554" s="37">
        <v>0</v>
      </c>
      <c r="CE554" s="37">
        <v>0</v>
      </c>
      <c r="CF554" s="37">
        <v>0</v>
      </c>
      <c r="CG554" s="59">
        <v>1100000</v>
      </c>
      <c r="CH554" s="37">
        <v>2000</v>
      </c>
      <c r="CI554" s="37">
        <v>0</v>
      </c>
      <c r="CJ554" s="37">
        <v>0</v>
      </c>
      <c r="CK554" s="37">
        <v>150</v>
      </c>
      <c r="CL554" s="37">
        <v>0</v>
      </c>
      <c r="CM554" s="37">
        <v>0</v>
      </c>
      <c r="CN554" s="59">
        <v>2150</v>
      </c>
      <c r="CO554" s="59">
        <v>1102150</v>
      </c>
      <c r="CP554" s="58"/>
      <c r="CQ554" s="3">
        <v>1102150</v>
      </c>
    </row>
    <row r="555" spans="1:95" customFormat="1" x14ac:dyDescent="0.2">
      <c r="A555" s="209">
        <v>43437</v>
      </c>
      <c r="B555" s="33" t="s">
        <v>55</v>
      </c>
      <c r="C555" s="33" t="s">
        <v>56</v>
      </c>
      <c r="D555" s="43">
        <v>0</v>
      </c>
      <c r="E555" s="43">
        <v>0</v>
      </c>
      <c r="F555" s="43">
        <v>0</v>
      </c>
      <c r="G555" s="43">
        <v>0</v>
      </c>
      <c r="H555" s="43">
        <v>0</v>
      </c>
      <c r="I555" s="43">
        <v>0</v>
      </c>
      <c r="J555" s="43">
        <v>0</v>
      </c>
      <c r="K555" s="43">
        <v>0</v>
      </c>
      <c r="L555" s="43">
        <v>0</v>
      </c>
      <c r="M555" s="43">
        <v>0</v>
      </c>
      <c r="N555" s="43">
        <v>0</v>
      </c>
      <c r="O555" s="43">
        <v>0</v>
      </c>
      <c r="P555" s="47">
        <v>0</v>
      </c>
      <c r="R555" s="37">
        <v>0</v>
      </c>
      <c r="S555" s="37">
        <v>0</v>
      </c>
      <c r="T555" s="37">
        <v>4000</v>
      </c>
      <c r="U555" s="37">
        <v>0</v>
      </c>
      <c r="V555" s="37">
        <v>2000</v>
      </c>
      <c r="W555" s="37">
        <v>0</v>
      </c>
      <c r="X555" s="37">
        <v>800</v>
      </c>
      <c r="Y555" s="37">
        <v>0</v>
      </c>
      <c r="Z555" s="37">
        <v>400</v>
      </c>
      <c r="AA555" s="37">
        <v>0</v>
      </c>
      <c r="AB555" s="37">
        <v>200</v>
      </c>
      <c r="AC555" s="37">
        <v>0</v>
      </c>
      <c r="AD555" s="37">
        <v>80</v>
      </c>
      <c r="AE555" s="37">
        <v>0</v>
      </c>
      <c r="AF555" s="37">
        <v>40</v>
      </c>
      <c r="AG555" s="59">
        <v>7520</v>
      </c>
      <c r="AH555" s="37">
        <v>0</v>
      </c>
      <c r="AI555" s="37">
        <v>0</v>
      </c>
      <c r="AJ555" s="37">
        <v>0</v>
      </c>
      <c r="AK555" s="37">
        <v>0</v>
      </c>
      <c r="AL555" s="37">
        <v>0</v>
      </c>
      <c r="AM555" s="37">
        <v>0</v>
      </c>
      <c r="AN555" s="37">
        <v>0</v>
      </c>
      <c r="AO555" s="37">
        <v>0</v>
      </c>
      <c r="AP555" s="37">
        <v>0</v>
      </c>
      <c r="AQ555" s="37">
        <v>0</v>
      </c>
      <c r="AR555" s="37">
        <v>0</v>
      </c>
      <c r="AS555" s="59">
        <v>0</v>
      </c>
      <c r="AT555" s="59">
        <v>7520</v>
      </c>
      <c r="AU555" s="45"/>
      <c r="AV555" s="37">
        <v>0</v>
      </c>
      <c r="AW555" s="37">
        <v>0</v>
      </c>
      <c r="AX555" s="37">
        <v>0</v>
      </c>
      <c r="AY555" s="37">
        <v>0</v>
      </c>
      <c r="AZ555" s="37">
        <v>0</v>
      </c>
      <c r="BA555" s="37">
        <v>0</v>
      </c>
      <c r="BB555" s="37">
        <v>0</v>
      </c>
      <c r="BC555" s="37">
        <v>0</v>
      </c>
      <c r="BD555" s="37">
        <v>0</v>
      </c>
      <c r="BE555" s="37">
        <v>0</v>
      </c>
      <c r="BF555" s="37">
        <v>0</v>
      </c>
      <c r="BG555" s="37">
        <v>0</v>
      </c>
      <c r="BH555" s="37">
        <v>0</v>
      </c>
      <c r="BI555" s="37">
        <v>0</v>
      </c>
      <c r="BJ555" s="37">
        <v>0</v>
      </c>
      <c r="BK555" s="59">
        <v>0</v>
      </c>
      <c r="BL555" s="37">
        <v>0</v>
      </c>
      <c r="BM555" s="37">
        <v>0</v>
      </c>
      <c r="BN555" s="37">
        <v>0</v>
      </c>
      <c r="BO555" s="37">
        <v>0</v>
      </c>
      <c r="BP555" s="37">
        <v>0</v>
      </c>
      <c r="BQ555" s="37">
        <v>0</v>
      </c>
      <c r="BR555" s="37">
        <v>0</v>
      </c>
      <c r="BS555" s="37">
        <v>0</v>
      </c>
      <c r="BT555" s="37">
        <v>0</v>
      </c>
      <c r="BU555" s="37">
        <v>0</v>
      </c>
      <c r="BV555" s="37">
        <v>0</v>
      </c>
      <c r="BW555" s="59">
        <v>0</v>
      </c>
      <c r="BX555" s="59">
        <v>0</v>
      </c>
      <c r="BZ555" s="37">
        <v>4000</v>
      </c>
      <c r="CA555" s="37">
        <v>2000</v>
      </c>
      <c r="CB555" s="37">
        <v>800</v>
      </c>
      <c r="CC555" s="37">
        <v>400</v>
      </c>
      <c r="CD555" s="37">
        <v>200</v>
      </c>
      <c r="CE555" s="37">
        <v>80</v>
      </c>
      <c r="CF555" s="37">
        <v>40</v>
      </c>
      <c r="CG555" s="59">
        <v>7520</v>
      </c>
      <c r="CH555" s="37">
        <v>0</v>
      </c>
      <c r="CI555" s="37">
        <v>0</v>
      </c>
      <c r="CJ555" s="37">
        <v>0</v>
      </c>
      <c r="CK555" s="37">
        <v>0</v>
      </c>
      <c r="CL555" s="37">
        <v>0</v>
      </c>
      <c r="CM555" s="37">
        <v>0</v>
      </c>
      <c r="CN555" s="59">
        <v>0</v>
      </c>
      <c r="CO555" s="59">
        <v>7520</v>
      </c>
      <c r="CP555" s="58"/>
      <c r="CQ555" s="3">
        <v>7520</v>
      </c>
    </row>
    <row r="556" spans="1:95" customFormat="1" x14ac:dyDescent="0.2">
      <c r="A556" s="209">
        <v>43437</v>
      </c>
      <c r="B556" s="33" t="s">
        <v>53</v>
      </c>
      <c r="C556" s="33" t="s">
        <v>57</v>
      </c>
      <c r="D556" s="43">
        <v>0</v>
      </c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0</v>
      </c>
      <c r="O556" s="43">
        <v>0</v>
      </c>
      <c r="P556" s="47">
        <v>0</v>
      </c>
      <c r="R556" s="37">
        <v>0</v>
      </c>
      <c r="S556" s="37">
        <v>0</v>
      </c>
      <c r="T556" s="37">
        <v>44000</v>
      </c>
      <c r="U556" s="37">
        <v>0</v>
      </c>
      <c r="V556" s="37">
        <v>22000</v>
      </c>
      <c r="W556" s="37">
        <v>0</v>
      </c>
      <c r="X556" s="37">
        <v>2400</v>
      </c>
      <c r="Y556" s="37">
        <v>0</v>
      </c>
      <c r="Z556" s="37">
        <v>4400</v>
      </c>
      <c r="AA556" s="37">
        <v>0</v>
      </c>
      <c r="AB556" s="37">
        <v>2200</v>
      </c>
      <c r="AC556" s="37">
        <v>0</v>
      </c>
      <c r="AD556" s="37">
        <v>880</v>
      </c>
      <c r="AE556" s="37">
        <v>0</v>
      </c>
      <c r="AF556" s="37">
        <v>0</v>
      </c>
      <c r="AG556" s="59">
        <v>75880</v>
      </c>
      <c r="AH556" s="37">
        <v>0</v>
      </c>
      <c r="AI556" s="37">
        <v>0</v>
      </c>
      <c r="AJ556" s="37">
        <v>0</v>
      </c>
      <c r="AK556" s="37">
        <v>0</v>
      </c>
      <c r="AL556" s="37">
        <v>25</v>
      </c>
      <c r="AM556" s="37">
        <v>0</v>
      </c>
      <c r="AN556" s="37">
        <v>20</v>
      </c>
      <c r="AO556" s="37">
        <v>0</v>
      </c>
      <c r="AP556" s="37">
        <v>10</v>
      </c>
      <c r="AQ556" s="37">
        <v>0</v>
      </c>
      <c r="AR556" s="37">
        <v>0</v>
      </c>
      <c r="AS556" s="59">
        <v>55</v>
      </c>
      <c r="AT556" s="59">
        <v>75935</v>
      </c>
      <c r="AU556" s="45"/>
      <c r="AV556" s="37">
        <v>0</v>
      </c>
      <c r="AW556" s="37">
        <v>0</v>
      </c>
      <c r="AX556" s="37">
        <v>0</v>
      </c>
      <c r="AY556" s="37">
        <v>0</v>
      </c>
      <c r="AZ556" s="37">
        <v>0</v>
      </c>
      <c r="BA556" s="37">
        <v>0</v>
      </c>
      <c r="BB556" s="37">
        <v>0</v>
      </c>
      <c r="BC556" s="37">
        <v>0</v>
      </c>
      <c r="BD556" s="37">
        <v>0</v>
      </c>
      <c r="BE556" s="37">
        <v>0</v>
      </c>
      <c r="BF556" s="37">
        <v>0</v>
      </c>
      <c r="BG556" s="37">
        <v>0</v>
      </c>
      <c r="BH556" s="37">
        <v>0</v>
      </c>
      <c r="BI556" s="37">
        <v>0</v>
      </c>
      <c r="BJ556" s="37">
        <v>0</v>
      </c>
      <c r="BK556" s="59">
        <v>0</v>
      </c>
      <c r="BL556" s="37">
        <v>0</v>
      </c>
      <c r="BM556" s="37">
        <v>0</v>
      </c>
      <c r="BN556" s="37">
        <v>0</v>
      </c>
      <c r="BO556" s="37">
        <v>0</v>
      </c>
      <c r="BP556" s="37">
        <v>0</v>
      </c>
      <c r="BQ556" s="37">
        <v>0</v>
      </c>
      <c r="BR556" s="37">
        <v>0</v>
      </c>
      <c r="BS556" s="37">
        <v>0</v>
      </c>
      <c r="BT556" s="37">
        <v>0</v>
      </c>
      <c r="BU556" s="37">
        <v>0</v>
      </c>
      <c r="BV556" s="37">
        <v>0</v>
      </c>
      <c r="BW556" s="59">
        <v>0</v>
      </c>
      <c r="BX556" s="59">
        <v>0</v>
      </c>
      <c r="BZ556" s="37">
        <v>44000</v>
      </c>
      <c r="CA556" s="37">
        <v>22000</v>
      </c>
      <c r="CB556" s="37">
        <v>2400</v>
      </c>
      <c r="CC556" s="37">
        <v>4400</v>
      </c>
      <c r="CD556" s="37">
        <v>2200</v>
      </c>
      <c r="CE556" s="37">
        <v>880</v>
      </c>
      <c r="CF556" s="37">
        <v>0</v>
      </c>
      <c r="CG556" s="59">
        <v>75880</v>
      </c>
      <c r="CH556" s="37">
        <v>0</v>
      </c>
      <c r="CI556" s="37">
        <v>25</v>
      </c>
      <c r="CJ556" s="37">
        <v>20</v>
      </c>
      <c r="CK556" s="37">
        <v>10</v>
      </c>
      <c r="CL556" s="37">
        <v>0</v>
      </c>
      <c r="CM556" s="37">
        <v>0</v>
      </c>
      <c r="CN556" s="59">
        <v>55</v>
      </c>
      <c r="CO556" s="59">
        <v>75935</v>
      </c>
      <c r="CP556" s="58"/>
      <c r="CQ556" s="3">
        <v>75935</v>
      </c>
    </row>
    <row r="557" spans="1:95" customFormat="1" x14ac:dyDescent="0.2">
      <c r="A557" s="209">
        <v>43438</v>
      </c>
      <c r="B557" s="33" t="s">
        <v>55</v>
      </c>
      <c r="C557" s="33" t="s">
        <v>56</v>
      </c>
      <c r="D557" s="43">
        <v>0</v>
      </c>
      <c r="E557" s="43">
        <v>0</v>
      </c>
      <c r="F557" s="43">
        <v>0</v>
      </c>
      <c r="G557" s="43">
        <v>0</v>
      </c>
      <c r="H557" s="43">
        <v>0</v>
      </c>
      <c r="I557" s="43">
        <v>0</v>
      </c>
      <c r="J557" s="43">
        <v>0</v>
      </c>
      <c r="K557" s="43">
        <v>0</v>
      </c>
      <c r="L557" s="43">
        <v>0</v>
      </c>
      <c r="M557" s="43">
        <v>0</v>
      </c>
      <c r="N557" s="43">
        <v>0</v>
      </c>
      <c r="O557" s="43">
        <v>0</v>
      </c>
      <c r="P557" s="47">
        <v>0</v>
      </c>
      <c r="R557" s="37">
        <v>0</v>
      </c>
      <c r="S557" s="37">
        <v>0</v>
      </c>
      <c r="T557" s="37">
        <v>4000</v>
      </c>
      <c r="U557" s="37">
        <v>0</v>
      </c>
      <c r="V557" s="37">
        <v>2000</v>
      </c>
      <c r="W557" s="37">
        <v>0</v>
      </c>
      <c r="X557" s="37">
        <v>800</v>
      </c>
      <c r="Y557" s="37">
        <v>0</v>
      </c>
      <c r="Z557" s="37">
        <v>400</v>
      </c>
      <c r="AA557" s="37">
        <v>0</v>
      </c>
      <c r="AB557" s="37">
        <v>200</v>
      </c>
      <c r="AC557" s="37">
        <v>0</v>
      </c>
      <c r="AD557" s="37">
        <v>80</v>
      </c>
      <c r="AE557" s="37">
        <v>0</v>
      </c>
      <c r="AF557" s="37">
        <v>40</v>
      </c>
      <c r="AG557" s="59">
        <v>7520</v>
      </c>
      <c r="AH557" s="37">
        <v>0</v>
      </c>
      <c r="AI557" s="37">
        <v>0</v>
      </c>
      <c r="AJ557" s="37">
        <v>0</v>
      </c>
      <c r="AK557" s="37">
        <v>0</v>
      </c>
      <c r="AL557" s="37">
        <v>5</v>
      </c>
      <c r="AM557" s="37">
        <v>0</v>
      </c>
      <c r="AN557" s="37">
        <v>4</v>
      </c>
      <c r="AO557" s="37">
        <v>0</v>
      </c>
      <c r="AP557" s="37">
        <v>2</v>
      </c>
      <c r="AQ557" s="37">
        <v>0</v>
      </c>
      <c r="AR557" s="37">
        <v>0</v>
      </c>
      <c r="AS557" s="59">
        <v>11</v>
      </c>
      <c r="AT557" s="59">
        <v>7531</v>
      </c>
      <c r="AU557" s="45"/>
      <c r="AV557" s="37">
        <v>0</v>
      </c>
      <c r="AW557" s="37">
        <v>0</v>
      </c>
      <c r="AX557" s="37">
        <v>0</v>
      </c>
      <c r="AY557" s="37">
        <v>0</v>
      </c>
      <c r="AZ557" s="37">
        <v>0</v>
      </c>
      <c r="BA557" s="37">
        <v>0</v>
      </c>
      <c r="BB557" s="37">
        <v>0</v>
      </c>
      <c r="BC557" s="37">
        <v>0</v>
      </c>
      <c r="BD557" s="37">
        <v>0</v>
      </c>
      <c r="BE557" s="37">
        <v>0</v>
      </c>
      <c r="BF557" s="37">
        <v>0</v>
      </c>
      <c r="BG557" s="37">
        <v>0</v>
      </c>
      <c r="BH557" s="37">
        <v>0</v>
      </c>
      <c r="BI557" s="37">
        <v>0</v>
      </c>
      <c r="BJ557" s="37">
        <v>0</v>
      </c>
      <c r="BK557" s="59">
        <v>0</v>
      </c>
      <c r="BL557" s="37">
        <v>0</v>
      </c>
      <c r="BM557" s="37">
        <v>0</v>
      </c>
      <c r="BN557" s="37">
        <v>0</v>
      </c>
      <c r="BO557" s="37">
        <v>0</v>
      </c>
      <c r="BP557" s="37">
        <v>0</v>
      </c>
      <c r="BQ557" s="37">
        <v>0</v>
      </c>
      <c r="BR557" s="37">
        <v>0</v>
      </c>
      <c r="BS557" s="37">
        <v>0</v>
      </c>
      <c r="BT557" s="37">
        <v>0</v>
      </c>
      <c r="BU557" s="37">
        <v>0</v>
      </c>
      <c r="BV557" s="37">
        <v>0</v>
      </c>
      <c r="BW557" s="59">
        <v>0</v>
      </c>
      <c r="BX557" s="59">
        <v>0</v>
      </c>
      <c r="BZ557" s="37">
        <v>4000</v>
      </c>
      <c r="CA557" s="37">
        <v>2000</v>
      </c>
      <c r="CB557" s="37">
        <v>800</v>
      </c>
      <c r="CC557" s="37">
        <v>400</v>
      </c>
      <c r="CD557" s="37">
        <v>200</v>
      </c>
      <c r="CE557" s="37">
        <v>80</v>
      </c>
      <c r="CF557" s="37">
        <v>40</v>
      </c>
      <c r="CG557" s="59">
        <v>7520</v>
      </c>
      <c r="CH557" s="37">
        <v>0</v>
      </c>
      <c r="CI557" s="37">
        <v>5</v>
      </c>
      <c r="CJ557" s="37">
        <v>4</v>
      </c>
      <c r="CK557" s="37">
        <v>2</v>
      </c>
      <c r="CL557" s="37">
        <v>0</v>
      </c>
      <c r="CM557" s="37">
        <v>0</v>
      </c>
      <c r="CN557" s="59">
        <v>11</v>
      </c>
      <c r="CO557" s="59">
        <v>7531</v>
      </c>
      <c r="CP557" s="58"/>
      <c r="CQ557" s="3">
        <v>7531</v>
      </c>
    </row>
    <row r="558" spans="1:95" customFormat="1" x14ac:dyDescent="0.2">
      <c r="A558" s="209">
        <v>43438</v>
      </c>
      <c r="B558" s="33" t="s">
        <v>53</v>
      </c>
      <c r="C558" s="33" t="s">
        <v>54</v>
      </c>
      <c r="D558" s="43">
        <v>1</v>
      </c>
      <c r="E558" s="43">
        <v>0</v>
      </c>
      <c r="F558" s="43">
        <v>0</v>
      </c>
      <c r="G558" s="43">
        <v>0</v>
      </c>
      <c r="H558" s="43">
        <v>0</v>
      </c>
      <c r="I558" s="43">
        <v>0</v>
      </c>
      <c r="J558" s="43">
        <v>0</v>
      </c>
      <c r="K558" s="43">
        <v>0</v>
      </c>
      <c r="L558" s="43">
        <v>0</v>
      </c>
      <c r="M558" s="43">
        <v>0</v>
      </c>
      <c r="N558" s="43">
        <v>0</v>
      </c>
      <c r="O558" s="43">
        <v>0</v>
      </c>
      <c r="P558" s="47" t="s">
        <v>45</v>
      </c>
      <c r="R558" s="37">
        <v>0</v>
      </c>
      <c r="S558" s="37">
        <v>0</v>
      </c>
      <c r="T558" s="37">
        <v>5000000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59">
        <v>5000000</v>
      </c>
      <c r="AH558" s="37">
        <v>0</v>
      </c>
      <c r="AI558" s="37">
        <v>0</v>
      </c>
      <c r="AJ558" s="37">
        <v>0</v>
      </c>
      <c r="AK558" s="37">
        <v>0</v>
      </c>
      <c r="AL558" s="37">
        <v>3125</v>
      </c>
      <c r="AM558" s="37">
        <v>0</v>
      </c>
      <c r="AN558" s="37">
        <v>0</v>
      </c>
      <c r="AO558" s="37">
        <v>0</v>
      </c>
      <c r="AP558" s="37">
        <v>200</v>
      </c>
      <c r="AQ558" s="37">
        <v>0</v>
      </c>
      <c r="AR558" s="37">
        <v>0</v>
      </c>
      <c r="AS558" s="59">
        <v>3325</v>
      </c>
      <c r="AT558" s="59">
        <v>5003325</v>
      </c>
      <c r="AU558" s="45"/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>
        <v>0</v>
      </c>
      <c r="BB558" s="37">
        <v>0</v>
      </c>
      <c r="BC558" s="37">
        <v>0</v>
      </c>
      <c r="BD558" s="37">
        <v>0</v>
      </c>
      <c r="BE558" s="37">
        <v>0</v>
      </c>
      <c r="BF558" s="37">
        <v>0</v>
      </c>
      <c r="BG558" s="37">
        <v>0</v>
      </c>
      <c r="BH558" s="37">
        <v>0</v>
      </c>
      <c r="BI558" s="37">
        <v>0</v>
      </c>
      <c r="BJ558" s="37">
        <v>0</v>
      </c>
      <c r="BK558" s="59">
        <v>0</v>
      </c>
      <c r="BL558" s="37">
        <v>0</v>
      </c>
      <c r="BM558" s="37">
        <v>0</v>
      </c>
      <c r="BN558" s="37">
        <v>0</v>
      </c>
      <c r="BO558" s="37">
        <v>0</v>
      </c>
      <c r="BP558" s="37">
        <v>0</v>
      </c>
      <c r="BQ558" s="37">
        <v>0</v>
      </c>
      <c r="BR558" s="37">
        <v>0</v>
      </c>
      <c r="BS558" s="37">
        <v>0</v>
      </c>
      <c r="BT558" s="37">
        <v>0</v>
      </c>
      <c r="BU558" s="37">
        <v>0</v>
      </c>
      <c r="BV558" s="37">
        <v>0</v>
      </c>
      <c r="BW558" s="59">
        <v>0</v>
      </c>
      <c r="BX558" s="59">
        <v>0</v>
      </c>
      <c r="BZ558" s="37">
        <v>5000000</v>
      </c>
      <c r="CA558" s="37">
        <v>0</v>
      </c>
      <c r="CB558" s="37">
        <v>0</v>
      </c>
      <c r="CC558" s="37">
        <v>0</v>
      </c>
      <c r="CD558" s="37">
        <v>0</v>
      </c>
      <c r="CE558" s="37">
        <v>0</v>
      </c>
      <c r="CF558" s="37">
        <v>0</v>
      </c>
      <c r="CG558" s="59">
        <v>5000000</v>
      </c>
      <c r="CH558" s="37">
        <v>0</v>
      </c>
      <c r="CI558" s="37">
        <v>3125</v>
      </c>
      <c r="CJ558" s="37">
        <v>0</v>
      </c>
      <c r="CK558" s="37">
        <v>200</v>
      </c>
      <c r="CL558" s="37">
        <v>0</v>
      </c>
      <c r="CM558" s="37">
        <v>0</v>
      </c>
      <c r="CN558" s="59">
        <v>3325</v>
      </c>
      <c r="CO558" s="59">
        <v>5003325</v>
      </c>
      <c r="CP558" s="58"/>
      <c r="CQ558" s="3">
        <v>5003325</v>
      </c>
    </row>
    <row r="559" spans="1:95" customFormat="1" x14ac:dyDescent="0.2">
      <c r="A559" s="209">
        <v>43439</v>
      </c>
      <c r="B559" s="33" t="s">
        <v>55</v>
      </c>
      <c r="C559" s="33" t="s">
        <v>56</v>
      </c>
      <c r="D559" s="43">
        <v>0</v>
      </c>
      <c r="E559" s="43">
        <v>0</v>
      </c>
      <c r="F559" s="43">
        <v>0</v>
      </c>
      <c r="G559" s="43">
        <v>0</v>
      </c>
      <c r="H559" s="43">
        <v>0</v>
      </c>
      <c r="I559" s="43">
        <v>0</v>
      </c>
      <c r="J559" s="43">
        <v>0</v>
      </c>
      <c r="K559" s="43">
        <v>0</v>
      </c>
      <c r="L559" s="43">
        <v>0</v>
      </c>
      <c r="M559" s="43">
        <v>0</v>
      </c>
      <c r="N559" s="43">
        <v>0</v>
      </c>
      <c r="O559" s="43">
        <v>0</v>
      </c>
      <c r="P559" s="47">
        <v>0</v>
      </c>
      <c r="R559" s="37">
        <v>0</v>
      </c>
      <c r="S559" s="37">
        <v>0</v>
      </c>
      <c r="T559" s="37">
        <v>4000</v>
      </c>
      <c r="U559" s="37">
        <v>0</v>
      </c>
      <c r="V559" s="37">
        <v>2000</v>
      </c>
      <c r="W559" s="37">
        <v>0</v>
      </c>
      <c r="X559" s="37">
        <v>0</v>
      </c>
      <c r="Y559" s="37">
        <v>0</v>
      </c>
      <c r="Z559" s="37">
        <v>400</v>
      </c>
      <c r="AA559" s="37">
        <v>0</v>
      </c>
      <c r="AB559" s="37">
        <v>200</v>
      </c>
      <c r="AC559" s="37">
        <v>0</v>
      </c>
      <c r="AD559" s="37">
        <v>80</v>
      </c>
      <c r="AE559" s="37">
        <v>0</v>
      </c>
      <c r="AF559" s="37">
        <v>40</v>
      </c>
      <c r="AG559" s="59">
        <v>6720</v>
      </c>
      <c r="AH559" s="37">
        <v>0</v>
      </c>
      <c r="AI559" s="37">
        <v>0</v>
      </c>
      <c r="AJ559" s="37">
        <v>0</v>
      </c>
      <c r="AK559" s="37">
        <v>0</v>
      </c>
      <c r="AL559" s="37">
        <v>0</v>
      </c>
      <c r="AM559" s="37">
        <v>0</v>
      </c>
      <c r="AN559" s="37">
        <v>0</v>
      </c>
      <c r="AO559" s="37">
        <v>0</v>
      </c>
      <c r="AP559" s="37">
        <v>0</v>
      </c>
      <c r="AQ559" s="37">
        <v>0</v>
      </c>
      <c r="AR559" s="37">
        <v>0</v>
      </c>
      <c r="AS559" s="59">
        <v>0</v>
      </c>
      <c r="AT559" s="59">
        <v>6720</v>
      </c>
      <c r="AU559" s="45"/>
      <c r="AV559" s="37">
        <v>0</v>
      </c>
      <c r="AW559" s="37">
        <v>0</v>
      </c>
      <c r="AX559" s="37">
        <v>0</v>
      </c>
      <c r="AY559" s="37">
        <v>0</v>
      </c>
      <c r="AZ559" s="37">
        <v>0</v>
      </c>
      <c r="BA559" s="37">
        <v>0</v>
      </c>
      <c r="BB559" s="37">
        <v>0</v>
      </c>
      <c r="BC559" s="37">
        <v>0</v>
      </c>
      <c r="BD559" s="37">
        <v>0</v>
      </c>
      <c r="BE559" s="37">
        <v>0</v>
      </c>
      <c r="BF559" s="37">
        <v>0</v>
      </c>
      <c r="BG559" s="37">
        <v>0</v>
      </c>
      <c r="BH559" s="37">
        <v>0</v>
      </c>
      <c r="BI559" s="37">
        <v>0</v>
      </c>
      <c r="BJ559" s="37">
        <v>0</v>
      </c>
      <c r="BK559" s="59">
        <v>0</v>
      </c>
      <c r="BL559" s="37">
        <v>0</v>
      </c>
      <c r="BM559" s="37">
        <v>0</v>
      </c>
      <c r="BN559" s="37">
        <v>0</v>
      </c>
      <c r="BO559" s="37">
        <v>0</v>
      </c>
      <c r="BP559" s="37">
        <v>0</v>
      </c>
      <c r="BQ559" s="37">
        <v>0</v>
      </c>
      <c r="BR559" s="37">
        <v>0</v>
      </c>
      <c r="BS559" s="37">
        <v>0</v>
      </c>
      <c r="BT559" s="37">
        <v>0</v>
      </c>
      <c r="BU559" s="37">
        <v>0</v>
      </c>
      <c r="BV559" s="37">
        <v>0</v>
      </c>
      <c r="BW559" s="59">
        <v>0</v>
      </c>
      <c r="BX559" s="59">
        <v>0</v>
      </c>
      <c r="BZ559" s="37">
        <v>4000</v>
      </c>
      <c r="CA559" s="37">
        <v>2000</v>
      </c>
      <c r="CB559" s="37">
        <v>0</v>
      </c>
      <c r="CC559" s="37">
        <v>400</v>
      </c>
      <c r="CD559" s="37">
        <v>200</v>
      </c>
      <c r="CE559" s="37">
        <v>80</v>
      </c>
      <c r="CF559" s="37">
        <v>40</v>
      </c>
      <c r="CG559" s="59">
        <v>6720</v>
      </c>
      <c r="CH559" s="37">
        <v>0</v>
      </c>
      <c r="CI559" s="37">
        <v>0</v>
      </c>
      <c r="CJ559" s="37">
        <v>0</v>
      </c>
      <c r="CK559" s="37">
        <v>0</v>
      </c>
      <c r="CL559" s="37">
        <v>0</v>
      </c>
      <c r="CM559" s="37">
        <v>0</v>
      </c>
      <c r="CN559" s="59">
        <v>0</v>
      </c>
      <c r="CO559" s="59">
        <v>6720</v>
      </c>
      <c r="CP559" s="58"/>
      <c r="CQ559" s="3">
        <v>6720</v>
      </c>
    </row>
    <row r="560" spans="1:95" customFormat="1" x14ac:dyDescent="0.2">
      <c r="A560" s="209">
        <v>43439</v>
      </c>
      <c r="B560" s="33" t="s">
        <v>53</v>
      </c>
      <c r="C560" s="33" t="s">
        <v>54</v>
      </c>
      <c r="D560" s="43">
        <v>1</v>
      </c>
      <c r="E560" s="43">
        <v>0</v>
      </c>
      <c r="F560" s="43">
        <v>0</v>
      </c>
      <c r="G560" s="43">
        <v>0</v>
      </c>
      <c r="H560" s="43">
        <v>0</v>
      </c>
      <c r="I560" s="43">
        <v>0</v>
      </c>
      <c r="J560" s="43">
        <v>0</v>
      </c>
      <c r="K560" s="43">
        <v>0</v>
      </c>
      <c r="L560" s="43">
        <v>0</v>
      </c>
      <c r="M560" s="43">
        <v>0</v>
      </c>
      <c r="N560" s="43">
        <v>0</v>
      </c>
      <c r="O560" s="43">
        <v>0</v>
      </c>
      <c r="P560" s="47" t="s">
        <v>45</v>
      </c>
      <c r="R560" s="37">
        <v>0</v>
      </c>
      <c r="S560" s="37">
        <v>0</v>
      </c>
      <c r="T560" s="37">
        <v>0</v>
      </c>
      <c r="U560" s="37">
        <v>600000</v>
      </c>
      <c r="V560" s="37">
        <v>0</v>
      </c>
      <c r="W560" s="37">
        <v>0</v>
      </c>
      <c r="X560" s="37">
        <v>0</v>
      </c>
      <c r="Y560" s="37">
        <v>0</v>
      </c>
      <c r="Z560" s="37">
        <v>0</v>
      </c>
      <c r="AA560" s="37">
        <v>0</v>
      </c>
      <c r="AB560" s="37">
        <v>0</v>
      </c>
      <c r="AC560" s="37">
        <v>0</v>
      </c>
      <c r="AD560" s="37">
        <v>0</v>
      </c>
      <c r="AE560" s="37">
        <v>0</v>
      </c>
      <c r="AF560" s="37">
        <v>0</v>
      </c>
      <c r="AG560" s="59">
        <v>600000</v>
      </c>
      <c r="AH560" s="37">
        <v>0</v>
      </c>
      <c r="AI560" s="37">
        <v>0</v>
      </c>
      <c r="AJ560" s="37">
        <v>0</v>
      </c>
      <c r="AK560" s="37">
        <v>0</v>
      </c>
      <c r="AL560" s="37">
        <v>0</v>
      </c>
      <c r="AM560" s="37">
        <v>0</v>
      </c>
      <c r="AN560" s="37">
        <v>0</v>
      </c>
      <c r="AO560" s="37">
        <v>0</v>
      </c>
      <c r="AP560" s="37">
        <v>0</v>
      </c>
      <c r="AQ560" s="37">
        <v>0</v>
      </c>
      <c r="AR560" s="37">
        <v>0</v>
      </c>
      <c r="AS560" s="59">
        <v>0</v>
      </c>
      <c r="AT560" s="59">
        <v>600000</v>
      </c>
      <c r="AU560" s="45"/>
      <c r="AV560" s="37">
        <v>0</v>
      </c>
      <c r="AW560" s="37">
        <v>0</v>
      </c>
      <c r="AX560" s="37">
        <v>0</v>
      </c>
      <c r="AY560" s="37">
        <v>0</v>
      </c>
      <c r="AZ560" s="37">
        <v>0</v>
      </c>
      <c r="BA560" s="37">
        <v>0</v>
      </c>
      <c r="BB560" s="37">
        <v>0</v>
      </c>
      <c r="BC560" s="37">
        <v>0</v>
      </c>
      <c r="BD560" s="37">
        <v>0</v>
      </c>
      <c r="BE560" s="37">
        <v>0</v>
      </c>
      <c r="BF560" s="37">
        <v>0</v>
      </c>
      <c r="BG560" s="37">
        <v>0</v>
      </c>
      <c r="BH560" s="37">
        <v>0</v>
      </c>
      <c r="BI560" s="37">
        <v>0</v>
      </c>
      <c r="BJ560" s="37">
        <v>0</v>
      </c>
      <c r="BK560" s="59">
        <v>0</v>
      </c>
      <c r="BL560" s="37">
        <v>0</v>
      </c>
      <c r="BM560" s="37">
        <v>0</v>
      </c>
      <c r="BN560" s="37">
        <v>0</v>
      </c>
      <c r="BO560" s="37">
        <v>0</v>
      </c>
      <c r="BP560" s="37">
        <v>0</v>
      </c>
      <c r="BQ560" s="37">
        <v>0</v>
      </c>
      <c r="BR560" s="37">
        <v>0</v>
      </c>
      <c r="BS560" s="37">
        <v>0</v>
      </c>
      <c r="BT560" s="37">
        <v>0</v>
      </c>
      <c r="BU560" s="37">
        <v>0</v>
      </c>
      <c r="BV560" s="37">
        <v>0</v>
      </c>
      <c r="BW560" s="59">
        <v>0</v>
      </c>
      <c r="BX560" s="59">
        <v>0</v>
      </c>
      <c r="BZ560" s="37">
        <v>0</v>
      </c>
      <c r="CA560" s="37">
        <v>600000</v>
      </c>
      <c r="CB560" s="37">
        <v>0</v>
      </c>
      <c r="CC560" s="37">
        <v>0</v>
      </c>
      <c r="CD560" s="37">
        <v>0</v>
      </c>
      <c r="CE560" s="37">
        <v>0</v>
      </c>
      <c r="CF560" s="37">
        <v>0</v>
      </c>
      <c r="CG560" s="59">
        <v>600000</v>
      </c>
      <c r="CH560" s="37">
        <v>0</v>
      </c>
      <c r="CI560" s="37">
        <v>0</v>
      </c>
      <c r="CJ560" s="37">
        <v>0</v>
      </c>
      <c r="CK560" s="37">
        <v>0</v>
      </c>
      <c r="CL560" s="37">
        <v>0</v>
      </c>
      <c r="CM560" s="37">
        <v>0</v>
      </c>
      <c r="CN560" s="59">
        <v>0</v>
      </c>
      <c r="CO560" s="59">
        <v>600000</v>
      </c>
      <c r="CP560" s="58"/>
      <c r="CQ560" s="3">
        <v>600000</v>
      </c>
    </row>
    <row r="561" spans="1:95" customFormat="1" x14ac:dyDescent="0.2">
      <c r="A561" s="209">
        <v>43439</v>
      </c>
      <c r="B561" s="33" t="s">
        <v>53</v>
      </c>
      <c r="C561" s="33" t="s">
        <v>54</v>
      </c>
      <c r="D561" s="43">
        <v>1</v>
      </c>
      <c r="E561" s="43">
        <v>0</v>
      </c>
      <c r="F561" s="43">
        <v>0</v>
      </c>
      <c r="G561" s="43">
        <v>0</v>
      </c>
      <c r="H561" s="43">
        <v>0</v>
      </c>
      <c r="I561" s="43">
        <v>0</v>
      </c>
      <c r="J561" s="43">
        <v>0</v>
      </c>
      <c r="K561" s="43">
        <v>0</v>
      </c>
      <c r="L561" s="43">
        <v>0</v>
      </c>
      <c r="M561" s="43">
        <v>0</v>
      </c>
      <c r="N561" s="43">
        <v>0</v>
      </c>
      <c r="O561" s="43">
        <v>0</v>
      </c>
      <c r="P561" s="47" t="s">
        <v>45</v>
      </c>
      <c r="R561" s="37">
        <v>0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100000</v>
      </c>
      <c r="AA561" s="37">
        <v>0</v>
      </c>
      <c r="AB561" s="37">
        <v>0</v>
      </c>
      <c r="AC561" s="37">
        <v>0</v>
      </c>
      <c r="AD561" s="37">
        <v>0</v>
      </c>
      <c r="AE561" s="37">
        <v>0</v>
      </c>
      <c r="AF561" s="37">
        <v>0</v>
      </c>
      <c r="AG561" s="59">
        <v>100000</v>
      </c>
      <c r="AH561" s="37">
        <v>0</v>
      </c>
      <c r="AI561" s="37">
        <v>0</v>
      </c>
      <c r="AJ561" s="37">
        <v>0</v>
      </c>
      <c r="AK561" s="37">
        <v>0</v>
      </c>
      <c r="AL561" s="37">
        <v>0</v>
      </c>
      <c r="AM561" s="37">
        <v>0</v>
      </c>
      <c r="AN561" s="37">
        <v>1000</v>
      </c>
      <c r="AO561" s="37">
        <v>0</v>
      </c>
      <c r="AP561" s="37">
        <v>0</v>
      </c>
      <c r="AQ561" s="37">
        <v>0</v>
      </c>
      <c r="AR561" s="37">
        <v>0</v>
      </c>
      <c r="AS561" s="59">
        <v>1000</v>
      </c>
      <c r="AT561" s="59">
        <v>101000</v>
      </c>
      <c r="AU561" s="45"/>
      <c r="AV561" s="37">
        <v>0</v>
      </c>
      <c r="AW561" s="37">
        <v>0</v>
      </c>
      <c r="AX561" s="37">
        <v>0</v>
      </c>
      <c r="AY561" s="37">
        <v>0</v>
      </c>
      <c r="AZ561" s="37">
        <v>0</v>
      </c>
      <c r="BA561" s="37">
        <v>0</v>
      </c>
      <c r="BB561" s="37">
        <v>0</v>
      </c>
      <c r="BC561" s="37">
        <v>0</v>
      </c>
      <c r="BD561" s="37">
        <v>0</v>
      </c>
      <c r="BE561" s="37">
        <v>0</v>
      </c>
      <c r="BF561" s="37">
        <v>0</v>
      </c>
      <c r="BG561" s="37">
        <v>0</v>
      </c>
      <c r="BH561" s="37">
        <v>0</v>
      </c>
      <c r="BI561" s="37">
        <v>0</v>
      </c>
      <c r="BJ561" s="37">
        <v>0</v>
      </c>
      <c r="BK561" s="59">
        <v>0</v>
      </c>
      <c r="BL561" s="37">
        <v>0</v>
      </c>
      <c r="BM561" s="37">
        <v>0</v>
      </c>
      <c r="BN561" s="37">
        <v>0</v>
      </c>
      <c r="BO561" s="37">
        <v>0</v>
      </c>
      <c r="BP561" s="37">
        <v>0</v>
      </c>
      <c r="BQ561" s="37">
        <v>0</v>
      </c>
      <c r="BR561" s="37">
        <v>0</v>
      </c>
      <c r="BS561" s="37">
        <v>0</v>
      </c>
      <c r="BT561" s="37">
        <v>0</v>
      </c>
      <c r="BU561" s="37">
        <v>0</v>
      </c>
      <c r="BV561" s="37">
        <v>0</v>
      </c>
      <c r="BW561" s="59">
        <v>0</v>
      </c>
      <c r="BX561" s="59">
        <v>0</v>
      </c>
      <c r="BZ561" s="37">
        <v>0</v>
      </c>
      <c r="CA561" s="37">
        <v>0</v>
      </c>
      <c r="CB561" s="37">
        <v>0</v>
      </c>
      <c r="CC561" s="37">
        <v>100000</v>
      </c>
      <c r="CD561" s="37">
        <v>0</v>
      </c>
      <c r="CE561" s="37">
        <v>0</v>
      </c>
      <c r="CF561" s="37">
        <v>0</v>
      </c>
      <c r="CG561" s="59">
        <v>100000</v>
      </c>
      <c r="CH561" s="37">
        <v>0</v>
      </c>
      <c r="CI561" s="37">
        <v>0</v>
      </c>
      <c r="CJ561" s="37">
        <v>1000</v>
      </c>
      <c r="CK561" s="37">
        <v>0</v>
      </c>
      <c r="CL561" s="37">
        <v>0</v>
      </c>
      <c r="CM561" s="37">
        <v>0</v>
      </c>
      <c r="CN561" s="59">
        <v>1000</v>
      </c>
      <c r="CO561" s="59">
        <v>101000</v>
      </c>
      <c r="CP561" s="58"/>
      <c r="CQ561" s="3">
        <v>101000</v>
      </c>
    </row>
    <row r="562" spans="1:95" customFormat="1" x14ac:dyDescent="0.2">
      <c r="A562" s="209">
        <v>43440</v>
      </c>
      <c r="B562" s="33" t="s">
        <v>55</v>
      </c>
      <c r="C562" s="33" t="s">
        <v>56</v>
      </c>
      <c r="D562" s="43">
        <v>0</v>
      </c>
      <c r="E562" s="43">
        <v>0</v>
      </c>
      <c r="F562" s="43">
        <v>0</v>
      </c>
      <c r="G562" s="43">
        <v>0</v>
      </c>
      <c r="H562" s="43">
        <v>0</v>
      </c>
      <c r="I562" s="43">
        <v>0</v>
      </c>
      <c r="J562" s="43">
        <v>0</v>
      </c>
      <c r="K562" s="43">
        <v>0</v>
      </c>
      <c r="L562" s="43">
        <v>0</v>
      </c>
      <c r="M562" s="43">
        <v>0</v>
      </c>
      <c r="N562" s="43">
        <v>0</v>
      </c>
      <c r="O562" s="43">
        <v>0</v>
      </c>
      <c r="P562" s="47">
        <v>0</v>
      </c>
      <c r="R562" s="37">
        <v>0</v>
      </c>
      <c r="S562" s="37">
        <v>0</v>
      </c>
      <c r="T562" s="37">
        <v>4000</v>
      </c>
      <c r="U562" s="37">
        <v>0</v>
      </c>
      <c r="V562" s="37">
        <v>2000</v>
      </c>
      <c r="W562" s="37">
        <v>0</v>
      </c>
      <c r="X562" s="37">
        <v>0</v>
      </c>
      <c r="Y562" s="37">
        <v>0</v>
      </c>
      <c r="Z562" s="37">
        <v>400</v>
      </c>
      <c r="AA562" s="37">
        <v>0</v>
      </c>
      <c r="AB562" s="37">
        <v>200</v>
      </c>
      <c r="AC562" s="37">
        <v>0</v>
      </c>
      <c r="AD562" s="37">
        <v>80</v>
      </c>
      <c r="AE562" s="37">
        <v>0</v>
      </c>
      <c r="AF562" s="37">
        <v>40</v>
      </c>
      <c r="AG562" s="59">
        <v>6720</v>
      </c>
      <c r="AH562" s="37">
        <v>0</v>
      </c>
      <c r="AI562" s="37">
        <v>0</v>
      </c>
      <c r="AJ562" s="37">
        <v>0</v>
      </c>
      <c r="AK562" s="37">
        <v>0</v>
      </c>
      <c r="AL562" s="37">
        <v>5</v>
      </c>
      <c r="AM562" s="37">
        <v>0</v>
      </c>
      <c r="AN562" s="37">
        <v>4</v>
      </c>
      <c r="AO562" s="37">
        <v>0</v>
      </c>
      <c r="AP562" s="37">
        <v>2</v>
      </c>
      <c r="AQ562" s="37">
        <v>0</v>
      </c>
      <c r="AR562" s="37">
        <v>0</v>
      </c>
      <c r="AS562" s="59">
        <v>11</v>
      </c>
      <c r="AT562" s="59">
        <v>6731</v>
      </c>
      <c r="AU562" s="45"/>
      <c r="AV562" s="37">
        <v>0</v>
      </c>
      <c r="AW562" s="37">
        <v>0</v>
      </c>
      <c r="AX562" s="37">
        <v>0</v>
      </c>
      <c r="AY562" s="37">
        <v>0</v>
      </c>
      <c r="AZ562" s="37">
        <v>0</v>
      </c>
      <c r="BA562" s="37">
        <v>0</v>
      </c>
      <c r="BB562" s="37">
        <v>0</v>
      </c>
      <c r="BC562" s="37">
        <v>0</v>
      </c>
      <c r="BD562" s="37">
        <v>0</v>
      </c>
      <c r="BE562" s="37">
        <v>0</v>
      </c>
      <c r="BF562" s="37">
        <v>0</v>
      </c>
      <c r="BG562" s="37">
        <v>0</v>
      </c>
      <c r="BH562" s="37">
        <v>0</v>
      </c>
      <c r="BI562" s="37">
        <v>0</v>
      </c>
      <c r="BJ562" s="37">
        <v>0</v>
      </c>
      <c r="BK562" s="59">
        <v>0</v>
      </c>
      <c r="BL562" s="37">
        <v>0</v>
      </c>
      <c r="BM562" s="37">
        <v>0</v>
      </c>
      <c r="BN562" s="37">
        <v>0</v>
      </c>
      <c r="BO562" s="37">
        <v>0</v>
      </c>
      <c r="BP562" s="37">
        <v>0</v>
      </c>
      <c r="BQ562" s="37">
        <v>0</v>
      </c>
      <c r="BR562" s="37">
        <v>0</v>
      </c>
      <c r="BS562" s="37">
        <v>0</v>
      </c>
      <c r="BT562" s="37">
        <v>0</v>
      </c>
      <c r="BU562" s="37">
        <v>0</v>
      </c>
      <c r="BV562" s="37">
        <v>0</v>
      </c>
      <c r="BW562" s="59">
        <v>0</v>
      </c>
      <c r="BX562" s="59">
        <v>0</v>
      </c>
      <c r="BZ562" s="37">
        <v>4000</v>
      </c>
      <c r="CA562" s="37">
        <v>2000</v>
      </c>
      <c r="CB562" s="37">
        <v>0</v>
      </c>
      <c r="CC562" s="37">
        <v>400</v>
      </c>
      <c r="CD562" s="37">
        <v>200</v>
      </c>
      <c r="CE562" s="37">
        <v>80</v>
      </c>
      <c r="CF562" s="37">
        <v>40</v>
      </c>
      <c r="CG562" s="59">
        <v>6720</v>
      </c>
      <c r="CH562" s="37">
        <v>0</v>
      </c>
      <c r="CI562" s="37">
        <v>5</v>
      </c>
      <c r="CJ562" s="37">
        <v>4</v>
      </c>
      <c r="CK562" s="37">
        <v>2</v>
      </c>
      <c r="CL562" s="37">
        <v>0</v>
      </c>
      <c r="CM562" s="37">
        <v>0</v>
      </c>
      <c r="CN562" s="59">
        <v>11</v>
      </c>
      <c r="CO562" s="59">
        <v>6731</v>
      </c>
      <c r="CP562" s="58"/>
      <c r="CQ562" s="3">
        <v>6731</v>
      </c>
    </row>
    <row r="563" spans="1:95" customFormat="1" x14ac:dyDescent="0.2">
      <c r="A563" s="209">
        <v>43440</v>
      </c>
      <c r="B563" s="33" t="s">
        <v>79</v>
      </c>
      <c r="C563" s="33" t="s">
        <v>76</v>
      </c>
      <c r="D563" s="43">
        <v>1</v>
      </c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  <c r="P563" s="47" t="s">
        <v>45</v>
      </c>
      <c r="R563" s="37">
        <v>0</v>
      </c>
      <c r="S563" s="37">
        <v>0</v>
      </c>
      <c r="T563" s="37">
        <v>200000</v>
      </c>
      <c r="U563" s="37">
        <v>0</v>
      </c>
      <c r="V563" s="37">
        <v>300000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v>0</v>
      </c>
      <c r="AD563" s="37">
        <v>0</v>
      </c>
      <c r="AE563" s="37">
        <v>0</v>
      </c>
      <c r="AF563" s="37">
        <v>2000</v>
      </c>
      <c r="AG563" s="59">
        <v>502000</v>
      </c>
      <c r="AH563" s="37">
        <v>500</v>
      </c>
      <c r="AI563" s="37">
        <v>0</v>
      </c>
      <c r="AJ563" s="37">
        <v>0</v>
      </c>
      <c r="AK563" s="37">
        <v>0</v>
      </c>
      <c r="AL563" s="37">
        <v>375</v>
      </c>
      <c r="AM563" s="37">
        <v>0</v>
      </c>
      <c r="AN563" s="37">
        <v>0</v>
      </c>
      <c r="AO563" s="37">
        <v>0</v>
      </c>
      <c r="AP563" s="37">
        <v>0</v>
      </c>
      <c r="AQ563" s="37">
        <v>0</v>
      </c>
      <c r="AR563" s="37">
        <v>5.0000000000000001E-4</v>
      </c>
      <c r="AS563" s="59">
        <v>875.00049999999999</v>
      </c>
      <c r="AT563" s="59">
        <v>502875.00050000002</v>
      </c>
      <c r="AU563" s="45"/>
      <c r="AV563" s="37">
        <v>0</v>
      </c>
      <c r="AW563" s="37">
        <v>0</v>
      </c>
      <c r="AX563" s="37">
        <v>0</v>
      </c>
      <c r="AY563" s="37">
        <v>0</v>
      </c>
      <c r="AZ563" s="37">
        <v>0</v>
      </c>
      <c r="BA563" s="37">
        <v>0</v>
      </c>
      <c r="BB563" s="37">
        <v>0</v>
      </c>
      <c r="BC563" s="37">
        <v>0</v>
      </c>
      <c r="BD563" s="37">
        <v>0</v>
      </c>
      <c r="BE563" s="37">
        <v>0</v>
      </c>
      <c r="BF563" s="37">
        <v>0</v>
      </c>
      <c r="BG563" s="37">
        <v>0</v>
      </c>
      <c r="BH563" s="37">
        <v>0</v>
      </c>
      <c r="BI563" s="37">
        <v>0</v>
      </c>
      <c r="BJ563" s="37">
        <v>0</v>
      </c>
      <c r="BK563" s="59">
        <v>0</v>
      </c>
      <c r="BL563" s="37">
        <v>0</v>
      </c>
      <c r="BM563" s="37">
        <v>0</v>
      </c>
      <c r="BN563" s="37">
        <v>0</v>
      </c>
      <c r="BO563" s="37">
        <v>0</v>
      </c>
      <c r="BP563" s="37">
        <v>0</v>
      </c>
      <c r="BQ563" s="37">
        <v>0</v>
      </c>
      <c r="BR563" s="37">
        <v>0</v>
      </c>
      <c r="BS563" s="37">
        <v>0</v>
      </c>
      <c r="BT563" s="37">
        <v>0</v>
      </c>
      <c r="BU563" s="37">
        <v>0</v>
      </c>
      <c r="BV563" s="37">
        <v>0</v>
      </c>
      <c r="BW563" s="59">
        <v>0</v>
      </c>
      <c r="BX563" s="59">
        <v>0</v>
      </c>
      <c r="BZ563" s="37">
        <v>200000</v>
      </c>
      <c r="CA563" s="37">
        <v>300000</v>
      </c>
      <c r="CB563" s="37">
        <v>0</v>
      </c>
      <c r="CC563" s="37">
        <v>0</v>
      </c>
      <c r="CD563" s="37">
        <v>0</v>
      </c>
      <c r="CE563" s="37">
        <v>0</v>
      </c>
      <c r="CF563" s="37">
        <v>2000</v>
      </c>
      <c r="CG563" s="59">
        <v>502000</v>
      </c>
      <c r="CH563" s="37">
        <v>500</v>
      </c>
      <c r="CI563" s="37">
        <v>375</v>
      </c>
      <c r="CJ563" s="37">
        <v>0</v>
      </c>
      <c r="CK563" s="37">
        <v>0</v>
      </c>
      <c r="CL563" s="37">
        <v>0</v>
      </c>
      <c r="CM563" s="37">
        <v>5.0000000000000001E-4</v>
      </c>
      <c r="CN563" s="59">
        <v>875.00049999999999</v>
      </c>
      <c r="CO563" s="59">
        <v>502875.00050000002</v>
      </c>
      <c r="CP563" s="58"/>
      <c r="CQ563" s="3">
        <v>502875.00050000002</v>
      </c>
    </row>
    <row r="564" spans="1:95" customFormat="1" x14ac:dyDescent="0.2">
      <c r="A564" s="209">
        <v>43440</v>
      </c>
      <c r="B564" s="33" t="s">
        <v>148</v>
      </c>
      <c r="C564" s="33" t="s">
        <v>154</v>
      </c>
      <c r="D564" s="43">
        <v>0</v>
      </c>
      <c r="E564" s="43">
        <v>0</v>
      </c>
      <c r="F564" s="43">
        <v>0</v>
      </c>
      <c r="G564" s="43">
        <v>0</v>
      </c>
      <c r="H564" s="43">
        <v>0</v>
      </c>
      <c r="I564" s="43">
        <v>0</v>
      </c>
      <c r="J564" s="43">
        <v>0</v>
      </c>
      <c r="K564" s="43">
        <v>0</v>
      </c>
      <c r="L564" s="43">
        <v>0</v>
      </c>
      <c r="M564" s="43">
        <v>0</v>
      </c>
      <c r="N564" s="43">
        <v>0</v>
      </c>
      <c r="O564" s="43">
        <v>0</v>
      </c>
      <c r="P564" s="47">
        <v>0</v>
      </c>
      <c r="R564" s="37">
        <v>0</v>
      </c>
      <c r="S564" s="37">
        <v>800000</v>
      </c>
      <c r="T564" s="37">
        <v>0</v>
      </c>
      <c r="U564" s="37">
        <v>1000000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7">
        <v>0</v>
      </c>
      <c r="AB564" s="37">
        <v>0</v>
      </c>
      <c r="AC564" s="37">
        <v>0</v>
      </c>
      <c r="AD564" s="37">
        <v>0</v>
      </c>
      <c r="AE564" s="37">
        <v>0</v>
      </c>
      <c r="AF564" s="37">
        <v>0</v>
      </c>
      <c r="AG564" s="59">
        <v>1800000</v>
      </c>
      <c r="AH564" s="37">
        <v>0</v>
      </c>
      <c r="AI564" s="37">
        <v>0</v>
      </c>
      <c r="AJ564" s="37">
        <v>0</v>
      </c>
      <c r="AK564" s="37">
        <v>0</v>
      </c>
      <c r="AL564" s="37">
        <v>0</v>
      </c>
      <c r="AM564" s="37">
        <v>0</v>
      </c>
      <c r="AN564" s="37">
        <v>0</v>
      </c>
      <c r="AO564" s="37">
        <v>0</v>
      </c>
      <c r="AP564" s="37">
        <v>0</v>
      </c>
      <c r="AQ564" s="37">
        <v>0</v>
      </c>
      <c r="AR564" s="37">
        <v>0</v>
      </c>
      <c r="AS564" s="59">
        <v>0</v>
      </c>
      <c r="AT564" s="59">
        <v>1800000</v>
      </c>
      <c r="AU564" s="45"/>
      <c r="AV564" s="37">
        <v>0</v>
      </c>
      <c r="AW564" s="37">
        <v>0</v>
      </c>
      <c r="AX564" s="37">
        <v>0</v>
      </c>
      <c r="AY564" s="37">
        <v>0</v>
      </c>
      <c r="AZ564" s="37">
        <v>0</v>
      </c>
      <c r="BA564" s="37">
        <v>0</v>
      </c>
      <c r="BB564" s="37">
        <v>0</v>
      </c>
      <c r="BC564" s="37">
        <v>0</v>
      </c>
      <c r="BD564" s="37">
        <v>0</v>
      </c>
      <c r="BE564" s="37">
        <v>0</v>
      </c>
      <c r="BF564" s="37">
        <v>0</v>
      </c>
      <c r="BG564" s="37">
        <v>0</v>
      </c>
      <c r="BH564" s="37">
        <v>0</v>
      </c>
      <c r="BI564" s="37">
        <v>0</v>
      </c>
      <c r="BJ564" s="37">
        <v>0</v>
      </c>
      <c r="BK564" s="59">
        <v>0</v>
      </c>
      <c r="BL564" s="37">
        <v>0</v>
      </c>
      <c r="BM564" s="37">
        <v>0</v>
      </c>
      <c r="BN564" s="37">
        <v>0</v>
      </c>
      <c r="BO564" s="37">
        <v>0</v>
      </c>
      <c r="BP564" s="37">
        <v>0</v>
      </c>
      <c r="BQ564" s="37">
        <v>0</v>
      </c>
      <c r="BR564" s="37">
        <v>0</v>
      </c>
      <c r="BS564" s="37">
        <v>0</v>
      </c>
      <c r="BT564" s="37">
        <v>0</v>
      </c>
      <c r="BU564" s="37">
        <v>0</v>
      </c>
      <c r="BV564" s="37">
        <v>0</v>
      </c>
      <c r="BW564" s="59">
        <v>0</v>
      </c>
      <c r="BX564" s="59">
        <v>0</v>
      </c>
      <c r="BZ564" s="37">
        <v>800000</v>
      </c>
      <c r="CA564" s="37">
        <v>1000000</v>
      </c>
      <c r="CB564" s="37">
        <v>0</v>
      </c>
      <c r="CC564" s="37">
        <v>0</v>
      </c>
      <c r="CD564" s="37">
        <v>0</v>
      </c>
      <c r="CE564" s="37">
        <v>0</v>
      </c>
      <c r="CF564" s="37">
        <v>0</v>
      </c>
      <c r="CG564" s="59">
        <v>1800000</v>
      </c>
      <c r="CH564" s="37">
        <v>0</v>
      </c>
      <c r="CI564" s="37">
        <v>0</v>
      </c>
      <c r="CJ564" s="37">
        <v>0</v>
      </c>
      <c r="CK564" s="37">
        <v>0</v>
      </c>
      <c r="CL564" s="37">
        <v>0</v>
      </c>
      <c r="CM564" s="37">
        <v>0</v>
      </c>
      <c r="CN564" s="59">
        <v>0</v>
      </c>
      <c r="CO564" s="59">
        <v>1800000</v>
      </c>
      <c r="CP564" s="58"/>
      <c r="CQ564" s="3">
        <v>1800000</v>
      </c>
    </row>
    <row r="565" spans="1:95" customFormat="1" x14ac:dyDescent="0.2">
      <c r="A565" s="209">
        <v>43441</v>
      </c>
      <c r="B565" s="33" t="s">
        <v>55</v>
      </c>
      <c r="C565" s="33" t="s">
        <v>56</v>
      </c>
      <c r="D565" s="43">
        <v>0</v>
      </c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  <c r="P565" s="47">
        <v>0</v>
      </c>
      <c r="R565" s="37">
        <v>0</v>
      </c>
      <c r="S565" s="37">
        <v>0</v>
      </c>
      <c r="T565" s="37">
        <v>4000</v>
      </c>
      <c r="U565" s="37">
        <v>0</v>
      </c>
      <c r="V565" s="37">
        <v>2000</v>
      </c>
      <c r="W565" s="37">
        <v>0</v>
      </c>
      <c r="X565" s="37">
        <v>0</v>
      </c>
      <c r="Y565" s="37">
        <v>0</v>
      </c>
      <c r="Z565" s="37">
        <v>400</v>
      </c>
      <c r="AA565" s="37">
        <v>0</v>
      </c>
      <c r="AB565" s="37">
        <v>200</v>
      </c>
      <c r="AC565" s="37">
        <v>0</v>
      </c>
      <c r="AD565" s="37">
        <v>80</v>
      </c>
      <c r="AE565" s="37">
        <v>0</v>
      </c>
      <c r="AF565" s="37">
        <v>40</v>
      </c>
      <c r="AG565" s="59">
        <v>6720</v>
      </c>
      <c r="AH565" s="37">
        <v>0</v>
      </c>
      <c r="AI565" s="37">
        <v>0</v>
      </c>
      <c r="AJ565" s="37">
        <v>0</v>
      </c>
      <c r="AK565" s="37">
        <v>0</v>
      </c>
      <c r="AL565" s="37">
        <v>0</v>
      </c>
      <c r="AM565" s="37">
        <v>0</v>
      </c>
      <c r="AN565" s="37">
        <v>0</v>
      </c>
      <c r="AO565" s="37">
        <v>0</v>
      </c>
      <c r="AP565" s="37">
        <v>0</v>
      </c>
      <c r="AQ565" s="37">
        <v>0</v>
      </c>
      <c r="AR565" s="37">
        <v>0</v>
      </c>
      <c r="AS565" s="59">
        <v>0</v>
      </c>
      <c r="AT565" s="59">
        <v>6720</v>
      </c>
      <c r="AU565" s="45"/>
      <c r="AV565" s="37">
        <v>0</v>
      </c>
      <c r="AW565" s="37">
        <v>0</v>
      </c>
      <c r="AX565" s="37">
        <v>0</v>
      </c>
      <c r="AY565" s="37">
        <v>0</v>
      </c>
      <c r="AZ565" s="37">
        <v>0</v>
      </c>
      <c r="BA565" s="37">
        <v>0</v>
      </c>
      <c r="BB565" s="37">
        <v>0</v>
      </c>
      <c r="BC565" s="37">
        <v>0</v>
      </c>
      <c r="BD565" s="37">
        <v>0</v>
      </c>
      <c r="BE565" s="37">
        <v>0</v>
      </c>
      <c r="BF565" s="37">
        <v>0</v>
      </c>
      <c r="BG565" s="37">
        <v>0</v>
      </c>
      <c r="BH565" s="37">
        <v>0</v>
      </c>
      <c r="BI565" s="37">
        <v>0</v>
      </c>
      <c r="BJ565" s="37">
        <v>0</v>
      </c>
      <c r="BK565" s="59">
        <v>0</v>
      </c>
      <c r="BL565" s="37">
        <v>0</v>
      </c>
      <c r="BM565" s="37">
        <v>0</v>
      </c>
      <c r="BN565" s="37">
        <v>0</v>
      </c>
      <c r="BO565" s="37">
        <v>0</v>
      </c>
      <c r="BP565" s="37">
        <v>0</v>
      </c>
      <c r="BQ565" s="37">
        <v>0</v>
      </c>
      <c r="BR565" s="37">
        <v>0</v>
      </c>
      <c r="BS565" s="37">
        <v>0</v>
      </c>
      <c r="BT565" s="37">
        <v>0</v>
      </c>
      <c r="BU565" s="37">
        <v>0</v>
      </c>
      <c r="BV565" s="37">
        <v>0</v>
      </c>
      <c r="BW565" s="59">
        <v>0</v>
      </c>
      <c r="BX565" s="59">
        <v>0</v>
      </c>
      <c r="BZ565" s="37">
        <v>4000</v>
      </c>
      <c r="CA565" s="37">
        <v>2000</v>
      </c>
      <c r="CB565" s="37">
        <v>0</v>
      </c>
      <c r="CC565" s="37">
        <v>400</v>
      </c>
      <c r="CD565" s="37">
        <v>200</v>
      </c>
      <c r="CE565" s="37">
        <v>80</v>
      </c>
      <c r="CF565" s="37">
        <v>40</v>
      </c>
      <c r="CG565" s="59">
        <v>6720</v>
      </c>
      <c r="CH565" s="37">
        <v>0</v>
      </c>
      <c r="CI565" s="37">
        <v>0</v>
      </c>
      <c r="CJ565" s="37">
        <v>0</v>
      </c>
      <c r="CK565" s="37">
        <v>0</v>
      </c>
      <c r="CL565" s="37">
        <v>0</v>
      </c>
      <c r="CM565" s="37">
        <v>0</v>
      </c>
      <c r="CN565" s="59">
        <v>0</v>
      </c>
      <c r="CO565" s="59">
        <v>6720</v>
      </c>
      <c r="CP565" s="58"/>
      <c r="CQ565" s="3">
        <v>6720</v>
      </c>
    </row>
    <row r="566" spans="1:95" customFormat="1" x14ac:dyDescent="0.2">
      <c r="A566" s="209">
        <v>43441</v>
      </c>
      <c r="B566" s="33" t="s">
        <v>85</v>
      </c>
      <c r="C566" s="33" t="s">
        <v>76</v>
      </c>
      <c r="D566" s="43">
        <v>0</v>
      </c>
      <c r="E566" s="43">
        <v>0</v>
      </c>
      <c r="F566" s="43">
        <v>1</v>
      </c>
      <c r="G566" s="43">
        <v>0</v>
      </c>
      <c r="H566" s="43">
        <v>0</v>
      </c>
      <c r="I566" s="43">
        <v>0</v>
      </c>
      <c r="J566" s="43">
        <v>0</v>
      </c>
      <c r="K566" s="43">
        <v>0</v>
      </c>
      <c r="L566" s="43">
        <v>0</v>
      </c>
      <c r="M566" s="43">
        <v>0</v>
      </c>
      <c r="N566" s="43">
        <v>0</v>
      </c>
      <c r="O566" s="43">
        <v>0</v>
      </c>
      <c r="P566" s="47" t="s">
        <v>67</v>
      </c>
      <c r="R566" s="37">
        <v>0</v>
      </c>
      <c r="S566" s="37">
        <v>0</v>
      </c>
      <c r="T566" s="37">
        <v>400000</v>
      </c>
      <c r="U566" s="37">
        <v>0</v>
      </c>
      <c r="V566" s="37">
        <v>400000</v>
      </c>
      <c r="W566" s="37">
        <v>0</v>
      </c>
      <c r="X566" s="37">
        <v>0</v>
      </c>
      <c r="Y566" s="37">
        <v>0</v>
      </c>
      <c r="Z566" s="37">
        <v>0</v>
      </c>
      <c r="AA566" s="37">
        <v>0</v>
      </c>
      <c r="AB566" s="37">
        <v>0</v>
      </c>
      <c r="AC566" s="37">
        <v>0</v>
      </c>
      <c r="AD566" s="37">
        <v>0</v>
      </c>
      <c r="AE566" s="37">
        <v>0</v>
      </c>
      <c r="AF566" s="37">
        <v>0</v>
      </c>
      <c r="AG566" s="59">
        <v>800000</v>
      </c>
      <c r="AH566" s="37">
        <v>0</v>
      </c>
      <c r="AI566" s="37">
        <v>0</v>
      </c>
      <c r="AJ566" s="37">
        <v>0</v>
      </c>
      <c r="AK566" s="37">
        <v>0</v>
      </c>
      <c r="AL566" s="37">
        <v>0</v>
      </c>
      <c r="AM566" s="37">
        <v>0</v>
      </c>
      <c r="AN566" s="37">
        <v>0</v>
      </c>
      <c r="AO566" s="37">
        <v>0</v>
      </c>
      <c r="AP566" s="37">
        <v>0</v>
      </c>
      <c r="AQ566" s="37">
        <v>0</v>
      </c>
      <c r="AR566" s="37">
        <v>0</v>
      </c>
      <c r="AS566" s="59">
        <v>0</v>
      </c>
      <c r="AT566" s="59">
        <v>800000</v>
      </c>
      <c r="AU566" s="45"/>
      <c r="AV566" s="37">
        <v>0</v>
      </c>
      <c r="AW566" s="37">
        <v>0</v>
      </c>
      <c r="AX566" s="37">
        <v>0</v>
      </c>
      <c r="AY566" s="37">
        <v>0</v>
      </c>
      <c r="AZ566" s="37">
        <v>0</v>
      </c>
      <c r="BA566" s="37">
        <v>0</v>
      </c>
      <c r="BB566" s="37">
        <v>0</v>
      </c>
      <c r="BC566" s="37">
        <v>0</v>
      </c>
      <c r="BD566" s="37">
        <v>0</v>
      </c>
      <c r="BE566" s="37">
        <v>0</v>
      </c>
      <c r="BF566" s="37">
        <v>0</v>
      </c>
      <c r="BG566" s="37">
        <v>0</v>
      </c>
      <c r="BH566" s="37">
        <v>0</v>
      </c>
      <c r="BI566" s="37">
        <v>0</v>
      </c>
      <c r="BJ566" s="37">
        <v>0</v>
      </c>
      <c r="BK566" s="59">
        <v>0</v>
      </c>
      <c r="BL566" s="37">
        <v>0</v>
      </c>
      <c r="BM566" s="37">
        <v>0</v>
      </c>
      <c r="BN566" s="37">
        <v>0</v>
      </c>
      <c r="BO566" s="37">
        <v>0</v>
      </c>
      <c r="BP566" s="37">
        <v>0</v>
      </c>
      <c r="BQ566" s="37">
        <v>0</v>
      </c>
      <c r="BR566" s="37">
        <v>0</v>
      </c>
      <c r="BS566" s="37">
        <v>0</v>
      </c>
      <c r="BT566" s="37">
        <v>0</v>
      </c>
      <c r="BU566" s="37">
        <v>0</v>
      </c>
      <c r="BV566" s="37">
        <v>0</v>
      </c>
      <c r="BW566" s="59">
        <v>0</v>
      </c>
      <c r="BX566" s="59">
        <v>0</v>
      </c>
      <c r="BZ566" s="37">
        <v>400000</v>
      </c>
      <c r="CA566" s="37">
        <v>400000</v>
      </c>
      <c r="CB566" s="37">
        <v>0</v>
      </c>
      <c r="CC566" s="37">
        <v>0</v>
      </c>
      <c r="CD566" s="37">
        <v>0</v>
      </c>
      <c r="CE566" s="37">
        <v>0</v>
      </c>
      <c r="CF566" s="37">
        <v>0</v>
      </c>
      <c r="CG566" s="59">
        <v>800000</v>
      </c>
      <c r="CH566" s="37">
        <v>0</v>
      </c>
      <c r="CI566" s="37">
        <v>0</v>
      </c>
      <c r="CJ566" s="37">
        <v>0</v>
      </c>
      <c r="CK566" s="37">
        <v>0</v>
      </c>
      <c r="CL566" s="37">
        <v>0</v>
      </c>
      <c r="CM566" s="37">
        <v>0</v>
      </c>
      <c r="CN566" s="59">
        <v>0</v>
      </c>
      <c r="CO566" s="59">
        <v>800000</v>
      </c>
      <c r="CP566" s="58"/>
      <c r="CQ566" s="3">
        <v>800000</v>
      </c>
    </row>
    <row r="567" spans="1:95" customFormat="1" x14ac:dyDescent="0.2">
      <c r="A567" s="209">
        <v>43441</v>
      </c>
      <c r="B567" s="33" t="s">
        <v>70</v>
      </c>
      <c r="C567" s="33" t="s">
        <v>71</v>
      </c>
      <c r="D567" s="43">
        <v>0</v>
      </c>
      <c r="E567" s="43">
        <v>0</v>
      </c>
      <c r="F567" s="43">
        <v>0</v>
      </c>
      <c r="G567" s="43">
        <v>0</v>
      </c>
      <c r="H567" s="43">
        <v>0</v>
      </c>
      <c r="I567" s="43">
        <v>1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  <c r="P567" s="47" t="s">
        <v>45</v>
      </c>
      <c r="R567" s="37">
        <v>0</v>
      </c>
      <c r="S567" s="37">
        <v>0</v>
      </c>
      <c r="T567" s="37">
        <v>1400000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0</v>
      </c>
      <c r="AB567" s="37">
        <v>0</v>
      </c>
      <c r="AC567" s="37">
        <v>0</v>
      </c>
      <c r="AD567" s="37">
        <v>0</v>
      </c>
      <c r="AE567" s="37">
        <v>0</v>
      </c>
      <c r="AF567" s="37">
        <v>0</v>
      </c>
      <c r="AG567" s="59">
        <v>1400000</v>
      </c>
      <c r="AH567" s="37">
        <v>3500</v>
      </c>
      <c r="AI567" s="37">
        <v>0</v>
      </c>
      <c r="AJ567" s="37">
        <v>0</v>
      </c>
      <c r="AK567" s="37">
        <v>0</v>
      </c>
      <c r="AL567" s="37">
        <v>2000</v>
      </c>
      <c r="AM567" s="37">
        <v>0</v>
      </c>
      <c r="AN567" s="37">
        <v>1000</v>
      </c>
      <c r="AO567" s="37">
        <v>0</v>
      </c>
      <c r="AP567" s="37">
        <v>350</v>
      </c>
      <c r="AQ567" s="37">
        <v>0</v>
      </c>
      <c r="AR567" s="37">
        <v>0</v>
      </c>
      <c r="AS567" s="59">
        <v>6850</v>
      </c>
      <c r="AT567" s="59">
        <v>1406850</v>
      </c>
      <c r="AU567" s="45"/>
      <c r="AV567" s="37">
        <v>0</v>
      </c>
      <c r="AW567" s="37">
        <v>0</v>
      </c>
      <c r="AX567" s="37">
        <v>0</v>
      </c>
      <c r="AY567" s="37">
        <v>0</v>
      </c>
      <c r="AZ567" s="37">
        <v>0</v>
      </c>
      <c r="BA567" s="37">
        <v>0</v>
      </c>
      <c r="BB567" s="37">
        <v>0</v>
      </c>
      <c r="BC567" s="37">
        <v>0</v>
      </c>
      <c r="BD567" s="37">
        <v>0</v>
      </c>
      <c r="BE567" s="37">
        <v>0</v>
      </c>
      <c r="BF567" s="37">
        <v>0</v>
      </c>
      <c r="BG567" s="37">
        <v>0</v>
      </c>
      <c r="BH567" s="37">
        <v>0</v>
      </c>
      <c r="BI567" s="37">
        <v>0</v>
      </c>
      <c r="BJ567" s="37">
        <v>0</v>
      </c>
      <c r="BK567" s="59">
        <v>0</v>
      </c>
      <c r="BL567" s="37">
        <v>0</v>
      </c>
      <c r="BM567" s="37">
        <v>0</v>
      </c>
      <c r="BN567" s="37">
        <v>0</v>
      </c>
      <c r="BO567" s="37">
        <v>0</v>
      </c>
      <c r="BP567" s="37">
        <v>0</v>
      </c>
      <c r="BQ567" s="37">
        <v>0</v>
      </c>
      <c r="BR567" s="37">
        <v>0</v>
      </c>
      <c r="BS567" s="37">
        <v>0</v>
      </c>
      <c r="BT567" s="37">
        <v>0</v>
      </c>
      <c r="BU567" s="37">
        <v>0</v>
      </c>
      <c r="BV567" s="37">
        <v>0</v>
      </c>
      <c r="BW567" s="59">
        <v>0</v>
      </c>
      <c r="BX567" s="59">
        <v>0</v>
      </c>
      <c r="BZ567" s="37">
        <v>1400000</v>
      </c>
      <c r="CA567" s="37">
        <v>0</v>
      </c>
      <c r="CB567" s="37">
        <v>0</v>
      </c>
      <c r="CC567" s="37">
        <v>0</v>
      </c>
      <c r="CD567" s="37">
        <v>0</v>
      </c>
      <c r="CE567" s="37">
        <v>0</v>
      </c>
      <c r="CF567" s="37">
        <v>0</v>
      </c>
      <c r="CG567" s="59">
        <v>1400000</v>
      </c>
      <c r="CH567" s="37">
        <v>3500</v>
      </c>
      <c r="CI567" s="37">
        <v>2000</v>
      </c>
      <c r="CJ567" s="37">
        <v>1000</v>
      </c>
      <c r="CK567" s="37">
        <v>350</v>
      </c>
      <c r="CL567" s="37">
        <v>0</v>
      </c>
      <c r="CM567" s="37">
        <v>0</v>
      </c>
      <c r="CN567" s="59">
        <v>6850</v>
      </c>
      <c r="CO567" s="59">
        <v>1406850</v>
      </c>
      <c r="CP567" s="58"/>
      <c r="CQ567" s="3">
        <v>1406850</v>
      </c>
    </row>
    <row r="568" spans="1:95" customFormat="1" x14ac:dyDescent="0.2">
      <c r="A568" s="209">
        <v>43441</v>
      </c>
      <c r="B568" s="33" t="s">
        <v>62</v>
      </c>
      <c r="C568" s="33" t="s">
        <v>71</v>
      </c>
      <c r="D568" s="43">
        <v>0</v>
      </c>
      <c r="E568" s="43">
        <v>0</v>
      </c>
      <c r="F568" s="43">
        <v>0</v>
      </c>
      <c r="G568" s="43">
        <v>0</v>
      </c>
      <c r="H568" s="43">
        <v>0</v>
      </c>
      <c r="I568" s="43">
        <v>1</v>
      </c>
      <c r="J568" s="43">
        <v>0</v>
      </c>
      <c r="K568" s="43">
        <v>0</v>
      </c>
      <c r="L568" s="43">
        <v>0</v>
      </c>
      <c r="M568" s="43">
        <v>0</v>
      </c>
      <c r="N568" s="43">
        <v>0</v>
      </c>
      <c r="O568" s="43">
        <v>0</v>
      </c>
      <c r="P568" s="47" t="s">
        <v>45</v>
      </c>
      <c r="R568" s="37">
        <v>0</v>
      </c>
      <c r="S568" s="37">
        <v>0</v>
      </c>
      <c r="T568" s="37">
        <v>1600000</v>
      </c>
      <c r="U568" s="37">
        <v>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7">
        <v>0</v>
      </c>
      <c r="AB568" s="37">
        <v>0</v>
      </c>
      <c r="AC568" s="37">
        <v>0</v>
      </c>
      <c r="AD568" s="37">
        <v>0</v>
      </c>
      <c r="AE568" s="37">
        <v>0</v>
      </c>
      <c r="AF568" s="37">
        <v>3000</v>
      </c>
      <c r="AG568" s="59">
        <v>1603000</v>
      </c>
      <c r="AH568" s="37">
        <v>0</v>
      </c>
      <c r="AI568" s="37">
        <v>0</v>
      </c>
      <c r="AJ568" s="37">
        <v>0</v>
      </c>
      <c r="AK568" s="37">
        <v>0</v>
      </c>
      <c r="AL568" s="37">
        <v>0</v>
      </c>
      <c r="AM568" s="37">
        <v>0</v>
      </c>
      <c r="AN568" s="37">
        <v>0</v>
      </c>
      <c r="AO568" s="37">
        <v>0</v>
      </c>
      <c r="AP568" s="37">
        <v>150</v>
      </c>
      <c r="AQ568" s="37">
        <v>0</v>
      </c>
      <c r="AR568" s="37">
        <v>0</v>
      </c>
      <c r="AS568" s="59">
        <v>150</v>
      </c>
      <c r="AT568" s="59">
        <v>1603150</v>
      </c>
      <c r="AU568" s="45"/>
      <c r="AV568" s="37">
        <v>0</v>
      </c>
      <c r="AW568" s="37">
        <v>0</v>
      </c>
      <c r="AX568" s="37">
        <v>0</v>
      </c>
      <c r="AY568" s="37">
        <v>0</v>
      </c>
      <c r="AZ568" s="37">
        <v>0</v>
      </c>
      <c r="BA568" s="37">
        <v>0</v>
      </c>
      <c r="BB568" s="37">
        <v>0</v>
      </c>
      <c r="BC568" s="37">
        <v>0</v>
      </c>
      <c r="BD568" s="37">
        <v>0</v>
      </c>
      <c r="BE568" s="37">
        <v>0</v>
      </c>
      <c r="BF568" s="37">
        <v>0</v>
      </c>
      <c r="BG568" s="37">
        <v>0</v>
      </c>
      <c r="BH568" s="37">
        <v>0</v>
      </c>
      <c r="BI568" s="37">
        <v>0</v>
      </c>
      <c r="BJ568" s="37">
        <v>0</v>
      </c>
      <c r="BK568" s="59">
        <v>0</v>
      </c>
      <c r="BL568" s="37">
        <v>0</v>
      </c>
      <c r="BM568" s="37">
        <v>0</v>
      </c>
      <c r="BN568" s="37">
        <v>0</v>
      </c>
      <c r="BO568" s="37">
        <v>0</v>
      </c>
      <c r="BP568" s="37">
        <v>0</v>
      </c>
      <c r="BQ568" s="37">
        <v>0</v>
      </c>
      <c r="BR568" s="37">
        <v>0</v>
      </c>
      <c r="BS568" s="37">
        <v>0</v>
      </c>
      <c r="BT568" s="37">
        <v>0</v>
      </c>
      <c r="BU568" s="37">
        <v>0</v>
      </c>
      <c r="BV568" s="37">
        <v>0</v>
      </c>
      <c r="BW568" s="59">
        <v>0</v>
      </c>
      <c r="BX568" s="59">
        <v>0</v>
      </c>
      <c r="BZ568" s="37">
        <v>1600000</v>
      </c>
      <c r="CA568" s="37">
        <v>0</v>
      </c>
      <c r="CB568" s="37">
        <v>0</v>
      </c>
      <c r="CC568" s="37">
        <v>0</v>
      </c>
      <c r="CD568" s="37">
        <v>0</v>
      </c>
      <c r="CE568" s="37">
        <v>0</v>
      </c>
      <c r="CF568" s="37">
        <v>3000</v>
      </c>
      <c r="CG568" s="59">
        <v>1603000</v>
      </c>
      <c r="CH568" s="37">
        <v>0</v>
      </c>
      <c r="CI568" s="37">
        <v>0</v>
      </c>
      <c r="CJ568" s="37">
        <v>0</v>
      </c>
      <c r="CK568" s="37">
        <v>150</v>
      </c>
      <c r="CL568" s="37">
        <v>0</v>
      </c>
      <c r="CM568" s="37">
        <v>0</v>
      </c>
      <c r="CN568" s="59">
        <v>150</v>
      </c>
      <c r="CO568" s="59">
        <v>1603150</v>
      </c>
      <c r="CP568" s="58"/>
      <c r="CQ568" s="3">
        <v>1603150</v>
      </c>
    </row>
    <row r="569" spans="1:95" customFormat="1" x14ac:dyDescent="0.2">
      <c r="A569" s="209">
        <v>43441</v>
      </c>
      <c r="B569" s="33" t="s">
        <v>58</v>
      </c>
      <c r="C569" s="33" t="s">
        <v>126</v>
      </c>
      <c r="D569" s="43">
        <v>0</v>
      </c>
      <c r="E569" s="43">
        <v>0</v>
      </c>
      <c r="F569" s="43">
        <v>0</v>
      </c>
      <c r="G569" s="43">
        <v>0</v>
      </c>
      <c r="H569" s="43">
        <v>0</v>
      </c>
      <c r="I569" s="43">
        <v>0</v>
      </c>
      <c r="J569" s="43">
        <v>0</v>
      </c>
      <c r="K569" s="43">
        <v>1</v>
      </c>
      <c r="L569" s="43">
        <v>0</v>
      </c>
      <c r="M569" s="43">
        <v>0</v>
      </c>
      <c r="N569" s="43">
        <v>0</v>
      </c>
      <c r="O569" s="43">
        <v>0</v>
      </c>
      <c r="P569" s="47" t="s">
        <v>45</v>
      </c>
      <c r="R569" s="37">
        <v>0</v>
      </c>
      <c r="S569" s="37">
        <v>0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v>0</v>
      </c>
      <c r="AD569" s="37">
        <v>0</v>
      </c>
      <c r="AE569" s="37">
        <v>0</v>
      </c>
      <c r="AF569" s="37">
        <v>0</v>
      </c>
      <c r="AG569" s="59">
        <v>0</v>
      </c>
      <c r="AH569" s="37">
        <v>4000</v>
      </c>
      <c r="AI569" s="37">
        <v>0</v>
      </c>
      <c r="AJ569" s="37">
        <v>0</v>
      </c>
      <c r="AK569" s="37">
        <v>0</v>
      </c>
      <c r="AL569" s="37">
        <v>1375</v>
      </c>
      <c r="AM569" s="37">
        <v>0</v>
      </c>
      <c r="AN569" s="37">
        <v>0</v>
      </c>
      <c r="AO569" s="37">
        <v>0</v>
      </c>
      <c r="AP569" s="37">
        <v>200</v>
      </c>
      <c r="AQ569" s="37">
        <v>0</v>
      </c>
      <c r="AR569" s="37">
        <v>0</v>
      </c>
      <c r="AS569" s="59">
        <v>5575</v>
      </c>
      <c r="AT569" s="59">
        <v>5575</v>
      </c>
      <c r="AU569" s="45"/>
      <c r="AV569" s="37">
        <v>0</v>
      </c>
      <c r="AW569" s="37">
        <v>0</v>
      </c>
      <c r="AX569" s="37">
        <v>0</v>
      </c>
      <c r="AY569" s="37">
        <v>0</v>
      </c>
      <c r="AZ569" s="37">
        <v>0</v>
      </c>
      <c r="BA569" s="37">
        <v>0</v>
      </c>
      <c r="BB569" s="37">
        <v>0</v>
      </c>
      <c r="BC569" s="37">
        <v>0</v>
      </c>
      <c r="BD569" s="37">
        <v>0</v>
      </c>
      <c r="BE569" s="37">
        <v>0</v>
      </c>
      <c r="BF569" s="37">
        <v>0</v>
      </c>
      <c r="BG569" s="37">
        <v>0</v>
      </c>
      <c r="BH569" s="37">
        <v>0</v>
      </c>
      <c r="BI569" s="37">
        <v>0</v>
      </c>
      <c r="BJ569" s="37">
        <v>0</v>
      </c>
      <c r="BK569" s="59">
        <v>0</v>
      </c>
      <c r="BL569" s="37">
        <v>0</v>
      </c>
      <c r="BM569" s="37">
        <v>0</v>
      </c>
      <c r="BN569" s="37">
        <v>0</v>
      </c>
      <c r="BO569" s="37">
        <v>0</v>
      </c>
      <c r="BP569" s="37">
        <v>0</v>
      </c>
      <c r="BQ569" s="37">
        <v>0</v>
      </c>
      <c r="BR569" s="37">
        <v>0</v>
      </c>
      <c r="BS569" s="37">
        <v>0</v>
      </c>
      <c r="BT569" s="37">
        <v>0</v>
      </c>
      <c r="BU569" s="37">
        <v>0</v>
      </c>
      <c r="BV569" s="37">
        <v>0</v>
      </c>
      <c r="BW569" s="59">
        <v>0</v>
      </c>
      <c r="BX569" s="59">
        <v>0</v>
      </c>
      <c r="BZ569" s="37">
        <v>0</v>
      </c>
      <c r="CA569" s="37">
        <v>0</v>
      </c>
      <c r="CB569" s="37">
        <v>0</v>
      </c>
      <c r="CC569" s="37">
        <v>0</v>
      </c>
      <c r="CD569" s="37">
        <v>0</v>
      </c>
      <c r="CE569" s="37">
        <v>0</v>
      </c>
      <c r="CF569" s="37">
        <v>0</v>
      </c>
      <c r="CG569" s="59">
        <v>0</v>
      </c>
      <c r="CH569" s="37">
        <v>4000</v>
      </c>
      <c r="CI569" s="37">
        <v>1375</v>
      </c>
      <c r="CJ569" s="37">
        <v>0</v>
      </c>
      <c r="CK569" s="37">
        <v>200</v>
      </c>
      <c r="CL569" s="37">
        <v>0</v>
      </c>
      <c r="CM569" s="37">
        <v>0</v>
      </c>
      <c r="CN569" s="59">
        <v>5575</v>
      </c>
      <c r="CO569" s="59">
        <v>5575</v>
      </c>
      <c r="CP569" s="58"/>
      <c r="CQ569" s="3">
        <v>5575</v>
      </c>
    </row>
    <row r="570" spans="1:95" customFormat="1" x14ac:dyDescent="0.2">
      <c r="A570" s="209">
        <v>43444</v>
      </c>
      <c r="B570" s="33" t="s">
        <v>55</v>
      </c>
      <c r="C570" s="33" t="s">
        <v>56</v>
      </c>
      <c r="D570" s="43">
        <v>0</v>
      </c>
      <c r="E570" s="43">
        <v>0</v>
      </c>
      <c r="F570" s="43">
        <v>0</v>
      </c>
      <c r="G570" s="43">
        <v>0</v>
      </c>
      <c r="H570" s="43">
        <v>0</v>
      </c>
      <c r="I570" s="43">
        <v>0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  <c r="P570" s="47">
        <v>0</v>
      </c>
      <c r="R570" s="37">
        <v>0</v>
      </c>
      <c r="S570" s="37">
        <v>0</v>
      </c>
      <c r="T570" s="37">
        <v>4000</v>
      </c>
      <c r="U570" s="37">
        <v>0</v>
      </c>
      <c r="V570" s="37">
        <v>2000</v>
      </c>
      <c r="W570" s="37">
        <v>0</v>
      </c>
      <c r="X570" s="37">
        <v>0</v>
      </c>
      <c r="Y570" s="37">
        <v>0</v>
      </c>
      <c r="Z570" s="37">
        <v>400</v>
      </c>
      <c r="AA570" s="37">
        <v>0</v>
      </c>
      <c r="AB570" s="37">
        <v>200</v>
      </c>
      <c r="AC570" s="37">
        <v>0</v>
      </c>
      <c r="AD570" s="37">
        <v>80</v>
      </c>
      <c r="AE570" s="37">
        <v>0</v>
      </c>
      <c r="AF570" s="37">
        <v>40</v>
      </c>
      <c r="AG570" s="59">
        <v>6720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59">
        <v>0</v>
      </c>
      <c r="AT570" s="59">
        <v>6720</v>
      </c>
      <c r="AU570" s="45"/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>
        <v>0</v>
      </c>
      <c r="BB570" s="37">
        <v>0</v>
      </c>
      <c r="BC570" s="37">
        <v>0</v>
      </c>
      <c r="BD570" s="37">
        <v>0</v>
      </c>
      <c r="BE570" s="37">
        <v>0</v>
      </c>
      <c r="BF570" s="37">
        <v>0</v>
      </c>
      <c r="BG570" s="37">
        <v>0</v>
      </c>
      <c r="BH570" s="37">
        <v>0</v>
      </c>
      <c r="BI570" s="37">
        <v>0</v>
      </c>
      <c r="BJ570" s="37">
        <v>0</v>
      </c>
      <c r="BK570" s="59">
        <v>0</v>
      </c>
      <c r="BL570" s="37">
        <v>0</v>
      </c>
      <c r="BM570" s="37">
        <v>0</v>
      </c>
      <c r="BN570" s="37">
        <v>0</v>
      </c>
      <c r="BO570" s="37">
        <v>0</v>
      </c>
      <c r="BP570" s="37">
        <v>0</v>
      </c>
      <c r="BQ570" s="37">
        <v>0</v>
      </c>
      <c r="BR570" s="37">
        <v>0</v>
      </c>
      <c r="BS570" s="37">
        <v>0</v>
      </c>
      <c r="BT570" s="37">
        <v>0</v>
      </c>
      <c r="BU570" s="37">
        <v>0</v>
      </c>
      <c r="BV570" s="37">
        <v>0</v>
      </c>
      <c r="BW570" s="59">
        <v>0</v>
      </c>
      <c r="BX570" s="59">
        <v>0</v>
      </c>
      <c r="BZ570" s="37">
        <v>4000</v>
      </c>
      <c r="CA570" s="37">
        <v>2000</v>
      </c>
      <c r="CB570" s="37">
        <v>0</v>
      </c>
      <c r="CC570" s="37">
        <v>400</v>
      </c>
      <c r="CD570" s="37">
        <v>200</v>
      </c>
      <c r="CE570" s="37">
        <v>80</v>
      </c>
      <c r="CF570" s="37">
        <v>40</v>
      </c>
      <c r="CG570" s="59">
        <v>6720</v>
      </c>
      <c r="CH570" s="37">
        <v>0</v>
      </c>
      <c r="CI570" s="37">
        <v>0</v>
      </c>
      <c r="CJ570" s="37">
        <v>0</v>
      </c>
      <c r="CK570" s="37">
        <v>0</v>
      </c>
      <c r="CL570" s="37">
        <v>0</v>
      </c>
      <c r="CM570" s="37">
        <v>0</v>
      </c>
      <c r="CN570" s="59">
        <v>0</v>
      </c>
      <c r="CO570" s="59">
        <v>6720</v>
      </c>
      <c r="CP570" s="58"/>
      <c r="CQ570" s="3">
        <v>6720</v>
      </c>
    </row>
    <row r="571" spans="1:95" customFormat="1" x14ac:dyDescent="0.2">
      <c r="A571" s="209">
        <v>43445</v>
      </c>
      <c r="B571" s="33" t="s">
        <v>55</v>
      </c>
      <c r="C571" s="33" t="s">
        <v>56</v>
      </c>
      <c r="D571" s="43">
        <v>0</v>
      </c>
      <c r="E571" s="43">
        <v>0</v>
      </c>
      <c r="F571" s="43">
        <v>0</v>
      </c>
      <c r="G571" s="43">
        <v>0</v>
      </c>
      <c r="H571" s="43">
        <v>0</v>
      </c>
      <c r="I571" s="43">
        <v>0</v>
      </c>
      <c r="J571" s="43">
        <v>0</v>
      </c>
      <c r="K571" s="43">
        <v>0</v>
      </c>
      <c r="L571" s="43">
        <v>0</v>
      </c>
      <c r="M571" s="43">
        <v>0</v>
      </c>
      <c r="N571" s="43">
        <v>0</v>
      </c>
      <c r="O571" s="43">
        <v>0</v>
      </c>
      <c r="P571" s="47">
        <v>0</v>
      </c>
      <c r="R571" s="37">
        <v>0</v>
      </c>
      <c r="S571" s="37">
        <v>0</v>
      </c>
      <c r="T571" s="37">
        <v>4000</v>
      </c>
      <c r="U571" s="37">
        <v>0</v>
      </c>
      <c r="V571" s="37">
        <v>2000</v>
      </c>
      <c r="W571" s="37">
        <v>0</v>
      </c>
      <c r="X571" s="37">
        <v>0</v>
      </c>
      <c r="Y571" s="37">
        <v>0</v>
      </c>
      <c r="Z571" s="37">
        <v>400</v>
      </c>
      <c r="AA571" s="37">
        <v>0</v>
      </c>
      <c r="AB571" s="37">
        <v>200</v>
      </c>
      <c r="AC571" s="37">
        <v>0</v>
      </c>
      <c r="AD571" s="37">
        <v>80</v>
      </c>
      <c r="AE571" s="37">
        <v>0</v>
      </c>
      <c r="AF571" s="37">
        <v>40</v>
      </c>
      <c r="AG571" s="59">
        <v>6720</v>
      </c>
      <c r="AH571" s="37">
        <v>0</v>
      </c>
      <c r="AI571" s="37">
        <v>0</v>
      </c>
      <c r="AJ571" s="37">
        <v>0</v>
      </c>
      <c r="AK571" s="37">
        <v>0</v>
      </c>
      <c r="AL571" s="37">
        <v>5</v>
      </c>
      <c r="AM571" s="37">
        <v>0</v>
      </c>
      <c r="AN571" s="37">
        <v>4</v>
      </c>
      <c r="AO571" s="37">
        <v>0</v>
      </c>
      <c r="AP571" s="37">
        <v>2</v>
      </c>
      <c r="AQ571" s="37">
        <v>0</v>
      </c>
      <c r="AR571" s="37">
        <v>0</v>
      </c>
      <c r="AS571" s="59">
        <v>11</v>
      </c>
      <c r="AT571" s="59">
        <v>6731</v>
      </c>
      <c r="AU571" s="45"/>
      <c r="AV571" s="37">
        <v>0</v>
      </c>
      <c r="AW571" s="37">
        <v>0</v>
      </c>
      <c r="AX571" s="37">
        <v>0</v>
      </c>
      <c r="AY571" s="37">
        <v>0</v>
      </c>
      <c r="AZ571" s="37">
        <v>0</v>
      </c>
      <c r="BA571" s="37">
        <v>0</v>
      </c>
      <c r="BB571" s="37">
        <v>0</v>
      </c>
      <c r="BC571" s="37">
        <v>0</v>
      </c>
      <c r="BD571" s="37">
        <v>0</v>
      </c>
      <c r="BE571" s="37">
        <v>0</v>
      </c>
      <c r="BF571" s="37">
        <v>0</v>
      </c>
      <c r="BG571" s="37">
        <v>0</v>
      </c>
      <c r="BH571" s="37">
        <v>0</v>
      </c>
      <c r="BI571" s="37">
        <v>0</v>
      </c>
      <c r="BJ571" s="37">
        <v>0</v>
      </c>
      <c r="BK571" s="59">
        <v>0</v>
      </c>
      <c r="BL571" s="37">
        <v>0</v>
      </c>
      <c r="BM571" s="37">
        <v>0</v>
      </c>
      <c r="BN571" s="37">
        <v>0</v>
      </c>
      <c r="BO571" s="37">
        <v>0</v>
      </c>
      <c r="BP571" s="37">
        <v>0</v>
      </c>
      <c r="BQ571" s="37">
        <v>0</v>
      </c>
      <c r="BR571" s="37">
        <v>0</v>
      </c>
      <c r="BS571" s="37">
        <v>0</v>
      </c>
      <c r="BT571" s="37">
        <v>0</v>
      </c>
      <c r="BU571" s="37">
        <v>0</v>
      </c>
      <c r="BV571" s="37">
        <v>0</v>
      </c>
      <c r="BW571" s="59">
        <v>0</v>
      </c>
      <c r="BX571" s="59">
        <v>0</v>
      </c>
      <c r="BZ571" s="37">
        <v>4000</v>
      </c>
      <c r="CA571" s="37">
        <v>2000</v>
      </c>
      <c r="CB571" s="37">
        <v>0</v>
      </c>
      <c r="CC571" s="37">
        <v>400</v>
      </c>
      <c r="CD571" s="37">
        <v>200</v>
      </c>
      <c r="CE571" s="37">
        <v>80</v>
      </c>
      <c r="CF571" s="37">
        <v>40</v>
      </c>
      <c r="CG571" s="59">
        <v>6720</v>
      </c>
      <c r="CH571" s="37">
        <v>0</v>
      </c>
      <c r="CI571" s="37">
        <v>5</v>
      </c>
      <c r="CJ571" s="37">
        <v>4</v>
      </c>
      <c r="CK571" s="37">
        <v>2</v>
      </c>
      <c r="CL571" s="37">
        <v>0</v>
      </c>
      <c r="CM571" s="37">
        <v>0</v>
      </c>
      <c r="CN571" s="59">
        <v>11</v>
      </c>
      <c r="CO571" s="59">
        <v>6731</v>
      </c>
      <c r="CP571" s="58"/>
      <c r="CQ571" s="3">
        <v>6731</v>
      </c>
    </row>
    <row r="572" spans="1:95" customFormat="1" x14ac:dyDescent="0.2">
      <c r="A572" s="209">
        <v>43446</v>
      </c>
      <c r="B572" s="33" t="s">
        <v>55</v>
      </c>
      <c r="C572" s="33" t="s">
        <v>56</v>
      </c>
      <c r="D572" s="43">
        <v>0</v>
      </c>
      <c r="E572" s="43">
        <v>0</v>
      </c>
      <c r="F572" s="43">
        <v>0</v>
      </c>
      <c r="G572" s="43">
        <v>0</v>
      </c>
      <c r="H572" s="43">
        <v>0</v>
      </c>
      <c r="I572" s="43">
        <v>0</v>
      </c>
      <c r="J572" s="43">
        <v>0</v>
      </c>
      <c r="K572" s="43">
        <v>0</v>
      </c>
      <c r="L572" s="43"/>
      <c r="M572" s="43"/>
      <c r="N572" s="43">
        <v>0</v>
      </c>
      <c r="O572" s="43">
        <v>0</v>
      </c>
      <c r="P572" s="47">
        <v>0</v>
      </c>
      <c r="R572" s="37">
        <v>0</v>
      </c>
      <c r="S572" s="37">
        <v>0</v>
      </c>
      <c r="T572" s="37">
        <v>4000</v>
      </c>
      <c r="U572" s="37">
        <v>0</v>
      </c>
      <c r="V572" s="37">
        <v>2000</v>
      </c>
      <c r="W572" s="37">
        <v>0</v>
      </c>
      <c r="X572" s="37">
        <v>0</v>
      </c>
      <c r="Y572" s="37">
        <v>0</v>
      </c>
      <c r="Z572" s="37">
        <v>400</v>
      </c>
      <c r="AA572" s="37">
        <v>0</v>
      </c>
      <c r="AB572" s="37">
        <v>200</v>
      </c>
      <c r="AC572" s="37">
        <v>0</v>
      </c>
      <c r="AD572" s="37">
        <v>80</v>
      </c>
      <c r="AE572" s="37">
        <v>0</v>
      </c>
      <c r="AF572" s="37">
        <v>0</v>
      </c>
      <c r="AG572" s="59">
        <v>6680</v>
      </c>
      <c r="AH572" s="37">
        <v>0</v>
      </c>
      <c r="AI572" s="37">
        <v>0</v>
      </c>
      <c r="AJ572" s="37">
        <v>0</v>
      </c>
      <c r="AK572" s="37">
        <v>0</v>
      </c>
      <c r="AL572" s="37">
        <v>0</v>
      </c>
      <c r="AM572" s="37">
        <v>0</v>
      </c>
      <c r="AN572" s="37">
        <v>0</v>
      </c>
      <c r="AO572" s="37">
        <v>0</v>
      </c>
      <c r="AP572" s="37">
        <v>0</v>
      </c>
      <c r="AQ572" s="37">
        <v>0</v>
      </c>
      <c r="AR572" s="37">
        <v>0</v>
      </c>
      <c r="AS572" s="59">
        <v>0</v>
      </c>
      <c r="AT572" s="59">
        <v>6680</v>
      </c>
      <c r="AU572" s="45"/>
      <c r="AV572" s="37">
        <v>0</v>
      </c>
      <c r="AW572" s="37">
        <v>0</v>
      </c>
      <c r="AX572" s="37">
        <v>0</v>
      </c>
      <c r="AY572" s="37">
        <v>0</v>
      </c>
      <c r="AZ572" s="37">
        <v>0</v>
      </c>
      <c r="BA572" s="37">
        <v>0</v>
      </c>
      <c r="BB572" s="37">
        <v>0</v>
      </c>
      <c r="BC572" s="37">
        <v>0</v>
      </c>
      <c r="BD572" s="37">
        <v>0</v>
      </c>
      <c r="BE572" s="37">
        <v>0</v>
      </c>
      <c r="BF572" s="37">
        <v>0</v>
      </c>
      <c r="BG572" s="37">
        <v>0</v>
      </c>
      <c r="BH572" s="37">
        <v>0</v>
      </c>
      <c r="BI572" s="37">
        <v>0</v>
      </c>
      <c r="BJ572" s="37">
        <v>0</v>
      </c>
      <c r="BK572" s="59">
        <v>0</v>
      </c>
      <c r="BL572" s="37">
        <v>0</v>
      </c>
      <c r="BM572" s="37">
        <v>0</v>
      </c>
      <c r="BN572" s="37">
        <v>0</v>
      </c>
      <c r="BO572" s="37">
        <v>0</v>
      </c>
      <c r="BP572" s="37">
        <v>0</v>
      </c>
      <c r="BQ572" s="37">
        <v>0</v>
      </c>
      <c r="BR572" s="37">
        <v>0</v>
      </c>
      <c r="BS572" s="37">
        <v>0</v>
      </c>
      <c r="BT572" s="37">
        <v>0</v>
      </c>
      <c r="BU572" s="37">
        <v>0</v>
      </c>
      <c r="BV572" s="37">
        <v>0</v>
      </c>
      <c r="BW572" s="59">
        <v>0</v>
      </c>
      <c r="BX572" s="59">
        <v>0</v>
      </c>
      <c r="BZ572" s="37">
        <v>4000</v>
      </c>
      <c r="CA572" s="37">
        <v>2000</v>
      </c>
      <c r="CB572" s="37">
        <v>0</v>
      </c>
      <c r="CC572" s="37">
        <v>400</v>
      </c>
      <c r="CD572" s="37">
        <v>200</v>
      </c>
      <c r="CE572" s="37">
        <v>80</v>
      </c>
      <c r="CF572" s="37">
        <v>0</v>
      </c>
      <c r="CG572" s="59">
        <v>6680</v>
      </c>
      <c r="CH572" s="37">
        <v>0</v>
      </c>
      <c r="CI572" s="37">
        <v>0</v>
      </c>
      <c r="CJ572" s="37">
        <v>0</v>
      </c>
      <c r="CK572" s="37">
        <v>0</v>
      </c>
      <c r="CL572" s="37">
        <v>0</v>
      </c>
      <c r="CM572" s="37">
        <v>0</v>
      </c>
      <c r="CN572" s="59">
        <v>0</v>
      </c>
      <c r="CO572" s="59">
        <v>6680</v>
      </c>
      <c r="CP572" s="58"/>
      <c r="CQ572" s="3">
        <v>6680</v>
      </c>
    </row>
    <row r="573" spans="1:95" customFormat="1" x14ac:dyDescent="0.2">
      <c r="A573" s="209">
        <v>43446</v>
      </c>
      <c r="B573" s="33" t="s">
        <v>53</v>
      </c>
      <c r="C573" s="33" t="s">
        <v>57</v>
      </c>
      <c r="D573" s="43">
        <v>0</v>
      </c>
      <c r="E573" s="43">
        <v>0</v>
      </c>
      <c r="F573" s="43">
        <v>0</v>
      </c>
      <c r="G573" s="43">
        <v>0</v>
      </c>
      <c r="H573" s="43">
        <v>0</v>
      </c>
      <c r="I573" s="43">
        <v>0</v>
      </c>
      <c r="J573" s="43">
        <v>0</v>
      </c>
      <c r="K573" s="43">
        <v>0</v>
      </c>
      <c r="L573" s="43">
        <v>0</v>
      </c>
      <c r="M573" s="43">
        <v>0</v>
      </c>
      <c r="N573" s="43">
        <v>0</v>
      </c>
      <c r="O573" s="43">
        <v>0</v>
      </c>
      <c r="P573" s="47">
        <v>0</v>
      </c>
      <c r="R573" s="37">
        <v>0</v>
      </c>
      <c r="S573" s="37">
        <v>0</v>
      </c>
      <c r="T573" s="37">
        <v>32000</v>
      </c>
      <c r="U573" s="37">
        <v>0</v>
      </c>
      <c r="V573" s="37">
        <v>16000</v>
      </c>
      <c r="W573" s="37">
        <v>0</v>
      </c>
      <c r="X573" s="37">
        <v>3200</v>
      </c>
      <c r="Y573" s="37">
        <v>0</v>
      </c>
      <c r="Z573" s="37">
        <v>3200</v>
      </c>
      <c r="AA573" s="37">
        <v>0</v>
      </c>
      <c r="AB573" s="37">
        <v>1600</v>
      </c>
      <c r="AC573" s="37">
        <v>0</v>
      </c>
      <c r="AD573" s="37">
        <v>640</v>
      </c>
      <c r="AE573" s="37">
        <v>0</v>
      </c>
      <c r="AF573" s="37">
        <v>320</v>
      </c>
      <c r="AG573" s="59">
        <v>56960</v>
      </c>
      <c r="AH573" s="37">
        <v>0</v>
      </c>
      <c r="AI573" s="37">
        <v>0</v>
      </c>
      <c r="AJ573" s="37">
        <v>0</v>
      </c>
      <c r="AK573" s="37">
        <v>0</v>
      </c>
      <c r="AL573" s="37">
        <v>15</v>
      </c>
      <c r="AM573" s="37">
        <v>0</v>
      </c>
      <c r="AN573" s="37">
        <v>12</v>
      </c>
      <c r="AO573" s="37">
        <v>0</v>
      </c>
      <c r="AP573" s="37">
        <v>6</v>
      </c>
      <c r="AQ573" s="37">
        <v>0</v>
      </c>
      <c r="AR573" s="37">
        <v>0</v>
      </c>
      <c r="AS573" s="59">
        <v>33</v>
      </c>
      <c r="AT573" s="59">
        <v>56993</v>
      </c>
      <c r="AU573" s="45"/>
      <c r="AV573" s="37">
        <v>0</v>
      </c>
      <c r="AW573" s="37">
        <v>0</v>
      </c>
      <c r="AX573" s="37">
        <v>0</v>
      </c>
      <c r="AY573" s="37">
        <v>0</v>
      </c>
      <c r="AZ573" s="37">
        <v>0</v>
      </c>
      <c r="BA573" s="37">
        <v>0</v>
      </c>
      <c r="BB573" s="37">
        <v>0</v>
      </c>
      <c r="BC573" s="37">
        <v>0</v>
      </c>
      <c r="BD573" s="37">
        <v>0</v>
      </c>
      <c r="BE573" s="37">
        <v>0</v>
      </c>
      <c r="BF573" s="37">
        <v>0</v>
      </c>
      <c r="BG573" s="37">
        <v>0</v>
      </c>
      <c r="BH573" s="37">
        <v>0</v>
      </c>
      <c r="BI573" s="37">
        <v>0</v>
      </c>
      <c r="BJ573" s="37">
        <v>0</v>
      </c>
      <c r="BK573" s="59">
        <v>0</v>
      </c>
      <c r="BL573" s="37">
        <v>0</v>
      </c>
      <c r="BM573" s="37">
        <v>0</v>
      </c>
      <c r="BN573" s="37">
        <v>0</v>
      </c>
      <c r="BO573" s="37">
        <v>0</v>
      </c>
      <c r="BP573" s="37">
        <v>0</v>
      </c>
      <c r="BQ573" s="37">
        <v>0</v>
      </c>
      <c r="BR573" s="37">
        <v>0</v>
      </c>
      <c r="BS573" s="37">
        <v>0</v>
      </c>
      <c r="BT573" s="37">
        <v>0</v>
      </c>
      <c r="BU573" s="37">
        <v>0</v>
      </c>
      <c r="BV573" s="37">
        <v>0</v>
      </c>
      <c r="BW573" s="59">
        <v>0</v>
      </c>
      <c r="BX573" s="59">
        <v>0</v>
      </c>
      <c r="BZ573" s="37">
        <v>32000</v>
      </c>
      <c r="CA573" s="37">
        <v>16000</v>
      </c>
      <c r="CB573" s="37">
        <v>3200</v>
      </c>
      <c r="CC573" s="37">
        <v>3200</v>
      </c>
      <c r="CD573" s="37">
        <v>1600</v>
      </c>
      <c r="CE573" s="37">
        <v>640</v>
      </c>
      <c r="CF573" s="37">
        <v>320</v>
      </c>
      <c r="CG573" s="59">
        <v>56960</v>
      </c>
      <c r="CH573" s="37">
        <v>0</v>
      </c>
      <c r="CI573" s="37">
        <v>15</v>
      </c>
      <c r="CJ573" s="37">
        <v>12</v>
      </c>
      <c r="CK573" s="37">
        <v>6</v>
      </c>
      <c r="CL573" s="37">
        <v>0</v>
      </c>
      <c r="CM573" s="37">
        <v>0</v>
      </c>
      <c r="CN573" s="59">
        <v>33</v>
      </c>
      <c r="CO573" s="59">
        <v>56993</v>
      </c>
      <c r="CP573" s="58"/>
      <c r="CQ573" s="3">
        <v>56993</v>
      </c>
    </row>
    <row r="574" spans="1:95" customFormat="1" x14ac:dyDescent="0.2">
      <c r="A574" s="209">
        <v>43446</v>
      </c>
      <c r="B574" s="33" t="s">
        <v>53</v>
      </c>
      <c r="C574" s="33" t="s">
        <v>54</v>
      </c>
      <c r="D574" s="43">
        <v>1</v>
      </c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43">
        <v>0</v>
      </c>
      <c r="M574" s="43">
        <v>0</v>
      </c>
      <c r="N574" s="43">
        <v>0</v>
      </c>
      <c r="O574" s="43">
        <v>0</v>
      </c>
      <c r="P574" s="47" t="s">
        <v>45</v>
      </c>
      <c r="R574" s="37">
        <v>0</v>
      </c>
      <c r="S574" s="37">
        <v>0</v>
      </c>
      <c r="T574" s="37">
        <v>0</v>
      </c>
      <c r="U574" s="37">
        <v>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7">
        <v>0</v>
      </c>
      <c r="AB574" s="37">
        <v>0</v>
      </c>
      <c r="AC574" s="37">
        <v>0</v>
      </c>
      <c r="AD574" s="37">
        <v>0</v>
      </c>
      <c r="AE574" s="37">
        <v>0</v>
      </c>
      <c r="AF574" s="37">
        <v>0</v>
      </c>
      <c r="AG574" s="59">
        <v>0</v>
      </c>
      <c r="AH574" s="37">
        <v>0</v>
      </c>
      <c r="AI574" s="37">
        <v>0</v>
      </c>
      <c r="AJ574" s="37">
        <v>0</v>
      </c>
      <c r="AK574" s="37">
        <v>0</v>
      </c>
      <c r="AL574" s="37">
        <v>0</v>
      </c>
      <c r="AM574" s="37">
        <v>0</v>
      </c>
      <c r="AN574" s="37">
        <v>0</v>
      </c>
      <c r="AO574" s="37">
        <v>0</v>
      </c>
      <c r="AP574" s="37">
        <v>250</v>
      </c>
      <c r="AQ574" s="37">
        <v>0</v>
      </c>
      <c r="AR574" s="37">
        <v>0</v>
      </c>
      <c r="AS574" s="59">
        <v>250</v>
      </c>
      <c r="AT574" s="59">
        <v>250</v>
      </c>
      <c r="AU574" s="45"/>
      <c r="AV574" s="37">
        <v>0</v>
      </c>
      <c r="AW574" s="37">
        <v>0</v>
      </c>
      <c r="AX574" s="37">
        <v>0</v>
      </c>
      <c r="AY574" s="37">
        <v>0</v>
      </c>
      <c r="AZ574" s="37">
        <v>0</v>
      </c>
      <c r="BA574" s="37">
        <v>0</v>
      </c>
      <c r="BB574" s="37">
        <v>0</v>
      </c>
      <c r="BC574" s="37">
        <v>0</v>
      </c>
      <c r="BD574" s="37">
        <v>0</v>
      </c>
      <c r="BE574" s="37">
        <v>0</v>
      </c>
      <c r="BF574" s="37">
        <v>0</v>
      </c>
      <c r="BG574" s="37">
        <v>0</v>
      </c>
      <c r="BH574" s="37">
        <v>0</v>
      </c>
      <c r="BI574" s="37">
        <v>0</v>
      </c>
      <c r="BJ574" s="37">
        <v>0</v>
      </c>
      <c r="BK574" s="59">
        <v>0</v>
      </c>
      <c r="BL574" s="37">
        <v>0</v>
      </c>
      <c r="BM574" s="37">
        <v>0</v>
      </c>
      <c r="BN574" s="37">
        <v>0</v>
      </c>
      <c r="BO574" s="37">
        <v>0</v>
      </c>
      <c r="BP574" s="37">
        <v>0</v>
      </c>
      <c r="BQ574" s="37">
        <v>0</v>
      </c>
      <c r="BR574" s="37">
        <v>0</v>
      </c>
      <c r="BS574" s="37">
        <v>0</v>
      </c>
      <c r="BT574" s="37">
        <v>0</v>
      </c>
      <c r="BU574" s="37">
        <v>0</v>
      </c>
      <c r="BV574" s="37">
        <v>0</v>
      </c>
      <c r="BW574" s="59">
        <v>0</v>
      </c>
      <c r="BX574" s="59">
        <v>0</v>
      </c>
      <c r="BZ574" s="37">
        <v>0</v>
      </c>
      <c r="CA574" s="37">
        <v>0</v>
      </c>
      <c r="CB574" s="37">
        <v>0</v>
      </c>
      <c r="CC574" s="37">
        <v>0</v>
      </c>
      <c r="CD574" s="37">
        <v>0</v>
      </c>
      <c r="CE574" s="37">
        <v>0</v>
      </c>
      <c r="CF574" s="37">
        <v>0</v>
      </c>
      <c r="CG574" s="59">
        <v>0</v>
      </c>
      <c r="CH574" s="37">
        <v>0</v>
      </c>
      <c r="CI574" s="37">
        <v>0</v>
      </c>
      <c r="CJ574" s="37">
        <v>0</v>
      </c>
      <c r="CK574" s="37">
        <v>250</v>
      </c>
      <c r="CL574" s="37">
        <v>0</v>
      </c>
      <c r="CM574" s="37">
        <v>0</v>
      </c>
      <c r="CN574" s="59">
        <v>250</v>
      </c>
      <c r="CO574" s="59">
        <v>250</v>
      </c>
      <c r="CP574" s="58"/>
      <c r="CQ574" s="3">
        <v>250</v>
      </c>
    </row>
    <row r="575" spans="1:95" customFormat="1" x14ac:dyDescent="0.2">
      <c r="A575" s="209">
        <v>43446</v>
      </c>
      <c r="B575" s="33" t="s">
        <v>53</v>
      </c>
      <c r="C575" s="33" t="s">
        <v>54</v>
      </c>
      <c r="D575" s="43">
        <v>1</v>
      </c>
      <c r="E575" s="43">
        <v>0</v>
      </c>
      <c r="F575" s="43">
        <v>0</v>
      </c>
      <c r="G575" s="43">
        <v>0</v>
      </c>
      <c r="H575" s="43">
        <v>0</v>
      </c>
      <c r="I575" s="43">
        <v>0</v>
      </c>
      <c r="J575" s="43">
        <v>0</v>
      </c>
      <c r="K575" s="43">
        <v>0</v>
      </c>
      <c r="L575" s="43">
        <v>0</v>
      </c>
      <c r="M575" s="43">
        <v>0</v>
      </c>
      <c r="N575" s="43">
        <v>0</v>
      </c>
      <c r="O575" s="43">
        <v>0</v>
      </c>
      <c r="P575" s="47" t="s">
        <v>45</v>
      </c>
      <c r="R575" s="37">
        <v>0</v>
      </c>
      <c r="S575" s="37">
        <v>0</v>
      </c>
      <c r="T575" s="37">
        <v>2500000</v>
      </c>
      <c r="U575" s="37">
        <v>0</v>
      </c>
      <c r="V575" s="37">
        <v>1250000</v>
      </c>
      <c r="W575" s="37">
        <v>0</v>
      </c>
      <c r="X575" s="37">
        <v>0</v>
      </c>
      <c r="Y575" s="37">
        <v>0</v>
      </c>
      <c r="Z575" s="37">
        <v>120000</v>
      </c>
      <c r="AA575" s="37">
        <v>0</v>
      </c>
      <c r="AB575" s="37">
        <v>65000</v>
      </c>
      <c r="AC575" s="37">
        <v>0</v>
      </c>
      <c r="AD575" s="37">
        <v>0</v>
      </c>
      <c r="AE575" s="37">
        <v>0</v>
      </c>
      <c r="AF575" s="37">
        <v>0</v>
      </c>
      <c r="AG575" s="59">
        <v>3935000</v>
      </c>
      <c r="AH575" s="37">
        <v>0</v>
      </c>
      <c r="AI575" s="37">
        <v>0</v>
      </c>
      <c r="AJ575" s="37">
        <v>0</v>
      </c>
      <c r="AK575" s="37">
        <v>0</v>
      </c>
      <c r="AL575" s="37">
        <v>0</v>
      </c>
      <c r="AM575" s="37">
        <v>0</v>
      </c>
      <c r="AN575" s="37">
        <v>0</v>
      </c>
      <c r="AO575" s="37">
        <v>0</v>
      </c>
      <c r="AP575" s="37">
        <v>50</v>
      </c>
      <c r="AQ575" s="37">
        <v>0</v>
      </c>
      <c r="AR575" s="37">
        <v>0</v>
      </c>
      <c r="AS575" s="59">
        <v>50</v>
      </c>
      <c r="AT575" s="59">
        <v>3935050</v>
      </c>
      <c r="AU575" s="45"/>
      <c r="AV575" s="37">
        <v>0</v>
      </c>
      <c r="AW575" s="37">
        <v>0</v>
      </c>
      <c r="AX575" s="37">
        <v>0</v>
      </c>
      <c r="AY575" s="37">
        <v>0</v>
      </c>
      <c r="AZ575" s="37">
        <v>0</v>
      </c>
      <c r="BA575" s="37">
        <v>0</v>
      </c>
      <c r="BB575" s="37">
        <v>0</v>
      </c>
      <c r="BC575" s="37">
        <v>0</v>
      </c>
      <c r="BD575" s="37">
        <v>0</v>
      </c>
      <c r="BE575" s="37">
        <v>0</v>
      </c>
      <c r="BF575" s="37">
        <v>0</v>
      </c>
      <c r="BG575" s="37">
        <v>0</v>
      </c>
      <c r="BH575" s="37">
        <v>0</v>
      </c>
      <c r="BI575" s="37">
        <v>0</v>
      </c>
      <c r="BJ575" s="37">
        <v>0</v>
      </c>
      <c r="BK575" s="59">
        <v>0</v>
      </c>
      <c r="BL575" s="37">
        <v>0</v>
      </c>
      <c r="BM575" s="37">
        <v>0</v>
      </c>
      <c r="BN575" s="37">
        <v>0</v>
      </c>
      <c r="BO575" s="37">
        <v>0</v>
      </c>
      <c r="BP575" s="37">
        <v>0</v>
      </c>
      <c r="BQ575" s="37">
        <v>0</v>
      </c>
      <c r="BR575" s="37">
        <v>0</v>
      </c>
      <c r="BS575" s="37">
        <v>0</v>
      </c>
      <c r="BT575" s="37">
        <v>0</v>
      </c>
      <c r="BU575" s="37">
        <v>0</v>
      </c>
      <c r="BV575" s="37">
        <v>0</v>
      </c>
      <c r="BW575" s="59">
        <v>0</v>
      </c>
      <c r="BX575" s="59">
        <v>0</v>
      </c>
      <c r="BZ575" s="37">
        <v>2500000</v>
      </c>
      <c r="CA575" s="37">
        <v>1250000</v>
      </c>
      <c r="CB575" s="37">
        <v>0</v>
      </c>
      <c r="CC575" s="37">
        <v>120000</v>
      </c>
      <c r="CD575" s="37">
        <v>65000</v>
      </c>
      <c r="CE575" s="37">
        <v>0</v>
      </c>
      <c r="CF575" s="37">
        <v>0</v>
      </c>
      <c r="CG575" s="59">
        <v>3935000</v>
      </c>
      <c r="CH575" s="37">
        <v>0</v>
      </c>
      <c r="CI575" s="37">
        <v>0</v>
      </c>
      <c r="CJ575" s="37">
        <v>0</v>
      </c>
      <c r="CK575" s="37">
        <v>50</v>
      </c>
      <c r="CL575" s="37">
        <v>0</v>
      </c>
      <c r="CM575" s="37">
        <v>0</v>
      </c>
      <c r="CN575" s="59">
        <v>50</v>
      </c>
      <c r="CO575" s="59">
        <v>3935050</v>
      </c>
      <c r="CP575" s="58"/>
      <c r="CQ575" s="3">
        <v>3935050</v>
      </c>
    </row>
    <row r="576" spans="1:95" customFormat="1" x14ac:dyDescent="0.2">
      <c r="A576" s="209">
        <v>43447</v>
      </c>
      <c r="B576" s="33" t="s">
        <v>55</v>
      </c>
      <c r="C576" s="33" t="s">
        <v>56</v>
      </c>
      <c r="D576" s="43">
        <v>0</v>
      </c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0</v>
      </c>
      <c r="L576" s="43">
        <v>0</v>
      </c>
      <c r="M576" s="43">
        <v>0</v>
      </c>
      <c r="N576" s="43">
        <v>0</v>
      </c>
      <c r="O576" s="43">
        <v>0</v>
      </c>
      <c r="P576" s="47">
        <v>0</v>
      </c>
      <c r="R576" s="37">
        <v>0</v>
      </c>
      <c r="S576" s="37">
        <v>0</v>
      </c>
      <c r="T576" s="37">
        <v>4000</v>
      </c>
      <c r="U576" s="37">
        <v>0</v>
      </c>
      <c r="V576" s="37">
        <v>2000</v>
      </c>
      <c r="W576" s="37">
        <v>0</v>
      </c>
      <c r="X576" s="37">
        <v>0</v>
      </c>
      <c r="Y576" s="37">
        <v>0</v>
      </c>
      <c r="Z576" s="37">
        <v>400</v>
      </c>
      <c r="AA576" s="37">
        <v>0</v>
      </c>
      <c r="AB576" s="37">
        <v>200</v>
      </c>
      <c r="AC576" s="37">
        <v>0</v>
      </c>
      <c r="AD576" s="37">
        <v>80</v>
      </c>
      <c r="AE576" s="37">
        <v>0</v>
      </c>
      <c r="AF576" s="37">
        <v>0</v>
      </c>
      <c r="AG576" s="59">
        <v>6680</v>
      </c>
      <c r="AH576" s="37">
        <v>0</v>
      </c>
      <c r="AI576" s="37">
        <v>0</v>
      </c>
      <c r="AJ576" s="37">
        <v>0</v>
      </c>
      <c r="AK576" s="37">
        <v>0</v>
      </c>
      <c r="AL576" s="37">
        <v>5</v>
      </c>
      <c r="AM576" s="37">
        <v>0</v>
      </c>
      <c r="AN576" s="37">
        <v>4</v>
      </c>
      <c r="AO576" s="37">
        <v>0</v>
      </c>
      <c r="AP576" s="37">
        <v>2</v>
      </c>
      <c r="AQ576" s="37">
        <v>0</v>
      </c>
      <c r="AR576" s="37">
        <v>0</v>
      </c>
      <c r="AS576" s="59">
        <v>11</v>
      </c>
      <c r="AT576" s="59">
        <v>6691</v>
      </c>
      <c r="AU576" s="45"/>
      <c r="AV576" s="37">
        <v>0</v>
      </c>
      <c r="AW576" s="37">
        <v>0</v>
      </c>
      <c r="AX576" s="37">
        <v>0</v>
      </c>
      <c r="AY576" s="37">
        <v>0</v>
      </c>
      <c r="AZ576" s="37">
        <v>0</v>
      </c>
      <c r="BA576" s="37">
        <v>0</v>
      </c>
      <c r="BB576" s="37">
        <v>0</v>
      </c>
      <c r="BC576" s="37">
        <v>0</v>
      </c>
      <c r="BD576" s="37">
        <v>0</v>
      </c>
      <c r="BE576" s="37">
        <v>0</v>
      </c>
      <c r="BF576" s="37">
        <v>0</v>
      </c>
      <c r="BG576" s="37">
        <v>0</v>
      </c>
      <c r="BH576" s="37">
        <v>0</v>
      </c>
      <c r="BI576" s="37">
        <v>0</v>
      </c>
      <c r="BJ576" s="37">
        <v>0</v>
      </c>
      <c r="BK576" s="59">
        <v>0</v>
      </c>
      <c r="BL576" s="37">
        <v>0</v>
      </c>
      <c r="BM576" s="37">
        <v>0</v>
      </c>
      <c r="BN576" s="37">
        <v>0</v>
      </c>
      <c r="BO576" s="37">
        <v>0</v>
      </c>
      <c r="BP576" s="37">
        <v>0</v>
      </c>
      <c r="BQ576" s="37">
        <v>0</v>
      </c>
      <c r="BR576" s="37">
        <v>0</v>
      </c>
      <c r="BS576" s="37">
        <v>0</v>
      </c>
      <c r="BT576" s="37">
        <v>0</v>
      </c>
      <c r="BU576" s="37">
        <v>0</v>
      </c>
      <c r="BV576" s="37">
        <v>0</v>
      </c>
      <c r="BW576" s="59">
        <v>0</v>
      </c>
      <c r="BX576" s="59">
        <v>0</v>
      </c>
      <c r="BZ576" s="37">
        <v>4000</v>
      </c>
      <c r="CA576" s="37">
        <v>2000</v>
      </c>
      <c r="CB576" s="37">
        <v>0</v>
      </c>
      <c r="CC576" s="37">
        <v>400</v>
      </c>
      <c r="CD576" s="37">
        <v>200</v>
      </c>
      <c r="CE576" s="37">
        <v>80</v>
      </c>
      <c r="CF576" s="37">
        <v>0</v>
      </c>
      <c r="CG576" s="59">
        <v>6680</v>
      </c>
      <c r="CH576" s="37">
        <v>0</v>
      </c>
      <c r="CI576" s="37">
        <v>5</v>
      </c>
      <c r="CJ576" s="37">
        <v>4</v>
      </c>
      <c r="CK576" s="37">
        <v>2</v>
      </c>
      <c r="CL576" s="37">
        <v>0</v>
      </c>
      <c r="CM576" s="37">
        <v>0</v>
      </c>
      <c r="CN576" s="59">
        <v>11</v>
      </c>
      <c r="CO576" s="59">
        <v>6691</v>
      </c>
      <c r="CP576" s="58"/>
      <c r="CQ576" s="3">
        <v>6691</v>
      </c>
    </row>
    <row r="577" spans="1:95" customFormat="1" x14ac:dyDescent="0.2">
      <c r="A577" s="209">
        <v>43447</v>
      </c>
      <c r="B577" s="33" t="s">
        <v>53</v>
      </c>
      <c r="C577" s="33" t="s">
        <v>54</v>
      </c>
      <c r="D577" s="43">
        <v>1</v>
      </c>
      <c r="E577" s="43">
        <v>0</v>
      </c>
      <c r="F577" s="43">
        <v>0</v>
      </c>
      <c r="G577" s="43">
        <v>0</v>
      </c>
      <c r="H577" s="43">
        <v>0</v>
      </c>
      <c r="I577" s="43">
        <v>0</v>
      </c>
      <c r="J577" s="43">
        <v>0</v>
      </c>
      <c r="K577" s="43">
        <v>0</v>
      </c>
      <c r="L577" s="43">
        <v>0</v>
      </c>
      <c r="M577" s="43">
        <v>0</v>
      </c>
      <c r="N577" s="43">
        <v>0</v>
      </c>
      <c r="O577" s="43">
        <v>0</v>
      </c>
      <c r="P577" s="47" t="s">
        <v>45</v>
      </c>
      <c r="R577" s="37">
        <v>0</v>
      </c>
      <c r="S577" s="37">
        <v>0</v>
      </c>
      <c r="T577" s="37">
        <v>2500000</v>
      </c>
      <c r="U577" s="37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v>0</v>
      </c>
      <c r="AD577" s="37">
        <v>0</v>
      </c>
      <c r="AE577" s="37">
        <v>0</v>
      </c>
      <c r="AF577" s="37">
        <v>0</v>
      </c>
      <c r="AG577" s="59">
        <v>2500000</v>
      </c>
      <c r="AH577" s="37">
        <v>0</v>
      </c>
      <c r="AI577" s="37">
        <v>0</v>
      </c>
      <c r="AJ577" s="37">
        <v>0</v>
      </c>
      <c r="AK577" s="37">
        <v>0</v>
      </c>
      <c r="AL577" s="37">
        <v>0</v>
      </c>
      <c r="AM577" s="37">
        <v>0</v>
      </c>
      <c r="AN577" s="37">
        <v>0</v>
      </c>
      <c r="AO577" s="37">
        <v>0</v>
      </c>
      <c r="AP577" s="37">
        <v>0</v>
      </c>
      <c r="AQ577" s="37">
        <v>0</v>
      </c>
      <c r="AR577" s="37">
        <v>0</v>
      </c>
      <c r="AS577" s="59">
        <v>0</v>
      </c>
      <c r="AT577" s="59">
        <v>2500000</v>
      </c>
      <c r="AU577" s="45"/>
      <c r="AV577" s="37">
        <v>0</v>
      </c>
      <c r="AW577" s="37">
        <v>0</v>
      </c>
      <c r="AX577" s="37">
        <v>0</v>
      </c>
      <c r="AY577" s="37">
        <v>0</v>
      </c>
      <c r="AZ577" s="37">
        <v>0</v>
      </c>
      <c r="BA577" s="37">
        <v>0</v>
      </c>
      <c r="BB577" s="37">
        <v>0</v>
      </c>
      <c r="BC577" s="37">
        <v>0</v>
      </c>
      <c r="BD577" s="37">
        <v>0</v>
      </c>
      <c r="BE577" s="37">
        <v>0</v>
      </c>
      <c r="BF577" s="37">
        <v>0</v>
      </c>
      <c r="BG577" s="37">
        <v>0</v>
      </c>
      <c r="BH577" s="37">
        <v>0</v>
      </c>
      <c r="BI577" s="37">
        <v>0</v>
      </c>
      <c r="BJ577" s="37">
        <v>0</v>
      </c>
      <c r="BK577" s="59">
        <v>0</v>
      </c>
      <c r="BL577" s="37">
        <v>0</v>
      </c>
      <c r="BM577" s="37">
        <v>0</v>
      </c>
      <c r="BN577" s="37">
        <v>0</v>
      </c>
      <c r="BO577" s="37">
        <v>0</v>
      </c>
      <c r="BP577" s="37">
        <v>0</v>
      </c>
      <c r="BQ577" s="37">
        <v>0</v>
      </c>
      <c r="BR577" s="37">
        <v>0</v>
      </c>
      <c r="BS577" s="37">
        <v>0</v>
      </c>
      <c r="BT577" s="37">
        <v>0</v>
      </c>
      <c r="BU577" s="37">
        <v>0</v>
      </c>
      <c r="BV577" s="37">
        <v>0</v>
      </c>
      <c r="BW577" s="59">
        <v>0</v>
      </c>
      <c r="BX577" s="59">
        <v>0</v>
      </c>
      <c r="BZ577" s="37">
        <v>2500000</v>
      </c>
      <c r="CA577" s="37">
        <v>0</v>
      </c>
      <c r="CB577" s="37">
        <v>0</v>
      </c>
      <c r="CC577" s="37">
        <v>0</v>
      </c>
      <c r="CD577" s="37">
        <v>0</v>
      </c>
      <c r="CE577" s="37">
        <v>0</v>
      </c>
      <c r="CF577" s="37">
        <v>0</v>
      </c>
      <c r="CG577" s="59">
        <v>2500000</v>
      </c>
      <c r="CH577" s="37">
        <v>0</v>
      </c>
      <c r="CI577" s="37">
        <v>0</v>
      </c>
      <c r="CJ577" s="37">
        <v>0</v>
      </c>
      <c r="CK577" s="37">
        <v>0</v>
      </c>
      <c r="CL577" s="37">
        <v>0</v>
      </c>
      <c r="CM577" s="37">
        <v>0</v>
      </c>
      <c r="CN577" s="59">
        <v>0</v>
      </c>
      <c r="CO577" s="59">
        <v>2500000</v>
      </c>
      <c r="CP577" s="58"/>
      <c r="CQ577" s="3">
        <v>2500000</v>
      </c>
    </row>
    <row r="578" spans="1:95" customFormat="1" x14ac:dyDescent="0.2">
      <c r="A578" s="209">
        <v>43447</v>
      </c>
      <c r="B578" s="33" t="s">
        <v>130</v>
      </c>
      <c r="C578" s="33" t="s">
        <v>61</v>
      </c>
      <c r="D578" s="43">
        <v>0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0</v>
      </c>
      <c r="L578" s="43">
        <v>0</v>
      </c>
      <c r="M578" s="43">
        <v>0</v>
      </c>
      <c r="N578" s="43">
        <v>1</v>
      </c>
      <c r="O578" s="43">
        <v>0</v>
      </c>
      <c r="P578" s="47" t="s">
        <v>45</v>
      </c>
      <c r="R578" s="37">
        <v>0</v>
      </c>
      <c r="S578" s="37">
        <v>0</v>
      </c>
      <c r="T578" s="37">
        <v>2800000</v>
      </c>
      <c r="U578" s="37">
        <v>0</v>
      </c>
      <c r="V578" s="37">
        <v>500000</v>
      </c>
      <c r="W578" s="37">
        <v>0</v>
      </c>
      <c r="X578" s="37">
        <v>0</v>
      </c>
      <c r="Y578" s="37">
        <v>0</v>
      </c>
      <c r="Z578" s="37">
        <v>0</v>
      </c>
      <c r="AA578" s="37">
        <v>0</v>
      </c>
      <c r="AB578" s="37">
        <v>0</v>
      </c>
      <c r="AC578" s="37">
        <v>0</v>
      </c>
      <c r="AD578" s="37">
        <v>0</v>
      </c>
      <c r="AE578" s="37">
        <v>0</v>
      </c>
      <c r="AF578" s="37">
        <v>0</v>
      </c>
      <c r="AG578" s="59">
        <v>3300000</v>
      </c>
      <c r="AH578" s="37">
        <v>0</v>
      </c>
      <c r="AI578" s="37">
        <v>0</v>
      </c>
      <c r="AJ578" s="37">
        <v>0</v>
      </c>
      <c r="AK578" s="37">
        <v>0</v>
      </c>
      <c r="AL578" s="37">
        <v>0</v>
      </c>
      <c r="AM578" s="37">
        <v>0</v>
      </c>
      <c r="AN578" s="37">
        <v>0</v>
      </c>
      <c r="AO578" s="37">
        <v>0</v>
      </c>
      <c r="AP578" s="37">
        <v>0</v>
      </c>
      <c r="AQ578" s="37">
        <v>0</v>
      </c>
      <c r="AR578" s="37">
        <v>0</v>
      </c>
      <c r="AS578" s="59">
        <v>0</v>
      </c>
      <c r="AT578" s="59">
        <v>3300000</v>
      </c>
      <c r="AU578" s="45"/>
      <c r="AV578" s="37">
        <v>0</v>
      </c>
      <c r="AW578" s="37">
        <v>0</v>
      </c>
      <c r="AX578" s="37">
        <v>0</v>
      </c>
      <c r="AY578" s="37">
        <v>0</v>
      </c>
      <c r="AZ578" s="37">
        <v>0</v>
      </c>
      <c r="BA578" s="37">
        <v>0</v>
      </c>
      <c r="BB578" s="37">
        <v>0</v>
      </c>
      <c r="BC578" s="37">
        <v>0</v>
      </c>
      <c r="BD578" s="37">
        <v>0</v>
      </c>
      <c r="BE578" s="37">
        <v>0</v>
      </c>
      <c r="BF578" s="37">
        <v>0</v>
      </c>
      <c r="BG578" s="37">
        <v>0</v>
      </c>
      <c r="BH578" s="37">
        <v>0</v>
      </c>
      <c r="BI578" s="37">
        <v>0</v>
      </c>
      <c r="BJ578" s="37">
        <v>0</v>
      </c>
      <c r="BK578" s="59">
        <v>0</v>
      </c>
      <c r="BL578" s="37">
        <v>0</v>
      </c>
      <c r="BM578" s="37">
        <v>0</v>
      </c>
      <c r="BN578" s="37">
        <v>0</v>
      </c>
      <c r="BO578" s="37">
        <v>0</v>
      </c>
      <c r="BP578" s="37">
        <v>0</v>
      </c>
      <c r="BQ578" s="37">
        <v>0</v>
      </c>
      <c r="BR578" s="37">
        <v>0</v>
      </c>
      <c r="BS578" s="37">
        <v>0</v>
      </c>
      <c r="BT578" s="37">
        <v>0</v>
      </c>
      <c r="BU578" s="37">
        <v>0</v>
      </c>
      <c r="BV578" s="37">
        <v>0</v>
      </c>
      <c r="BW578" s="59">
        <v>0</v>
      </c>
      <c r="BX578" s="59">
        <v>0</v>
      </c>
      <c r="BZ578" s="37">
        <v>2800000</v>
      </c>
      <c r="CA578" s="37">
        <v>500000</v>
      </c>
      <c r="CB578" s="37">
        <v>0</v>
      </c>
      <c r="CC578" s="37">
        <v>0</v>
      </c>
      <c r="CD578" s="37">
        <v>0</v>
      </c>
      <c r="CE578" s="37">
        <v>0</v>
      </c>
      <c r="CF578" s="37">
        <v>0</v>
      </c>
      <c r="CG578" s="59">
        <v>3300000</v>
      </c>
      <c r="CH578" s="37">
        <v>0</v>
      </c>
      <c r="CI578" s="37">
        <v>0</v>
      </c>
      <c r="CJ578" s="37">
        <v>0</v>
      </c>
      <c r="CK578" s="37">
        <v>0</v>
      </c>
      <c r="CL578" s="37">
        <v>0</v>
      </c>
      <c r="CM578" s="37">
        <v>0</v>
      </c>
      <c r="CN578" s="59">
        <v>0</v>
      </c>
      <c r="CO578" s="59">
        <v>3300000</v>
      </c>
      <c r="CP578" s="58"/>
      <c r="CQ578" s="3">
        <v>3300000</v>
      </c>
    </row>
    <row r="579" spans="1:95" customFormat="1" x14ac:dyDescent="0.2">
      <c r="A579" s="209">
        <v>43448</v>
      </c>
      <c r="B579" s="33" t="s">
        <v>55</v>
      </c>
      <c r="C579" s="33" t="s">
        <v>56</v>
      </c>
      <c r="D579" s="43">
        <v>0</v>
      </c>
      <c r="E579" s="43">
        <v>0</v>
      </c>
      <c r="F579" s="43">
        <v>0</v>
      </c>
      <c r="G579" s="43">
        <v>0</v>
      </c>
      <c r="H579" s="43">
        <v>0</v>
      </c>
      <c r="I579" s="43">
        <v>0</v>
      </c>
      <c r="J579" s="43">
        <v>0</v>
      </c>
      <c r="K579" s="43">
        <v>0</v>
      </c>
      <c r="L579" s="43">
        <v>0</v>
      </c>
      <c r="M579" s="43">
        <v>0</v>
      </c>
      <c r="N579" s="43">
        <v>0</v>
      </c>
      <c r="O579" s="43">
        <v>0</v>
      </c>
      <c r="P579" s="47">
        <v>0</v>
      </c>
      <c r="R579" s="37">
        <v>0</v>
      </c>
      <c r="S579" s="37">
        <v>0</v>
      </c>
      <c r="T579" s="37">
        <v>4000</v>
      </c>
      <c r="U579" s="37">
        <v>0</v>
      </c>
      <c r="V579" s="37">
        <v>2000</v>
      </c>
      <c r="W579" s="37">
        <v>0</v>
      </c>
      <c r="X579" s="37">
        <v>0</v>
      </c>
      <c r="Y579" s="37">
        <v>0</v>
      </c>
      <c r="Z579" s="37">
        <v>400</v>
      </c>
      <c r="AA579" s="37">
        <v>0</v>
      </c>
      <c r="AB579" s="37">
        <v>200</v>
      </c>
      <c r="AC579" s="37">
        <v>0</v>
      </c>
      <c r="AD579" s="37">
        <v>80</v>
      </c>
      <c r="AE579" s="37">
        <v>0</v>
      </c>
      <c r="AF579" s="37">
        <v>40</v>
      </c>
      <c r="AG579" s="59">
        <v>6720</v>
      </c>
      <c r="AH579" s="37">
        <v>0</v>
      </c>
      <c r="AI579" s="37">
        <v>0</v>
      </c>
      <c r="AJ579" s="37">
        <v>0</v>
      </c>
      <c r="AK579" s="37">
        <v>0</v>
      </c>
      <c r="AL579" s="37">
        <v>0</v>
      </c>
      <c r="AM579" s="37">
        <v>0</v>
      </c>
      <c r="AN579" s="37">
        <v>0</v>
      </c>
      <c r="AO579" s="37">
        <v>0</v>
      </c>
      <c r="AP579" s="37">
        <v>0</v>
      </c>
      <c r="AQ579" s="37">
        <v>0</v>
      </c>
      <c r="AR579" s="37">
        <v>0</v>
      </c>
      <c r="AS579" s="59">
        <v>0</v>
      </c>
      <c r="AT579" s="59">
        <v>6720</v>
      </c>
      <c r="AU579" s="45"/>
      <c r="AV579" s="37">
        <v>0</v>
      </c>
      <c r="AW579" s="37">
        <v>0</v>
      </c>
      <c r="AX579" s="37">
        <v>0</v>
      </c>
      <c r="AY579" s="37">
        <v>0</v>
      </c>
      <c r="AZ579" s="37">
        <v>0</v>
      </c>
      <c r="BA579" s="37">
        <v>0</v>
      </c>
      <c r="BB579" s="37">
        <v>0</v>
      </c>
      <c r="BC579" s="37">
        <v>0</v>
      </c>
      <c r="BD579" s="37">
        <v>0</v>
      </c>
      <c r="BE579" s="37">
        <v>0</v>
      </c>
      <c r="BF579" s="37">
        <v>0</v>
      </c>
      <c r="BG579" s="37">
        <v>0</v>
      </c>
      <c r="BH579" s="37">
        <v>0</v>
      </c>
      <c r="BI579" s="37">
        <v>0</v>
      </c>
      <c r="BJ579" s="37">
        <v>0</v>
      </c>
      <c r="BK579" s="59">
        <v>0</v>
      </c>
      <c r="BL579" s="37">
        <v>0</v>
      </c>
      <c r="BM579" s="37">
        <v>0</v>
      </c>
      <c r="BN579" s="37">
        <v>0</v>
      </c>
      <c r="BO579" s="37">
        <v>0</v>
      </c>
      <c r="BP579" s="37">
        <v>0</v>
      </c>
      <c r="BQ579" s="37">
        <v>0</v>
      </c>
      <c r="BR579" s="37">
        <v>0</v>
      </c>
      <c r="BS579" s="37">
        <v>0</v>
      </c>
      <c r="BT579" s="37">
        <v>0</v>
      </c>
      <c r="BU579" s="37">
        <v>0</v>
      </c>
      <c r="BV579" s="37">
        <v>0</v>
      </c>
      <c r="BW579" s="59">
        <v>0</v>
      </c>
      <c r="BX579" s="59">
        <v>0</v>
      </c>
      <c r="BZ579" s="37">
        <v>4000</v>
      </c>
      <c r="CA579" s="37">
        <v>2000</v>
      </c>
      <c r="CB579" s="37">
        <v>0</v>
      </c>
      <c r="CC579" s="37">
        <v>400</v>
      </c>
      <c r="CD579" s="37">
        <v>200</v>
      </c>
      <c r="CE579" s="37">
        <v>80</v>
      </c>
      <c r="CF579" s="37">
        <v>40</v>
      </c>
      <c r="CG579" s="59">
        <v>6720</v>
      </c>
      <c r="CH579" s="37">
        <v>0</v>
      </c>
      <c r="CI579" s="37">
        <v>0</v>
      </c>
      <c r="CJ579" s="37">
        <v>0</v>
      </c>
      <c r="CK579" s="37">
        <v>0</v>
      </c>
      <c r="CL579" s="37">
        <v>0</v>
      </c>
      <c r="CM579" s="37">
        <v>0</v>
      </c>
      <c r="CN579" s="59">
        <v>0</v>
      </c>
      <c r="CO579" s="59">
        <v>6720</v>
      </c>
      <c r="CP579" s="58"/>
      <c r="CQ579" s="3">
        <v>6720</v>
      </c>
    </row>
    <row r="580" spans="1:95" customFormat="1" x14ac:dyDescent="0.2">
      <c r="A580" s="209">
        <v>43448</v>
      </c>
      <c r="B580" s="33" t="s">
        <v>127</v>
      </c>
      <c r="C580" s="33" t="s">
        <v>78</v>
      </c>
      <c r="D580" s="43">
        <v>0</v>
      </c>
      <c r="E580" s="43">
        <v>0</v>
      </c>
      <c r="F580" s="43">
        <v>0</v>
      </c>
      <c r="G580" s="43">
        <v>0</v>
      </c>
      <c r="H580" s="43">
        <v>0</v>
      </c>
      <c r="I580" s="43">
        <v>0</v>
      </c>
      <c r="J580" s="43">
        <v>0</v>
      </c>
      <c r="K580" s="43">
        <v>1</v>
      </c>
      <c r="L580" s="43">
        <v>0</v>
      </c>
      <c r="M580" s="43">
        <v>0</v>
      </c>
      <c r="N580" s="43">
        <v>0</v>
      </c>
      <c r="O580" s="43">
        <v>0</v>
      </c>
      <c r="P580" s="47" t="s">
        <v>45</v>
      </c>
      <c r="R580" s="37">
        <v>0</v>
      </c>
      <c r="S580" s="37">
        <v>0</v>
      </c>
      <c r="T580" s="37">
        <v>2000000</v>
      </c>
      <c r="U580" s="37">
        <v>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7">
        <v>0</v>
      </c>
      <c r="AB580" s="37">
        <v>0</v>
      </c>
      <c r="AC580" s="37">
        <v>0</v>
      </c>
      <c r="AD580" s="37">
        <v>0</v>
      </c>
      <c r="AE580" s="37">
        <v>0</v>
      </c>
      <c r="AF580" s="37">
        <v>0</v>
      </c>
      <c r="AG580" s="59">
        <v>2000000</v>
      </c>
      <c r="AH580" s="37">
        <v>0</v>
      </c>
      <c r="AI580" s="37">
        <v>0</v>
      </c>
      <c r="AJ580" s="37">
        <v>0</v>
      </c>
      <c r="AK580" s="37">
        <v>0</v>
      </c>
      <c r="AL580" s="37">
        <v>0</v>
      </c>
      <c r="AM580" s="37">
        <v>0</v>
      </c>
      <c r="AN580" s="37">
        <v>0</v>
      </c>
      <c r="AO580" s="37">
        <v>0</v>
      </c>
      <c r="AP580" s="37">
        <v>0</v>
      </c>
      <c r="AQ580" s="37">
        <v>0</v>
      </c>
      <c r="AR580" s="37">
        <v>0</v>
      </c>
      <c r="AS580" s="59">
        <v>0</v>
      </c>
      <c r="AT580" s="59">
        <v>2000000</v>
      </c>
      <c r="AU580" s="45"/>
      <c r="AV580" s="37">
        <v>0</v>
      </c>
      <c r="AW580" s="37">
        <v>0</v>
      </c>
      <c r="AX580" s="37">
        <v>0</v>
      </c>
      <c r="AY580" s="37">
        <v>0</v>
      </c>
      <c r="AZ580" s="37">
        <v>0</v>
      </c>
      <c r="BA580" s="37">
        <v>0</v>
      </c>
      <c r="BB580" s="37">
        <v>0</v>
      </c>
      <c r="BC580" s="37">
        <v>0</v>
      </c>
      <c r="BD580" s="37">
        <v>0</v>
      </c>
      <c r="BE580" s="37">
        <v>0</v>
      </c>
      <c r="BF580" s="37">
        <v>0</v>
      </c>
      <c r="BG580" s="37">
        <v>0</v>
      </c>
      <c r="BH580" s="37">
        <v>0</v>
      </c>
      <c r="BI580" s="37">
        <v>0</v>
      </c>
      <c r="BJ580" s="37">
        <v>0</v>
      </c>
      <c r="BK580" s="59">
        <v>0</v>
      </c>
      <c r="BL580" s="37">
        <v>0</v>
      </c>
      <c r="BM580" s="37">
        <v>0</v>
      </c>
      <c r="BN580" s="37">
        <v>0</v>
      </c>
      <c r="BO580" s="37">
        <v>0</v>
      </c>
      <c r="BP580" s="37">
        <v>0</v>
      </c>
      <c r="BQ580" s="37">
        <v>0</v>
      </c>
      <c r="BR580" s="37">
        <v>0</v>
      </c>
      <c r="BS580" s="37">
        <v>0</v>
      </c>
      <c r="BT580" s="37">
        <v>0</v>
      </c>
      <c r="BU580" s="37">
        <v>0</v>
      </c>
      <c r="BV580" s="37">
        <v>0</v>
      </c>
      <c r="BW580" s="59">
        <v>0</v>
      </c>
      <c r="BX580" s="59">
        <v>0</v>
      </c>
      <c r="BZ580" s="37">
        <v>2000000</v>
      </c>
      <c r="CA580" s="37">
        <v>0</v>
      </c>
      <c r="CB580" s="37">
        <v>0</v>
      </c>
      <c r="CC580" s="37">
        <v>0</v>
      </c>
      <c r="CD580" s="37">
        <v>0</v>
      </c>
      <c r="CE580" s="37">
        <v>0</v>
      </c>
      <c r="CF580" s="37">
        <v>0</v>
      </c>
      <c r="CG580" s="59">
        <v>2000000</v>
      </c>
      <c r="CH580" s="37">
        <v>0</v>
      </c>
      <c r="CI580" s="37">
        <v>0</v>
      </c>
      <c r="CJ580" s="37">
        <v>0</v>
      </c>
      <c r="CK580" s="37">
        <v>0</v>
      </c>
      <c r="CL580" s="37">
        <v>0</v>
      </c>
      <c r="CM580" s="37">
        <v>0</v>
      </c>
      <c r="CN580" s="59">
        <v>0</v>
      </c>
      <c r="CO580" s="59">
        <v>2000000</v>
      </c>
      <c r="CP580" s="58"/>
      <c r="CQ580" s="3">
        <v>2000000</v>
      </c>
    </row>
    <row r="581" spans="1:95" customFormat="1" x14ac:dyDescent="0.2">
      <c r="A581" s="209">
        <v>43448</v>
      </c>
      <c r="B581" s="33" t="s">
        <v>77</v>
      </c>
      <c r="C581" s="33" t="s">
        <v>78</v>
      </c>
      <c r="D581" s="43">
        <v>0</v>
      </c>
      <c r="E581" s="43">
        <v>0</v>
      </c>
      <c r="F581" s="43">
        <v>0</v>
      </c>
      <c r="G581" s="43">
        <v>0</v>
      </c>
      <c r="H581" s="43">
        <v>0</v>
      </c>
      <c r="I581" s="43">
        <v>0</v>
      </c>
      <c r="J581" s="43">
        <v>0</v>
      </c>
      <c r="K581" s="43">
        <v>1</v>
      </c>
      <c r="L581" s="43">
        <v>0</v>
      </c>
      <c r="M581" s="43">
        <v>0</v>
      </c>
      <c r="N581" s="43">
        <v>0</v>
      </c>
      <c r="O581" s="43">
        <v>0</v>
      </c>
      <c r="P581" s="47" t="s">
        <v>45</v>
      </c>
      <c r="R581" s="37">
        <v>0</v>
      </c>
      <c r="S581" s="37">
        <v>0</v>
      </c>
      <c r="T581" s="37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v>0</v>
      </c>
      <c r="AD581" s="37">
        <v>0</v>
      </c>
      <c r="AE581" s="37">
        <v>0</v>
      </c>
      <c r="AF581" s="37">
        <v>2000</v>
      </c>
      <c r="AG581" s="59">
        <v>2000</v>
      </c>
      <c r="AH581" s="37">
        <v>1500</v>
      </c>
      <c r="AI581" s="37">
        <v>0</v>
      </c>
      <c r="AJ581" s="37">
        <v>0</v>
      </c>
      <c r="AK581" s="37">
        <v>0</v>
      </c>
      <c r="AL581" s="37">
        <v>1250</v>
      </c>
      <c r="AM581" s="37">
        <v>0</v>
      </c>
      <c r="AN581" s="37">
        <v>300</v>
      </c>
      <c r="AO581" s="37">
        <v>0</v>
      </c>
      <c r="AP581" s="37">
        <v>100</v>
      </c>
      <c r="AQ581" s="37">
        <v>0</v>
      </c>
      <c r="AR581" s="37">
        <v>0</v>
      </c>
      <c r="AS581" s="59">
        <v>3150</v>
      </c>
      <c r="AT581" s="59">
        <v>5150</v>
      </c>
      <c r="AU581" s="45"/>
      <c r="AV581" s="37">
        <v>0</v>
      </c>
      <c r="AW581" s="37">
        <v>0</v>
      </c>
      <c r="AX581" s="37">
        <v>0</v>
      </c>
      <c r="AY581" s="37">
        <v>0</v>
      </c>
      <c r="AZ581" s="37">
        <v>0</v>
      </c>
      <c r="BA581" s="37">
        <v>0</v>
      </c>
      <c r="BB581" s="37">
        <v>0</v>
      </c>
      <c r="BC581" s="37">
        <v>0</v>
      </c>
      <c r="BD581" s="37">
        <v>0</v>
      </c>
      <c r="BE581" s="37">
        <v>0</v>
      </c>
      <c r="BF581" s="37">
        <v>0</v>
      </c>
      <c r="BG581" s="37">
        <v>0</v>
      </c>
      <c r="BH581" s="37">
        <v>0</v>
      </c>
      <c r="BI581" s="37">
        <v>0</v>
      </c>
      <c r="BJ581" s="37">
        <v>0</v>
      </c>
      <c r="BK581" s="59">
        <v>0</v>
      </c>
      <c r="BL581" s="37">
        <v>0</v>
      </c>
      <c r="BM581" s="37">
        <v>0</v>
      </c>
      <c r="BN581" s="37">
        <v>0</v>
      </c>
      <c r="BO581" s="37">
        <v>0</v>
      </c>
      <c r="BP581" s="37">
        <v>0</v>
      </c>
      <c r="BQ581" s="37">
        <v>0</v>
      </c>
      <c r="BR581" s="37">
        <v>0</v>
      </c>
      <c r="BS581" s="37">
        <v>0</v>
      </c>
      <c r="BT581" s="37">
        <v>0</v>
      </c>
      <c r="BU581" s="37">
        <v>0</v>
      </c>
      <c r="BV581" s="37">
        <v>0</v>
      </c>
      <c r="BW581" s="59">
        <v>0</v>
      </c>
      <c r="BX581" s="59">
        <v>0</v>
      </c>
      <c r="BZ581" s="37">
        <v>0</v>
      </c>
      <c r="CA581" s="37">
        <v>0</v>
      </c>
      <c r="CB581" s="37">
        <v>0</v>
      </c>
      <c r="CC581" s="37">
        <v>0</v>
      </c>
      <c r="CD581" s="37">
        <v>0</v>
      </c>
      <c r="CE581" s="37">
        <v>0</v>
      </c>
      <c r="CF581" s="37">
        <v>2000</v>
      </c>
      <c r="CG581" s="59">
        <v>2000</v>
      </c>
      <c r="CH581" s="37">
        <v>1500</v>
      </c>
      <c r="CI581" s="37">
        <v>1250</v>
      </c>
      <c r="CJ581" s="37">
        <v>300</v>
      </c>
      <c r="CK581" s="37">
        <v>100</v>
      </c>
      <c r="CL581" s="37">
        <v>0</v>
      </c>
      <c r="CM581" s="37">
        <v>0</v>
      </c>
      <c r="CN581" s="59">
        <v>3150</v>
      </c>
      <c r="CO581" s="59">
        <v>5150</v>
      </c>
      <c r="CP581" s="58"/>
      <c r="CQ581" s="3">
        <v>5150</v>
      </c>
    </row>
    <row r="582" spans="1:95" customFormat="1" x14ac:dyDescent="0.2">
      <c r="A582" s="209">
        <v>43451</v>
      </c>
      <c r="B582" s="33" t="s">
        <v>55</v>
      </c>
      <c r="C582" s="33" t="s">
        <v>56</v>
      </c>
      <c r="D582" s="43">
        <v>0</v>
      </c>
      <c r="E582" s="43">
        <v>0</v>
      </c>
      <c r="F582" s="43">
        <v>0</v>
      </c>
      <c r="G582" s="43">
        <v>0</v>
      </c>
      <c r="H582" s="43">
        <v>0</v>
      </c>
      <c r="I582" s="43">
        <v>0</v>
      </c>
      <c r="J582" s="43">
        <v>0</v>
      </c>
      <c r="K582" s="43">
        <v>0</v>
      </c>
      <c r="L582" s="43">
        <v>0</v>
      </c>
      <c r="M582" s="43">
        <v>0</v>
      </c>
      <c r="N582" s="43">
        <v>0</v>
      </c>
      <c r="O582" s="43">
        <v>0</v>
      </c>
      <c r="P582" s="47">
        <v>0</v>
      </c>
      <c r="R582" s="37">
        <v>0</v>
      </c>
      <c r="S582" s="37">
        <v>0</v>
      </c>
      <c r="T582" s="37">
        <v>4000</v>
      </c>
      <c r="U582" s="37">
        <v>0</v>
      </c>
      <c r="V582" s="37">
        <v>2000</v>
      </c>
      <c r="W582" s="37">
        <v>0</v>
      </c>
      <c r="X582" s="37">
        <v>0</v>
      </c>
      <c r="Y582" s="37">
        <v>0</v>
      </c>
      <c r="Z582" s="37">
        <v>400</v>
      </c>
      <c r="AA582" s="37">
        <v>0</v>
      </c>
      <c r="AB582" s="37">
        <v>200</v>
      </c>
      <c r="AC582" s="37">
        <v>0</v>
      </c>
      <c r="AD582" s="37">
        <v>80</v>
      </c>
      <c r="AE582" s="37">
        <v>0</v>
      </c>
      <c r="AF582" s="37">
        <v>40</v>
      </c>
      <c r="AG582" s="59">
        <v>6720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59">
        <v>0</v>
      </c>
      <c r="AT582" s="59">
        <v>6720</v>
      </c>
      <c r="AU582" s="45"/>
      <c r="AV582" s="37">
        <v>0</v>
      </c>
      <c r="AW582" s="37">
        <v>0</v>
      </c>
      <c r="AX582" s="37">
        <v>0</v>
      </c>
      <c r="AY582" s="37">
        <v>0</v>
      </c>
      <c r="AZ582" s="37">
        <v>0</v>
      </c>
      <c r="BA582" s="37">
        <v>0</v>
      </c>
      <c r="BB582" s="37">
        <v>0</v>
      </c>
      <c r="BC582" s="37">
        <v>0</v>
      </c>
      <c r="BD582" s="37">
        <v>0</v>
      </c>
      <c r="BE582" s="37">
        <v>0</v>
      </c>
      <c r="BF582" s="37">
        <v>0</v>
      </c>
      <c r="BG582" s="37">
        <v>0</v>
      </c>
      <c r="BH582" s="37">
        <v>0</v>
      </c>
      <c r="BI582" s="37">
        <v>0</v>
      </c>
      <c r="BJ582" s="37">
        <v>0</v>
      </c>
      <c r="BK582" s="59">
        <v>0</v>
      </c>
      <c r="BL582" s="37">
        <v>0</v>
      </c>
      <c r="BM582" s="37">
        <v>0</v>
      </c>
      <c r="BN582" s="37">
        <v>0</v>
      </c>
      <c r="BO582" s="37">
        <v>0</v>
      </c>
      <c r="BP582" s="37">
        <v>0</v>
      </c>
      <c r="BQ582" s="37">
        <v>0</v>
      </c>
      <c r="BR582" s="37">
        <v>0</v>
      </c>
      <c r="BS582" s="37">
        <v>0</v>
      </c>
      <c r="BT582" s="37">
        <v>0</v>
      </c>
      <c r="BU582" s="37">
        <v>0</v>
      </c>
      <c r="BV582" s="37">
        <v>0</v>
      </c>
      <c r="BW582" s="59">
        <v>0</v>
      </c>
      <c r="BX582" s="59">
        <v>0</v>
      </c>
      <c r="BZ582" s="37">
        <v>4000</v>
      </c>
      <c r="CA582" s="37">
        <v>2000</v>
      </c>
      <c r="CB582" s="37">
        <v>0</v>
      </c>
      <c r="CC582" s="37">
        <v>400</v>
      </c>
      <c r="CD582" s="37">
        <v>200</v>
      </c>
      <c r="CE582" s="37">
        <v>80</v>
      </c>
      <c r="CF582" s="37">
        <v>40</v>
      </c>
      <c r="CG582" s="59">
        <v>6720</v>
      </c>
      <c r="CH582" s="37">
        <v>0</v>
      </c>
      <c r="CI582" s="37">
        <v>0</v>
      </c>
      <c r="CJ582" s="37">
        <v>0</v>
      </c>
      <c r="CK582" s="37">
        <v>0</v>
      </c>
      <c r="CL582" s="37">
        <v>0</v>
      </c>
      <c r="CM582" s="37">
        <v>0</v>
      </c>
      <c r="CN582" s="59">
        <v>0</v>
      </c>
      <c r="CO582" s="59">
        <v>6720</v>
      </c>
      <c r="CP582" s="58"/>
      <c r="CQ582" s="3">
        <v>6720</v>
      </c>
    </row>
    <row r="583" spans="1:95" customFormat="1" x14ac:dyDescent="0.2">
      <c r="A583" s="209">
        <v>43451</v>
      </c>
      <c r="B583" s="33" t="s">
        <v>66</v>
      </c>
      <c r="C583" s="33" t="s">
        <v>65</v>
      </c>
      <c r="D583" s="43">
        <v>0</v>
      </c>
      <c r="E583" s="43">
        <v>0</v>
      </c>
      <c r="F583" s="43">
        <v>0</v>
      </c>
      <c r="G583" s="43">
        <v>0</v>
      </c>
      <c r="H583" s="43">
        <v>0</v>
      </c>
      <c r="I583" s="43">
        <v>1</v>
      </c>
      <c r="J583" s="43">
        <v>0</v>
      </c>
      <c r="K583" s="43">
        <v>0</v>
      </c>
      <c r="L583" s="43">
        <v>0</v>
      </c>
      <c r="M583" s="43">
        <v>0</v>
      </c>
      <c r="N583" s="43">
        <v>0</v>
      </c>
      <c r="O583" s="43">
        <v>0</v>
      </c>
      <c r="P583" s="47" t="s">
        <v>45</v>
      </c>
      <c r="R583" s="37">
        <v>0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v>0</v>
      </c>
      <c r="AD583" s="37">
        <v>0</v>
      </c>
      <c r="AE583" s="37">
        <v>0</v>
      </c>
      <c r="AF583" s="37">
        <v>0</v>
      </c>
      <c r="AG583" s="59">
        <v>0</v>
      </c>
      <c r="AH583" s="37">
        <v>3750</v>
      </c>
      <c r="AI583" s="37">
        <v>0</v>
      </c>
      <c r="AJ583" s="37">
        <v>0</v>
      </c>
      <c r="AK583" s="37">
        <v>0</v>
      </c>
      <c r="AL583" s="37">
        <v>2000</v>
      </c>
      <c r="AM583" s="37">
        <v>0</v>
      </c>
      <c r="AN583" s="37">
        <v>0</v>
      </c>
      <c r="AO583" s="37">
        <v>0</v>
      </c>
      <c r="AP583" s="37">
        <v>0</v>
      </c>
      <c r="AQ583" s="37">
        <v>0</v>
      </c>
      <c r="AR583" s="37">
        <v>0</v>
      </c>
      <c r="AS583" s="59">
        <v>5750</v>
      </c>
      <c r="AT583" s="59">
        <v>5750</v>
      </c>
      <c r="AU583" s="45"/>
      <c r="AV583" s="37">
        <v>0</v>
      </c>
      <c r="AW583" s="37">
        <v>0</v>
      </c>
      <c r="AX583" s="37">
        <v>0</v>
      </c>
      <c r="AY583" s="37">
        <v>0</v>
      </c>
      <c r="AZ583" s="37">
        <v>0</v>
      </c>
      <c r="BA583" s="37">
        <v>0</v>
      </c>
      <c r="BB583" s="37">
        <v>0</v>
      </c>
      <c r="BC583" s="37">
        <v>0</v>
      </c>
      <c r="BD583" s="37">
        <v>0</v>
      </c>
      <c r="BE583" s="37">
        <v>0</v>
      </c>
      <c r="BF583" s="37">
        <v>0</v>
      </c>
      <c r="BG583" s="37">
        <v>0</v>
      </c>
      <c r="BH583" s="37">
        <v>0</v>
      </c>
      <c r="BI583" s="37">
        <v>0</v>
      </c>
      <c r="BJ583" s="37">
        <v>0</v>
      </c>
      <c r="BK583" s="59">
        <v>0</v>
      </c>
      <c r="BL583" s="37">
        <v>0</v>
      </c>
      <c r="BM583" s="37">
        <v>0</v>
      </c>
      <c r="BN583" s="37">
        <v>0</v>
      </c>
      <c r="BO583" s="37">
        <v>0</v>
      </c>
      <c r="BP583" s="37">
        <v>0</v>
      </c>
      <c r="BQ583" s="37">
        <v>0</v>
      </c>
      <c r="BR583" s="37">
        <v>0</v>
      </c>
      <c r="BS583" s="37">
        <v>0</v>
      </c>
      <c r="BT583" s="37">
        <v>0</v>
      </c>
      <c r="BU583" s="37">
        <v>0</v>
      </c>
      <c r="BV583" s="37">
        <v>0</v>
      </c>
      <c r="BW583" s="59">
        <v>0</v>
      </c>
      <c r="BX583" s="59">
        <v>0</v>
      </c>
      <c r="BZ583" s="37">
        <v>0</v>
      </c>
      <c r="CA583" s="37">
        <v>0</v>
      </c>
      <c r="CB583" s="37">
        <v>0</v>
      </c>
      <c r="CC583" s="37">
        <v>0</v>
      </c>
      <c r="CD583" s="37">
        <v>0</v>
      </c>
      <c r="CE583" s="37">
        <v>0</v>
      </c>
      <c r="CF583" s="37">
        <v>0</v>
      </c>
      <c r="CG583" s="59">
        <v>0</v>
      </c>
      <c r="CH583" s="37">
        <v>3750</v>
      </c>
      <c r="CI583" s="37">
        <v>2000</v>
      </c>
      <c r="CJ583" s="37">
        <v>0</v>
      </c>
      <c r="CK583" s="37">
        <v>0</v>
      </c>
      <c r="CL583" s="37">
        <v>0</v>
      </c>
      <c r="CM583" s="37">
        <v>0</v>
      </c>
      <c r="CN583" s="59">
        <v>5750</v>
      </c>
      <c r="CO583" s="59">
        <v>5750</v>
      </c>
      <c r="CP583" s="58"/>
      <c r="CQ583" s="3">
        <v>5750</v>
      </c>
    </row>
    <row r="584" spans="1:95" customFormat="1" x14ac:dyDescent="0.2">
      <c r="A584" s="209">
        <v>43452</v>
      </c>
      <c r="B584" s="33" t="s">
        <v>55</v>
      </c>
      <c r="C584" s="33" t="s">
        <v>56</v>
      </c>
      <c r="D584" s="43">
        <v>0</v>
      </c>
      <c r="E584" s="43">
        <v>0</v>
      </c>
      <c r="F584" s="43">
        <v>0</v>
      </c>
      <c r="G584" s="43">
        <v>0</v>
      </c>
      <c r="H584" s="43">
        <v>0</v>
      </c>
      <c r="I584" s="43">
        <v>0</v>
      </c>
      <c r="J584" s="43">
        <v>0</v>
      </c>
      <c r="K584" s="43">
        <v>0</v>
      </c>
      <c r="L584" s="43">
        <v>0</v>
      </c>
      <c r="M584" s="43">
        <v>0</v>
      </c>
      <c r="N584" s="43">
        <v>0</v>
      </c>
      <c r="O584" s="43">
        <v>0</v>
      </c>
      <c r="P584" s="47">
        <v>0</v>
      </c>
      <c r="R584" s="37">
        <v>0</v>
      </c>
      <c r="S584" s="37">
        <v>0</v>
      </c>
      <c r="T584" s="37">
        <v>4000</v>
      </c>
      <c r="U584" s="37">
        <v>0</v>
      </c>
      <c r="V584" s="37">
        <v>2000</v>
      </c>
      <c r="W584" s="37">
        <v>0</v>
      </c>
      <c r="X584" s="37">
        <v>0</v>
      </c>
      <c r="Y584" s="37">
        <v>0</v>
      </c>
      <c r="Z584" s="37">
        <v>400</v>
      </c>
      <c r="AA584" s="37">
        <v>0</v>
      </c>
      <c r="AB584" s="37">
        <v>200</v>
      </c>
      <c r="AC584" s="37">
        <v>0</v>
      </c>
      <c r="AD584" s="37">
        <v>80</v>
      </c>
      <c r="AE584" s="37">
        <v>0</v>
      </c>
      <c r="AF584" s="37">
        <v>40</v>
      </c>
      <c r="AG584" s="59">
        <v>6720</v>
      </c>
      <c r="AH584" s="37">
        <v>0</v>
      </c>
      <c r="AI584" s="37">
        <v>0</v>
      </c>
      <c r="AJ584" s="37">
        <v>0</v>
      </c>
      <c r="AK584" s="37">
        <v>0</v>
      </c>
      <c r="AL584" s="37">
        <v>5</v>
      </c>
      <c r="AM584" s="37">
        <v>0</v>
      </c>
      <c r="AN584" s="37">
        <v>4</v>
      </c>
      <c r="AO584" s="37">
        <v>0</v>
      </c>
      <c r="AP584" s="37">
        <v>2</v>
      </c>
      <c r="AQ584" s="37">
        <v>0</v>
      </c>
      <c r="AR584" s="37">
        <v>0</v>
      </c>
      <c r="AS584" s="59">
        <v>11</v>
      </c>
      <c r="AT584" s="59">
        <v>6731</v>
      </c>
      <c r="AU584" s="45"/>
      <c r="AV584" s="37">
        <v>0</v>
      </c>
      <c r="AW584" s="37">
        <v>0</v>
      </c>
      <c r="AX584" s="37">
        <v>0</v>
      </c>
      <c r="AY584" s="37">
        <v>0</v>
      </c>
      <c r="AZ584" s="37">
        <v>0</v>
      </c>
      <c r="BA584" s="37">
        <v>0</v>
      </c>
      <c r="BB584" s="37">
        <v>0</v>
      </c>
      <c r="BC584" s="37">
        <v>0</v>
      </c>
      <c r="BD584" s="37">
        <v>0</v>
      </c>
      <c r="BE584" s="37">
        <v>0</v>
      </c>
      <c r="BF584" s="37">
        <v>0</v>
      </c>
      <c r="BG584" s="37">
        <v>0</v>
      </c>
      <c r="BH584" s="37">
        <v>0</v>
      </c>
      <c r="BI584" s="37">
        <v>0</v>
      </c>
      <c r="BJ584" s="37">
        <v>0</v>
      </c>
      <c r="BK584" s="59">
        <v>0</v>
      </c>
      <c r="BL584" s="37">
        <v>0</v>
      </c>
      <c r="BM584" s="37">
        <v>0</v>
      </c>
      <c r="BN584" s="37">
        <v>0</v>
      </c>
      <c r="BO584" s="37">
        <v>0</v>
      </c>
      <c r="BP584" s="37">
        <v>0</v>
      </c>
      <c r="BQ584" s="37">
        <v>0</v>
      </c>
      <c r="BR584" s="37">
        <v>0</v>
      </c>
      <c r="BS584" s="37">
        <v>0</v>
      </c>
      <c r="BT584" s="37">
        <v>0</v>
      </c>
      <c r="BU584" s="37">
        <v>0</v>
      </c>
      <c r="BV584" s="37">
        <v>0</v>
      </c>
      <c r="BW584" s="59">
        <v>0</v>
      </c>
      <c r="BX584" s="59">
        <v>0</v>
      </c>
      <c r="BZ584" s="37">
        <v>4000</v>
      </c>
      <c r="CA584" s="37">
        <v>2000</v>
      </c>
      <c r="CB584" s="37">
        <v>0</v>
      </c>
      <c r="CC584" s="37">
        <v>400</v>
      </c>
      <c r="CD584" s="37">
        <v>200</v>
      </c>
      <c r="CE584" s="37">
        <v>80</v>
      </c>
      <c r="CF584" s="37">
        <v>40</v>
      </c>
      <c r="CG584" s="59">
        <v>6720</v>
      </c>
      <c r="CH584" s="37">
        <v>0</v>
      </c>
      <c r="CI584" s="37">
        <v>5</v>
      </c>
      <c r="CJ584" s="37">
        <v>4</v>
      </c>
      <c r="CK584" s="37">
        <v>2</v>
      </c>
      <c r="CL584" s="37">
        <v>0</v>
      </c>
      <c r="CM584" s="37">
        <v>0</v>
      </c>
      <c r="CN584" s="59">
        <v>11</v>
      </c>
      <c r="CO584" s="59">
        <v>6731</v>
      </c>
      <c r="CP584" s="58"/>
      <c r="CQ584" s="3">
        <v>6731</v>
      </c>
    </row>
    <row r="585" spans="1:95" customFormat="1" x14ac:dyDescent="0.2">
      <c r="A585" s="209">
        <v>43452</v>
      </c>
      <c r="B585" s="33" t="s">
        <v>85</v>
      </c>
      <c r="C585" s="33" t="s">
        <v>76</v>
      </c>
      <c r="D585" s="43">
        <v>0</v>
      </c>
      <c r="E585" s="43">
        <v>0</v>
      </c>
      <c r="F585" s="43">
        <v>1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  <c r="P585" s="47" t="s">
        <v>67</v>
      </c>
      <c r="R585" s="37">
        <v>0</v>
      </c>
      <c r="S585" s="37">
        <v>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v>0</v>
      </c>
      <c r="AD585" s="37">
        <v>0</v>
      </c>
      <c r="AE585" s="37">
        <v>0</v>
      </c>
      <c r="AF585" s="37">
        <v>0</v>
      </c>
      <c r="AG585" s="59">
        <v>0</v>
      </c>
      <c r="AH585" s="37">
        <v>0</v>
      </c>
      <c r="AI585" s="37">
        <v>0</v>
      </c>
      <c r="AJ585" s="37">
        <v>0</v>
      </c>
      <c r="AK585" s="37">
        <v>0</v>
      </c>
      <c r="AL585" s="37">
        <v>2000</v>
      </c>
      <c r="AM585" s="37">
        <v>0</v>
      </c>
      <c r="AN585" s="37">
        <v>0</v>
      </c>
      <c r="AO585" s="37">
        <v>0</v>
      </c>
      <c r="AP585" s="37">
        <v>0</v>
      </c>
      <c r="AQ585" s="37">
        <v>0</v>
      </c>
      <c r="AR585" s="37">
        <v>0</v>
      </c>
      <c r="AS585" s="59">
        <v>2000</v>
      </c>
      <c r="AT585" s="59">
        <v>2000</v>
      </c>
      <c r="AU585" s="45"/>
      <c r="AV585" s="37">
        <v>0</v>
      </c>
      <c r="AW585" s="37">
        <v>0</v>
      </c>
      <c r="AX585" s="37">
        <v>0</v>
      </c>
      <c r="AY585" s="37">
        <v>0</v>
      </c>
      <c r="AZ585" s="37">
        <v>0</v>
      </c>
      <c r="BA585" s="37">
        <v>0</v>
      </c>
      <c r="BB585" s="37">
        <v>0</v>
      </c>
      <c r="BC585" s="37">
        <v>0</v>
      </c>
      <c r="BD585" s="37">
        <v>0</v>
      </c>
      <c r="BE585" s="37">
        <v>0</v>
      </c>
      <c r="BF585" s="37">
        <v>0</v>
      </c>
      <c r="BG585" s="37">
        <v>0</v>
      </c>
      <c r="BH585" s="37">
        <v>0</v>
      </c>
      <c r="BI585" s="37">
        <v>0</v>
      </c>
      <c r="BJ585" s="37">
        <v>0</v>
      </c>
      <c r="BK585" s="59">
        <v>0</v>
      </c>
      <c r="BL585" s="37">
        <v>0</v>
      </c>
      <c r="BM585" s="37">
        <v>0</v>
      </c>
      <c r="BN585" s="37">
        <v>0</v>
      </c>
      <c r="BO585" s="37">
        <v>0</v>
      </c>
      <c r="BP585" s="37">
        <v>0</v>
      </c>
      <c r="BQ585" s="37">
        <v>0</v>
      </c>
      <c r="BR585" s="37">
        <v>0</v>
      </c>
      <c r="BS585" s="37">
        <v>0</v>
      </c>
      <c r="BT585" s="37">
        <v>0</v>
      </c>
      <c r="BU585" s="37">
        <v>0</v>
      </c>
      <c r="BV585" s="37">
        <v>0</v>
      </c>
      <c r="BW585" s="59">
        <v>0</v>
      </c>
      <c r="BX585" s="59">
        <v>0</v>
      </c>
      <c r="BZ585" s="37">
        <v>0</v>
      </c>
      <c r="CA585" s="37">
        <v>0</v>
      </c>
      <c r="CB585" s="37">
        <v>0</v>
      </c>
      <c r="CC585" s="37">
        <v>0</v>
      </c>
      <c r="CD585" s="37">
        <v>0</v>
      </c>
      <c r="CE585" s="37">
        <v>0</v>
      </c>
      <c r="CF585" s="37">
        <v>0</v>
      </c>
      <c r="CG585" s="59">
        <v>0</v>
      </c>
      <c r="CH585" s="37">
        <v>0</v>
      </c>
      <c r="CI585" s="37">
        <v>2000</v>
      </c>
      <c r="CJ585" s="37">
        <v>0</v>
      </c>
      <c r="CK585" s="37">
        <v>0</v>
      </c>
      <c r="CL585" s="37">
        <v>0</v>
      </c>
      <c r="CM585" s="37">
        <v>0</v>
      </c>
      <c r="CN585" s="59">
        <v>2000</v>
      </c>
      <c r="CO585" s="59">
        <v>2000</v>
      </c>
      <c r="CP585" s="58"/>
      <c r="CQ585" s="3">
        <v>2000</v>
      </c>
    </row>
    <row r="586" spans="1:95" customFormat="1" x14ac:dyDescent="0.2">
      <c r="A586" s="209">
        <v>43452</v>
      </c>
      <c r="B586" s="33" t="s">
        <v>53</v>
      </c>
      <c r="C586" s="33" t="s">
        <v>54</v>
      </c>
      <c r="D586" s="43">
        <v>1</v>
      </c>
      <c r="E586" s="43">
        <v>0</v>
      </c>
      <c r="F586" s="43">
        <v>0</v>
      </c>
      <c r="G586" s="43">
        <v>0</v>
      </c>
      <c r="H586" s="43">
        <v>0</v>
      </c>
      <c r="I586" s="43">
        <v>0</v>
      </c>
      <c r="J586" s="43">
        <v>0</v>
      </c>
      <c r="K586" s="43">
        <v>0</v>
      </c>
      <c r="L586" s="43">
        <v>0</v>
      </c>
      <c r="M586" s="43">
        <v>0</v>
      </c>
      <c r="N586" s="43">
        <v>0</v>
      </c>
      <c r="O586" s="43">
        <v>0</v>
      </c>
      <c r="P586" s="47" t="s">
        <v>45</v>
      </c>
      <c r="R586" s="37">
        <v>0</v>
      </c>
      <c r="S586" s="37">
        <v>0</v>
      </c>
      <c r="T586" s="37">
        <v>0</v>
      </c>
      <c r="U586" s="37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0</v>
      </c>
      <c r="AB586" s="37">
        <v>0</v>
      </c>
      <c r="AC586" s="37">
        <v>0</v>
      </c>
      <c r="AD586" s="37">
        <v>0</v>
      </c>
      <c r="AE586" s="37">
        <v>0</v>
      </c>
      <c r="AF586" s="37">
        <v>0</v>
      </c>
      <c r="AG586" s="59">
        <v>0</v>
      </c>
      <c r="AH586" s="37">
        <v>0</v>
      </c>
      <c r="AI586" s="37">
        <v>0</v>
      </c>
      <c r="AJ586" s="37">
        <v>0</v>
      </c>
      <c r="AK586" s="37">
        <v>0</v>
      </c>
      <c r="AL586" s="37">
        <v>0</v>
      </c>
      <c r="AM586" s="37">
        <v>0</v>
      </c>
      <c r="AN586" s="37">
        <v>1000</v>
      </c>
      <c r="AO586" s="37">
        <v>0</v>
      </c>
      <c r="AP586" s="37">
        <v>300</v>
      </c>
      <c r="AQ586" s="37">
        <v>0</v>
      </c>
      <c r="AR586" s="37">
        <v>0</v>
      </c>
      <c r="AS586" s="59">
        <v>1300</v>
      </c>
      <c r="AT586" s="59">
        <v>1300</v>
      </c>
      <c r="AU586" s="45"/>
      <c r="AV586" s="37">
        <v>0</v>
      </c>
      <c r="AW586" s="37">
        <v>0</v>
      </c>
      <c r="AX586" s="37">
        <v>0</v>
      </c>
      <c r="AY586" s="37">
        <v>0</v>
      </c>
      <c r="AZ586" s="37">
        <v>0</v>
      </c>
      <c r="BA586" s="37">
        <v>0</v>
      </c>
      <c r="BB586" s="37">
        <v>0</v>
      </c>
      <c r="BC586" s="37">
        <v>0</v>
      </c>
      <c r="BD586" s="37">
        <v>0</v>
      </c>
      <c r="BE586" s="37">
        <v>0</v>
      </c>
      <c r="BF586" s="37">
        <v>0</v>
      </c>
      <c r="BG586" s="37">
        <v>0</v>
      </c>
      <c r="BH586" s="37">
        <v>0</v>
      </c>
      <c r="BI586" s="37">
        <v>0</v>
      </c>
      <c r="BJ586" s="37">
        <v>0</v>
      </c>
      <c r="BK586" s="59">
        <v>0</v>
      </c>
      <c r="BL586" s="37">
        <v>0</v>
      </c>
      <c r="BM586" s="37">
        <v>0</v>
      </c>
      <c r="BN586" s="37">
        <v>0</v>
      </c>
      <c r="BO586" s="37">
        <v>0</v>
      </c>
      <c r="BP586" s="37">
        <v>0</v>
      </c>
      <c r="BQ586" s="37">
        <v>0</v>
      </c>
      <c r="BR586" s="37">
        <v>0</v>
      </c>
      <c r="BS586" s="37">
        <v>0</v>
      </c>
      <c r="BT586" s="37">
        <v>0</v>
      </c>
      <c r="BU586" s="37">
        <v>0</v>
      </c>
      <c r="BV586" s="37">
        <v>0</v>
      </c>
      <c r="BW586" s="59">
        <v>0</v>
      </c>
      <c r="BX586" s="59">
        <v>0</v>
      </c>
      <c r="BZ586" s="37">
        <v>0</v>
      </c>
      <c r="CA586" s="37">
        <v>0</v>
      </c>
      <c r="CB586" s="37">
        <v>0</v>
      </c>
      <c r="CC586" s="37">
        <v>0</v>
      </c>
      <c r="CD586" s="37">
        <v>0</v>
      </c>
      <c r="CE586" s="37">
        <v>0</v>
      </c>
      <c r="CF586" s="37">
        <v>0</v>
      </c>
      <c r="CG586" s="59">
        <v>0</v>
      </c>
      <c r="CH586" s="37">
        <v>0</v>
      </c>
      <c r="CI586" s="37">
        <v>0</v>
      </c>
      <c r="CJ586" s="37">
        <v>1000</v>
      </c>
      <c r="CK586" s="37">
        <v>300</v>
      </c>
      <c r="CL586" s="37">
        <v>0</v>
      </c>
      <c r="CM586" s="37">
        <v>0</v>
      </c>
      <c r="CN586" s="59">
        <v>1300</v>
      </c>
      <c r="CO586" s="59">
        <v>1300</v>
      </c>
      <c r="CP586" s="58"/>
      <c r="CQ586" s="3">
        <v>1300</v>
      </c>
    </row>
    <row r="587" spans="1:95" customFormat="1" x14ac:dyDescent="0.2">
      <c r="A587" s="209">
        <v>43453</v>
      </c>
      <c r="B587" s="33" t="s">
        <v>55</v>
      </c>
      <c r="C587" s="33" t="s">
        <v>56</v>
      </c>
      <c r="D587" s="43">
        <v>0</v>
      </c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  <c r="P587" s="47">
        <v>0</v>
      </c>
      <c r="R587" s="37">
        <v>0</v>
      </c>
      <c r="S587" s="37">
        <v>0</v>
      </c>
      <c r="T587" s="37">
        <v>4000</v>
      </c>
      <c r="U587" s="37">
        <v>0</v>
      </c>
      <c r="V587" s="37">
        <v>2000</v>
      </c>
      <c r="W587" s="37">
        <v>0</v>
      </c>
      <c r="X587" s="37">
        <v>0</v>
      </c>
      <c r="Y587" s="37">
        <v>0</v>
      </c>
      <c r="Z587" s="37">
        <v>400</v>
      </c>
      <c r="AA587" s="37">
        <v>0</v>
      </c>
      <c r="AB587" s="37">
        <v>200</v>
      </c>
      <c r="AC587" s="37">
        <v>0</v>
      </c>
      <c r="AD587" s="37">
        <v>80</v>
      </c>
      <c r="AE587" s="37">
        <v>0</v>
      </c>
      <c r="AF587" s="37">
        <v>40</v>
      </c>
      <c r="AG587" s="59">
        <v>6720</v>
      </c>
      <c r="AH587" s="37">
        <v>0</v>
      </c>
      <c r="AI587" s="37">
        <v>0</v>
      </c>
      <c r="AJ587" s="37">
        <v>0</v>
      </c>
      <c r="AK587" s="37">
        <v>0</v>
      </c>
      <c r="AL587" s="37">
        <v>0</v>
      </c>
      <c r="AM587" s="37">
        <v>0</v>
      </c>
      <c r="AN587" s="37">
        <v>0</v>
      </c>
      <c r="AO587" s="37">
        <v>0</v>
      </c>
      <c r="AP587" s="37">
        <v>0</v>
      </c>
      <c r="AQ587" s="37">
        <v>0</v>
      </c>
      <c r="AR587" s="37">
        <v>0</v>
      </c>
      <c r="AS587" s="59">
        <v>0</v>
      </c>
      <c r="AT587" s="59">
        <v>6720</v>
      </c>
      <c r="AU587" s="45"/>
      <c r="AV587" s="37">
        <v>0</v>
      </c>
      <c r="AW587" s="37">
        <v>0</v>
      </c>
      <c r="AX587" s="37">
        <v>0</v>
      </c>
      <c r="AY587" s="37">
        <v>0</v>
      </c>
      <c r="AZ587" s="37">
        <v>0</v>
      </c>
      <c r="BA587" s="37">
        <v>0</v>
      </c>
      <c r="BB587" s="37">
        <v>0</v>
      </c>
      <c r="BC587" s="37">
        <v>0</v>
      </c>
      <c r="BD587" s="37">
        <v>0</v>
      </c>
      <c r="BE587" s="37">
        <v>0</v>
      </c>
      <c r="BF587" s="37">
        <v>0</v>
      </c>
      <c r="BG587" s="37">
        <v>0</v>
      </c>
      <c r="BH587" s="37">
        <v>0</v>
      </c>
      <c r="BI587" s="37">
        <v>0</v>
      </c>
      <c r="BJ587" s="37">
        <v>0</v>
      </c>
      <c r="BK587" s="59">
        <v>0</v>
      </c>
      <c r="BL587" s="37">
        <v>0</v>
      </c>
      <c r="BM587" s="37">
        <v>0</v>
      </c>
      <c r="BN587" s="37">
        <v>0</v>
      </c>
      <c r="BO587" s="37">
        <v>0</v>
      </c>
      <c r="BP587" s="37">
        <v>0</v>
      </c>
      <c r="BQ587" s="37">
        <v>0</v>
      </c>
      <c r="BR587" s="37">
        <v>0</v>
      </c>
      <c r="BS587" s="37">
        <v>0</v>
      </c>
      <c r="BT587" s="37">
        <v>0</v>
      </c>
      <c r="BU587" s="37">
        <v>0</v>
      </c>
      <c r="BV587" s="37">
        <v>0</v>
      </c>
      <c r="BW587" s="59">
        <v>0</v>
      </c>
      <c r="BX587" s="59">
        <v>0</v>
      </c>
      <c r="BZ587" s="37">
        <v>4000</v>
      </c>
      <c r="CA587" s="37">
        <v>2000</v>
      </c>
      <c r="CB587" s="37">
        <v>0</v>
      </c>
      <c r="CC587" s="37">
        <v>400</v>
      </c>
      <c r="CD587" s="37">
        <v>200</v>
      </c>
      <c r="CE587" s="37">
        <v>80</v>
      </c>
      <c r="CF587" s="37">
        <v>40</v>
      </c>
      <c r="CG587" s="59">
        <v>6720</v>
      </c>
      <c r="CH587" s="37">
        <v>0</v>
      </c>
      <c r="CI587" s="37">
        <v>0</v>
      </c>
      <c r="CJ587" s="37">
        <v>0</v>
      </c>
      <c r="CK587" s="37">
        <v>0</v>
      </c>
      <c r="CL587" s="37">
        <v>0</v>
      </c>
      <c r="CM587" s="37">
        <v>0</v>
      </c>
      <c r="CN587" s="59">
        <v>0</v>
      </c>
      <c r="CO587" s="59">
        <v>6720</v>
      </c>
      <c r="CP587" s="58"/>
      <c r="CQ587" s="3">
        <v>6720</v>
      </c>
    </row>
    <row r="588" spans="1:95" customFormat="1" x14ac:dyDescent="0.2">
      <c r="A588" s="209">
        <v>43452</v>
      </c>
      <c r="B588" s="33" t="s">
        <v>155</v>
      </c>
      <c r="C588" s="33" t="s">
        <v>156</v>
      </c>
      <c r="D588" s="43">
        <v>0</v>
      </c>
      <c r="E588" s="43">
        <v>0</v>
      </c>
      <c r="F588" s="43">
        <v>0</v>
      </c>
      <c r="G588" s="43">
        <v>0</v>
      </c>
      <c r="H588" s="43">
        <v>0</v>
      </c>
      <c r="I588" s="43">
        <v>0</v>
      </c>
      <c r="J588" s="43">
        <v>0</v>
      </c>
      <c r="K588" s="43">
        <v>0</v>
      </c>
      <c r="L588" s="43">
        <v>0</v>
      </c>
      <c r="M588" s="43">
        <v>0</v>
      </c>
      <c r="N588" s="43">
        <v>0</v>
      </c>
      <c r="O588" s="43">
        <v>0</v>
      </c>
      <c r="P588" s="47">
        <v>0</v>
      </c>
      <c r="R588" s="37">
        <v>0</v>
      </c>
      <c r="S588" s="37">
        <v>0</v>
      </c>
      <c r="T588" s="37">
        <v>0</v>
      </c>
      <c r="U588" s="37">
        <v>800000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7">
        <v>0</v>
      </c>
      <c r="AB588" s="37">
        <v>0</v>
      </c>
      <c r="AC588" s="37">
        <v>0</v>
      </c>
      <c r="AD588" s="37">
        <v>0</v>
      </c>
      <c r="AE588" s="37">
        <v>0</v>
      </c>
      <c r="AF588" s="37">
        <v>0</v>
      </c>
      <c r="AG588" s="59">
        <v>800000</v>
      </c>
      <c r="AH588" s="37">
        <v>0</v>
      </c>
      <c r="AI588" s="37">
        <v>0</v>
      </c>
      <c r="AJ588" s="37">
        <v>0</v>
      </c>
      <c r="AK588" s="37">
        <v>0</v>
      </c>
      <c r="AL588" s="37">
        <v>0</v>
      </c>
      <c r="AM588" s="37">
        <v>0</v>
      </c>
      <c r="AN588" s="37">
        <v>0</v>
      </c>
      <c r="AO588" s="37">
        <v>0</v>
      </c>
      <c r="AP588" s="37">
        <v>0</v>
      </c>
      <c r="AQ588" s="37">
        <v>0</v>
      </c>
      <c r="AR588" s="37">
        <v>0</v>
      </c>
      <c r="AS588" s="59">
        <v>0</v>
      </c>
      <c r="AT588" s="59">
        <v>800000</v>
      </c>
      <c r="AU588" s="45"/>
      <c r="AV588" s="37">
        <v>0</v>
      </c>
      <c r="AW588" s="37">
        <v>0</v>
      </c>
      <c r="AX588" s="37">
        <v>0</v>
      </c>
      <c r="AY588" s="37">
        <v>0</v>
      </c>
      <c r="AZ588" s="37">
        <v>0</v>
      </c>
      <c r="BA588" s="37">
        <v>0</v>
      </c>
      <c r="BB588" s="37">
        <v>0</v>
      </c>
      <c r="BC588" s="37">
        <v>0</v>
      </c>
      <c r="BD588" s="37">
        <v>0</v>
      </c>
      <c r="BE588" s="37">
        <v>0</v>
      </c>
      <c r="BF588" s="37">
        <v>0</v>
      </c>
      <c r="BG588" s="37">
        <v>0</v>
      </c>
      <c r="BH588" s="37">
        <v>0</v>
      </c>
      <c r="BI588" s="37">
        <v>0</v>
      </c>
      <c r="BJ588" s="37">
        <v>0</v>
      </c>
      <c r="BK588" s="59">
        <v>0</v>
      </c>
      <c r="BL588" s="37">
        <v>0</v>
      </c>
      <c r="BM588" s="37">
        <v>0</v>
      </c>
      <c r="BN588" s="37">
        <v>0</v>
      </c>
      <c r="BO588" s="37">
        <v>0</v>
      </c>
      <c r="BP588" s="37">
        <v>0</v>
      </c>
      <c r="BQ588" s="37">
        <v>0</v>
      </c>
      <c r="BR588" s="37">
        <v>0</v>
      </c>
      <c r="BS588" s="37">
        <v>0</v>
      </c>
      <c r="BT588" s="37">
        <v>0</v>
      </c>
      <c r="BU588" s="37">
        <v>0</v>
      </c>
      <c r="BV588" s="37">
        <v>0</v>
      </c>
      <c r="BW588" s="59">
        <v>0</v>
      </c>
      <c r="BX588" s="59">
        <v>0</v>
      </c>
      <c r="BZ588" s="37">
        <v>0</v>
      </c>
      <c r="CA588" s="37">
        <v>800000</v>
      </c>
      <c r="CB588" s="37">
        <v>0</v>
      </c>
      <c r="CC588" s="37">
        <v>0</v>
      </c>
      <c r="CD588" s="37">
        <v>0</v>
      </c>
      <c r="CE588" s="37">
        <v>0</v>
      </c>
      <c r="CF588" s="37">
        <v>0</v>
      </c>
      <c r="CG588" s="59">
        <v>800000</v>
      </c>
      <c r="CH588" s="37">
        <v>0</v>
      </c>
      <c r="CI588" s="37">
        <v>0</v>
      </c>
      <c r="CJ588" s="37">
        <v>0</v>
      </c>
      <c r="CK588" s="37">
        <v>0</v>
      </c>
      <c r="CL588" s="37">
        <v>0</v>
      </c>
      <c r="CM588" s="37">
        <v>0</v>
      </c>
      <c r="CN588" s="59">
        <v>0</v>
      </c>
      <c r="CO588" s="59">
        <v>800000</v>
      </c>
      <c r="CP588" s="58"/>
      <c r="CQ588" s="3">
        <v>800000</v>
      </c>
    </row>
    <row r="589" spans="1:95" customFormat="1" x14ac:dyDescent="0.2">
      <c r="A589" s="209">
        <v>43453</v>
      </c>
      <c r="B589" s="33" t="s">
        <v>155</v>
      </c>
      <c r="C589" s="33" t="s">
        <v>156</v>
      </c>
      <c r="D589" s="43">
        <v>0</v>
      </c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0</v>
      </c>
      <c r="O589" s="43">
        <v>0</v>
      </c>
      <c r="P589" s="47">
        <v>0</v>
      </c>
      <c r="R589" s="37">
        <v>0</v>
      </c>
      <c r="S589" s="37">
        <v>0</v>
      </c>
      <c r="T589" s="37">
        <v>0</v>
      </c>
      <c r="U589" s="37">
        <v>600000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v>0</v>
      </c>
      <c r="AD589" s="37">
        <v>0</v>
      </c>
      <c r="AE589" s="37">
        <v>0</v>
      </c>
      <c r="AF589" s="37">
        <v>0</v>
      </c>
      <c r="AG589" s="59">
        <v>600000</v>
      </c>
      <c r="AH589" s="37">
        <v>0</v>
      </c>
      <c r="AI589" s="37">
        <v>0</v>
      </c>
      <c r="AJ589" s="37">
        <v>0</v>
      </c>
      <c r="AK589" s="37">
        <v>0</v>
      </c>
      <c r="AL589" s="37">
        <v>0</v>
      </c>
      <c r="AM589" s="37">
        <v>0</v>
      </c>
      <c r="AN589" s="37">
        <v>0</v>
      </c>
      <c r="AO589" s="37">
        <v>0</v>
      </c>
      <c r="AP589" s="37">
        <v>0</v>
      </c>
      <c r="AQ589" s="37">
        <v>0</v>
      </c>
      <c r="AR589" s="37">
        <v>0</v>
      </c>
      <c r="AS589" s="59">
        <v>0</v>
      </c>
      <c r="AT589" s="59">
        <v>600000</v>
      </c>
      <c r="AU589" s="45"/>
      <c r="AV589" s="37">
        <v>0</v>
      </c>
      <c r="AW589" s="37">
        <v>0</v>
      </c>
      <c r="AX589" s="37">
        <v>0</v>
      </c>
      <c r="AY589" s="37">
        <v>0</v>
      </c>
      <c r="AZ589" s="37">
        <v>0</v>
      </c>
      <c r="BA589" s="37">
        <v>0</v>
      </c>
      <c r="BB589" s="37">
        <v>0</v>
      </c>
      <c r="BC589" s="37">
        <v>0</v>
      </c>
      <c r="BD589" s="37">
        <v>0</v>
      </c>
      <c r="BE589" s="37">
        <v>0</v>
      </c>
      <c r="BF589" s="37">
        <v>0</v>
      </c>
      <c r="BG589" s="37">
        <v>0</v>
      </c>
      <c r="BH589" s="37">
        <v>0</v>
      </c>
      <c r="BI589" s="37">
        <v>0</v>
      </c>
      <c r="BJ589" s="37">
        <v>0</v>
      </c>
      <c r="BK589" s="59">
        <v>0</v>
      </c>
      <c r="BL589" s="37">
        <v>0</v>
      </c>
      <c r="BM589" s="37">
        <v>0</v>
      </c>
      <c r="BN589" s="37">
        <v>0</v>
      </c>
      <c r="BO589" s="37">
        <v>0</v>
      </c>
      <c r="BP589" s="37">
        <v>0</v>
      </c>
      <c r="BQ589" s="37">
        <v>0</v>
      </c>
      <c r="BR589" s="37">
        <v>0</v>
      </c>
      <c r="BS589" s="37">
        <v>0</v>
      </c>
      <c r="BT589" s="37">
        <v>0</v>
      </c>
      <c r="BU589" s="37">
        <v>0</v>
      </c>
      <c r="BV589" s="37">
        <v>0</v>
      </c>
      <c r="BW589" s="59">
        <v>0</v>
      </c>
      <c r="BX589" s="59">
        <v>0</v>
      </c>
      <c r="BZ589" s="37">
        <v>0</v>
      </c>
      <c r="CA589" s="37">
        <v>600000</v>
      </c>
      <c r="CB589" s="37">
        <v>0</v>
      </c>
      <c r="CC589" s="37">
        <v>0</v>
      </c>
      <c r="CD589" s="37">
        <v>0</v>
      </c>
      <c r="CE589" s="37">
        <v>0</v>
      </c>
      <c r="CF589" s="37">
        <v>0</v>
      </c>
      <c r="CG589" s="59">
        <v>600000</v>
      </c>
      <c r="CH589" s="37">
        <v>0</v>
      </c>
      <c r="CI589" s="37">
        <v>0</v>
      </c>
      <c r="CJ589" s="37">
        <v>0</v>
      </c>
      <c r="CK589" s="37">
        <v>0</v>
      </c>
      <c r="CL589" s="37">
        <v>0</v>
      </c>
      <c r="CM589" s="37">
        <v>0</v>
      </c>
      <c r="CN589" s="59">
        <v>0</v>
      </c>
      <c r="CO589" s="59">
        <v>600000</v>
      </c>
      <c r="CP589" s="58"/>
      <c r="CQ589" s="3">
        <v>600000</v>
      </c>
    </row>
    <row r="590" spans="1:95" customFormat="1" x14ac:dyDescent="0.2">
      <c r="A590" s="209">
        <v>43454</v>
      </c>
      <c r="B590" s="33" t="s">
        <v>55</v>
      </c>
      <c r="C590" s="33" t="s">
        <v>56</v>
      </c>
      <c r="D590" s="43">
        <v>0</v>
      </c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43">
        <v>0</v>
      </c>
      <c r="M590" s="43">
        <v>0</v>
      </c>
      <c r="N590" s="43">
        <v>0</v>
      </c>
      <c r="O590" s="43">
        <v>0</v>
      </c>
      <c r="P590" s="47">
        <v>0</v>
      </c>
      <c r="R590" s="37">
        <v>0</v>
      </c>
      <c r="S590" s="37">
        <v>0</v>
      </c>
      <c r="T590" s="37">
        <v>4000</v>
      </c>
      <c r="U590" s="37">
        <v>0</v>
      </c>
      <c r="V590" s="37">
        <v>2000</v>
      </c>
      <c r="W590" s="37">
        <v>0</v>
      </c>
      <c r="X590" s="37">
        <v>0</v>
      </c>
      <c r="Y590" s="37">
        <v>0</v>
      </c>
      <c r="Z590" s="37">
        <v>400</v>
      </c>
      <c r="AA590" s="37">
        <v>0</v>
      </c>
      <c r="AB590" s="37">
        <v>200</v>
      </c>
      <c r="AC590" s="37">
        <v>0</v>
      </c>
      <c r="AD590" s="37">
        <v>80</v>
      </c>
      <c r="AE590" s="37">
        <v>0</v>
      </c>
      <c r="AF590" s="37">
        <v>40</v>
      </c>
      <c r="AG590" s="59">
        <v>6720</v>
      </c>
      <c r="AH590" s="37">
        <v>0</v>
      </c>
      <c r="AI590" s="37">
        <v>0</v>
      </c>
      <c r="AJ590" s="37">
        <v>0</v>
      </c>
      <c r="AK590" s="37">
        <v>0</v>
      </c>
      <c r="AL590" s="37">
        <v>0</v>
      </c>
      <c r="AM590" s="37">
        <v>0</v>
      </c>
      <c r="AN590" s="37">
        <v>0</v>
      </c>
      <c r="AO590" s="37">
        <v>0</v>
      </c>
      <c r="AP590" s="37">
        <v>0</v>
      </c>
      <c r="AQ590" s="37">
        <v>0</v>
      </c>
      <c r="AR590" s="37">
        <v>0</v>
      </c>
      <c r="AS590" s="59">
        <v>0</v>
      </c>
      <c r="AT590" s="59">
        <v>6720</v>
      </c>
      <c r="AU590" s="45"/>
      <c r="AV590" s="37">
        <v>0</v>
      </c>
      <c r="AW590" s="37">
        <v>0</v>
      </c>
      <c r="AX590" s="37">
        <v>0</v>
      </c>
      <c r="AY590" s="37">
        <v>0</v>
      </c>
      <c r="AZ590" s="37">
        <v>0</v>
      </c>
      <c r="BA590" s="37">
        <v>0</v>
      </c>
      <c r="BB590" s="37">
        <v>0</v>
      </c>
      <c r="BC590" s="37">
        <v>0</v>
      </c>
      <c r="BD590" s="37">
        <v>0</v>
      </c>
      <c r="BE590" s="37">
        <v>0</v>
      </c>
      <c r="BF590" s="37">
        <v>0</v>
      </c>
      <c r="BG590" s="37">
        <v>0</v>
      </c>
      <c r="BH590" s="37">
        <v>0</v>
      </c>
      <c r="BI590" s="37">
        <v>0</v>
      </c>
      <c r="BJ590" s="37">
        <v>0</v>
      </c>
      <c r="BK590" s="59">
        <v>0</v>
      </c>
      <c r="BL590" s="37">
        <v>0</v>
      </c>
      <c r="BM590" s="37">
        <v>0</v>
      </c>
      <c r="BN590" s="37">
        <v>0</v>
      </c>
      <c r="BO590" s="37">
        <v>0</v>
      </c>
      <c r="BP590" s="37">
        <v>0</v>
      </c>
      <c r="BQ590" s="37">
        <v>0</v>
      </c>
      <c r="BR590" s="37">
        <v>0</v>
      </c>
      <c r="BS590" s="37">
        <v>0</v>
      </c>
      <c r="BT590" s="37">
        <v>0</v>
      </c>
      <c r="BU590" s="37">
        <v>0</v>
      </c>
      <c r="BV590" s="37">
        <v>0</v>
      </c>
      <c r="BW590" s="59">
        <v>0</v>
      </c>
      <c r="BX590" s="59">
        <v>0</v>
      </c>
      <c r="BZ590" s="37">
        <v>4000</v>
      </c>
      <c r="CA590" s="37">
        <v>2000</v>
      </c>
      <c r="CB590" s="37">
        <v>0</v>
      </c>
      <c r="CC590" s="37">
        <v>400</v>
      </c>
      <c r="CD590" s="37">
        <v>200</v>
      </c>
      <c r="CE590" s="37">
        <v>80</v>
      </c>
      <c r="CF590" s="37">
        <v>40</v>
      </c>
      <c r="CG590" s="59">
        <v>6720</v>
      </c>
      <c r="CH590" s="37">
        <v>0</v>
      </c>
      <c r="CI590" s="37">
        <v>0</v>
      </c>
      <c r="CJ590" s="37">
        <v>0</v>
      </c>
      <c r="CK590" s="37">
        <v>0</v>
      </c>
      <c r="CL590" s="37">
        <v>0</v>
      </c>
      <c r="CM590" s="37">
        <v>0</v>
      </c>
      <c r="CN590" s="59">
        <v>0</v>
      </c>
      <c r="CO590" s="59">
        <v>6720</v>
      </c>
      <c r="CP590" s="58"/>
      <c r="CQ590" s="3">
        <v>6720</v>
      </c>
    </row>
    <row r="591" spans="1:95" customFormat="1" x14ac:dyDescent="0.2">
      <c r="A591" s="209">
        <v>43454</v>
      </c>
      <c r="B591" s="33" t="s">
        <v>53</v>
      </c>
      <c r="C591" s="33" t="s">
        <v>54</v>
      </c>
      <c r="D591" s="43">
        <v>1</v>
      </c>
      <c r="E591" s="43">
        <v>0</v>
      </c>
      <c r="F591" s="43">
        <v>0</v>
      </c>
      <c r="G591" s="43">
        <v>0</v>
      </c>
      <c r="H591" s="43">
        <v>0</v>
      </c>
      <c r="I591" s="43">
        <v>0</v>
      </c>
      <c r="J591" s="43">
        <v>0</v>
      </c>
      <c r="K591" s="43">
        <v>0</v>
      </c>
      <c r="L591" s="43">
        <v>0</v>
      </c>
      <c r="M591" s="43">
        <v>0</v>
      </c>
      <c r="N591" s="43">
        <v>0</v>
      </c>
      <c r="O591" s="43">
        <v>0</v>
      </c>
      <c r="P591" s="47" t="s">
        <v>45</v>
      </c>
      <c r="R591" s="37">
        <v>0</v>
      </c>
      <c r="S591" s="37">
        <v>0</v>
      </c>
      <c r="T591" s="37">
        <v>0</v>
      </c>
      <c r="U591" s="37">
        <v>0</v>
      </c>
      <c r="V591" s="37">
        <v>1250000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v>0</v>
      </c>
      <c r="AD591" s="37">
        <v>0</v>
      </c>
      <c r="AE591" s="37">
        <v>0</v>
      </c>
      <c r="AF591" s="37">
        <v>0</v>
      </c>
      <c r="AG591" s="59">
        <v>1250000</v>
      </c>
      <c r="AH591" s="37">
        <v>0</v>
      </c>
      <c r="AI591" s="37">
        <v>0</v>
      </c>
      <c r="AJ591" s="37">
        <v>0</v>
      </c>
      <c r="AK591" s="37">
        <v>0</v>
      </c>
      <c r="AL591" s="37">
        <v>0</v>
      </c>
      <c r="AM591" s="37">
        <v>0</v>
      </c>
      <c r="AN591" s="37">
        <v>0</v>
      </c>
      <c r="AO591" s="37">
        <v>0</v>
      </c>
      <c r="AP591" s="37">
        <v>0</v>
      </c>
      <c r="AQ591" s="37">
        <v>0</v>
      </c>
      <c r="AR591" s="37">
        <v>0</v>
      </c>
      <c r="AS591" s="59">
        <v>0</v>
      </c>
      <c r="AT591" s="59">
        <v>1250000</v>
      </c>
      <c r="AU591" s="45"/>
      <c r="AV591" s="37">
        <v>0</v>
      </c>
      <c r="AW591" s="37">
        <v>0</v>
      </c>
      <c r="AX591" s="37">
        <v>0</v>
      </c>
      <c r="AY591" s="37">
        <v>0</v>
      </c>
      <c r="AZ591" s="37">
        <v>0</v>
      </c>
      <c r="BA591" s="37">
        <v>0</v>
      </c>
      <c r="BB591" s="37">
        <v>0</v>
      </c>
      <c r="BC591" s="37">
        <v>0</v>
      </c>
      <c r="BD591" s="37">
        <v>0</v>
      </c>
      <c r="BE591" s="37">
        <v>0</v>
      </c>
      <c r="BF591" s="37">
        <v>0</v>
      </c>
      <c r="BG591" s="37">
        <v>0</v>
      </c>
      <c r="BH591" s="37">
        <v>0</v>
      </c>
      <c r="BI591" s="37">
        <v>0</v>
      </c>
      <c r="BJ591" s="37">
        <v>0</v>
      </c>
      <c r="BK591" s="59">
        <v>0</v>
      </c>
      <c r="BL591" s="37">
        <v>0</v>
      </c>
      <c r="BM591" s="37">
        <v>0</v>
      </c>
      <c r="BN591" s="37">
        <v>0</v>
      </c>
      <c r="BO591" s="37">
        <v>0</v>
      </c>
      <c r="BP591" s="37">
        <v>0</v>
      </c>
      <c r="BQ591" s="37">
        <v>0</v>
      </c>
      <c r="BR591" s="37">
        <v>0</v>
      </c>
      <c r="BS591" s="37">
        <v>0</v>
      </c>
      <c r="BT591" s="37">
        <v>0</v>
      </c>
      <c r="BU591" s="37">
        <v>0</v>
      </c>
      <c r="BV591" s="37">
        <v>0</v>
      </c>
      <c r="BW591" s="59">
        <v>0</v>
      </c>
      <c r="BX591" s="59">
        <v>0</v>
      </c>
      <c r="BZ591" s="37">
        <v>0</v>
      </c>
      <c r="CA591" s="37">
        <v>1250000</v>
      </c>
      <c r="CB591" s="37">
        <v>0</v>
      </c>
      <c r="CC591" s="37">
        <v>0</v>
      </c>
      <c r="CD591" s="37">
        <v>0</v>
      </c>
      <c r="CE591" s="37">
        <v>0</v>
      </c>
      <c r="CF591" s="37">
        <v>0</v>
      </c>
      <c r="CG591" s="59">
        <v>1250000</v>
      </c>
      <c r="CH591" s="37">
        <v>0</v>
      </c>
      <c r="CI591" s="37">
        <v>0</v>
      </c>
      <c r="CJ591" s="37">
        <v>0</v>
      </c>
      <c r="CK591" s="37">
        <v>0</v>
      </c>
      <c r="CL591" s="37">
        <v>0</v>
      </c>
      <c r="CM591" s="37">
        <v>0</v>
      </c>
      <c r="CN591" s="59">
        <v>0</v>
      </c>
      <c r="CO591" s="59">
        <v>1250000</v>
      </c>
      <c r="CP591" s="58"/>
      <c r="CQ591" s="3">
        <v>1250000</v>
      </c>
    </row>
    <row r="592" spans="1:95" customFormat="1" x14ac:dyDescent="0.2">
      <c r="A592" s="209">
        <v>43455</v>
      </c>
      <c r="B592" s="33" t="s">
        <v>55</v>
      </c>
      <c r="C592" s="33" t="s">
        <v>56</v>
      </c>
      <c r="D592" s="43">
        <v>0</v>
      </c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43">
        <v>0</v>
      </c>
      <c r="M592" s="43">
        <v>0</v>
      </c>
      <c r="N592" s="43">
        <v>0</v>
      </c>
      <c r="O592" s="43">
        <v>0</v>
      </c>
      <c r="P592" s="47">
        <v>0</v>
      </c>
      <c r="R592" s="37">
        <v>0</v>
      </c>
      <c r="S592" s="37">
        <v>0</v>
      </c>
      <c r="T592" s="37">
        <v>4000</v>
      </c>
      <c r="U592" s="37">
        <v>0</v>
      </c>
      <c r="V592" s="37">
        <v>2000</v>
      </c>
      <c r="W592" s="37">
        <v>0</v>
      </c>
      <c r="X592" s="37">
        <v>0</v>
      </c>
      <c r="Y592" s="37">
        <v>0</v>
      </c>
      <c r="Z592" s="37">
        <v>400</v>
      </c>
      <c r="AA592" s="37">
        <v>0</v>
      </c>
      <c r="AB592" s="37">
        <v>200</v>
      </c>
      <c r="AC592" s="37">
        <v>0</v>
      </c>
      <c r="AD592" s="37">
        <v>80</v>
      </c>
      <c r="AE592" s="37">
        <v>0</v>
      </c>
      <c r="AF592" s="37">
        <v>40</v>
      </c>
      <c r="AG592" s="59">
        <v>6720</v>
      </c>
      <c r="AH592" s="37">
        <v>0</v>
      </c>
      <c r="AI592" s="37">
        <v>0</v>
      </c>
      <c r="AJ592" s="37">
        <v>0</v>
      </c>
      <c r="AK592" s="37">
        <v>0</v>
      </c>
      <c r="AL592" s="37">
        <v>5</v>
      </c>
      <c r="AM592" s="37">
        <v>0</v>
      </c>
      <c r="AN592" s="37">
        <v>4</v>
      </c>
      <c r="AO592" s="37">
        <v>0</v>
      </c>
      <c r="AP592" s="37">
        <v>2</v>
      </c>
      <c r="AQ592" s="37">
        <v>0</v>
      </c>
      <c r="AR592" s="37">
        <v>0</v>
      </c>
      <c r="AS592" s="59">
        <v>11</v>
      </c>
      <c r="AT592" s="59">
        <v>6731</v>
      </c>
      <c r="AU592" s="45"/>
      <c r="AV592" s="37">
        <v>0</v>
      </c>
      <c r="AW592" s="37">
        <v>0</v>
      </c>
      <c r="AX592" s="37">
        <v>0</v>
      </c>
      <c r="AY592" s="37">
        <v>0</v>
      </c>
      <c r="AZ592" s="37">
        <v>0</v>
      </c>
      <c r="BA592" s="37">
        <v>0</v>
      </c>
      <c r="BB592" s="37">
        <v>0</v>
      </c>
      <c r="BC592" s="37">
        <v>0</v>
      </c>
      <c r="BD592" s="37">
        <v>0</v>
      </c>
      <c r="BE592" s="37">
        <v>0</v>
      </c>
      <c r="BF592" s="37">
        <v>0</v>
      </c>
      <c r="BG592" s="37">
        <v>0</v>
      </c>
      <c r="BH592" s="37">
        <v>0</v>
      </c>
      <c r="BI592" s="37">
        <v>0</v>
      </c>
      <c r="BJ592" s="37">
        <v>0</v>
      </c>
      <c r="BK592" s="59">
        <v>0</v>
      </c>
      <c r="BL592" s="37">
        <v>0</v>
      </c>
      <c r="BM592" s="37">
        <v>0</v>
      </c>
      <c r="BN592" s="37">
        <v>0</v>
      </c>
      <c r="BO592" s="37">
        <v>0</v>
      </c>
      <c r="BP592" s="37">
        <v>0</v>
      </c>
      <c r="BQ592" s="37">
        <v>0</v>
      </c>
      <c r="BR592" s="37">
        <v>0</v>
      </c>
      <c r="BS592" s="37">
        <v>0</v>
      </c>
      <c r="BT592" s="37">
        <v>0</v>
      </c>
      <c r="BU592" s="37">
        <v>0</v>
      </c>
      <c r="BV592" s="37">
        <v>0</v>
      </c>
      <c r="BW592" s="59">
        <v>0</v>
      </c>
      <c r="BX592" s="59"/>
      <c r="BZ592" s="37">
        <v>4000</v>
      </c>
      <c r="CA592" s="37">
        <v>2000</v>
      </c>
      <c r="CB592" s="37">
        <v>0</v>
      </c>
      <c r="CC592" s="37">
        <v>400</v>
      </c>
      <c r="CD592" s="37">
        <v>200</v>
      </c>
      <c r="CE592" s="37">
        <v>80</v>
      </c>
      <c r="CF592" s="37">
        <v>40</v>
      </c>
      <c r="CG592" s="59">
        <v>6720</v>
      </c>
      <c r="CH592" s="37">
        <v>0</v>
      </c>
      <c r="CI592" s="37">
        <v>5</v>
      </c>
      <c r="CJ592" s="37">
        <v>4</v>
      </c>
      <c r="CK592" s="37">
        <v>2</v>
      </c>
      <c r="CL592" s="37">
        <v>0</v>
      </c>
      <c r="CM592" s="37">
        <v>0</v>
      </c>
      <c r="CN592" s="59">
        <v>11</v>
      </c>
      <c r="CO592" s="59">
        <v>6731</v>
      </c>
      <c r="CP592" s="58"/>
      <c r="CQ592" s="3">
        <v>6731</v>
      </c>
    </row>
    <row r="593" spans="1:95" customFormat="1" x14ac:dyDescent="0.2">
      <c r="A593" s="209">
        <v>43455</v>
      </c>
      <c r="B593" s="33" t="s">
        <v>53</v>
      </c>
      <c r="C593" s="33" t="s">
        <v>54</v>
      </c>
      <c r="D593" s="43">
        <v>1</v>
      </c>
      <c r="E593" s="43">
        <v>0</v>
      </c>
      <c r="F593" s="43">
        <v>0</v>
      </c>
      <c r="G593" s="43">
        <v>0</v>
      </c>
      <c r="H593" s="43">
        <v>0</v>
      </c>
      <c r="I593" s="43">
        <v>0</v>
      </c>
      <c r="J593" s="43">
        <v>0</v>
      </c>
      <c r="K593" s="43">
        <v>0</v>
      </c>
      <c r="L593" s="43">
        <v>0</v>
      </c>
      <c r="M593" s="43">
        <v>0</v>
      </c>
      <c r="N593" s="43">
        <v>0</v>
      </c>
      <c r="O593" s="43">
        <v>0</v>
      </c>
      <c r="P593" s="47" t="s">
        <v>45</v>
      </c>
      <c r="R593" s="37">
        <v>0</v>
      </c>
      <c r="S593" s="37">
        <v>800000</v>
      </c>
      <c r="T593" s="37">
        <v>3200000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v>0</v>
      </c>
      <c r="AD593" s="37">
        <v>0</v>
      </c>
      <c r="AE593" s="37">
        <v>0</v>
      </c>
      <c r="AF593" s="37">
        <v>0</v>
      </c>
      <c r="AG593" s="59">
        <v>4000000</v>
      </c>
      <c r="AH593" s="37">
        <v>0</v>
      </c>
      <c r="AI593" s="37">
        <v>0</v>
      </c>
      <c r="AJ593" s="37">
        <v>0</v>
      </c>
      <c r="AK593" s="37">
        <v>0</v>
      </c>
      <c r="AL593" s="37">
        <v>0</v>
      </c>
      <c r="AM593" s="37">
        <v>0</v>
      </c>
      <c r="AN593" s="37">
        <v>0</v>
      </c>
      <c r="AO593" s="37">
        <v>0</v>
      </c>
      <c r="AP593" s="37">
        <v>0</v>
      </c>
      <c r="AQ593" s="37">
        <v>0</v>
      </c>
      <c r="AR593" s="37">
        <v>0</v>
      </c>
      <c r="AS593" s="59">
        <v>0</v>
      </c>
      <c r="AT593" s="59">
        <v>4000000</v>
      </c>
      <c r="AU593" s="45"/>
      <c r="AV593" s="37">
        <v>0</v>
      </c>
      <c r="AW593" s="37">
        <v>0</v>
      </c>
      <c r="AX593" s="37">
        <v>0</v>
      </c>
      <c r="AY593" s="37">
        <v>0</v>
      </c>
      <c r="AZ593" s="37">
        <v>0</v>
      </c>
      <c r="BA593" s="37">
        <v>0</v>
      </c>
      <c r="BB593" s="37">
        <v>0</v>
      </c>
      <c r="BC593" s="37">
        <v>0</v>
      </c>
      <c r="BD593" s="37">
        <v>0</v>
      </c>
      <c r="BE593" s="37">
        <v>0</v>
      </c>
      <c r="BF593" s="37">
        <v>0</v>
      </c>
      <c r="BG593" s="37">
        <v>0</v>
      </c>
      <c r="BH593" s="37">
        <v>0</v>
      </c>
      <c r="BI593" s="37">
        <v>0</v>
      </c>
      <c r="BJ593" s="37">
        <v>0</v>
      </c>
      <c r="BK593" s="59">
        <v>0</v>
      </c>
      <c r="BL593" s="37">
        <v>0</v>
      </c>
      <c r="BM593" s="37">
        <v>0</v>
      </c>
      <c r="BN593" s="37">
        <v>0</v>
      </c>
      <c r="BO593" s="37">
        <v>0</v>
      </c>
      <c r="BP593" s="37">
        <v>0</v>
      </c>
      <c r="BQ593" s="37">
        <v>0</v>
      </c>
      <c r="BR593" s="37">
        <v>0</v>
      </c>
      <c r="BS593" s="37">
        <v>0</v>
      </c>
      <c r="BT593" s="37">
        <v>0</v>
      </c>
      <c r="BU593" s="37">
        <v>0</v>
      </c>
      <c r="BV593" s="37">
        <v>0</v>
      </c>
      <c r="BW593" s="59">
        <v>0</v>
      </c>
      <c r="BX593" s="59">
        <v>0</v>
      </c>
      <c r="BZ593" s="37">
        <v>4000000</v>
      </c>
      <c r="CA593" s="37">
        <v>0</v>
      </c>
      <c r="CB593" s="37">
        <v>0</v>
      </c>
      <c r="CC593" s="37">
        <v>0</v>
      </c>
      <c r="CD593" s="37">
        <v>0</v>
      </c>
      <c r="CE593" s="37">
        <v>0</v>
      </c>
      <c r="CF593" s="37">
        <v>0</v>
      </c>
      <c r="CG593" s="59">
        <v>4000000</v>
      </c>
      <c r="CH593" s="37">
        <v>0</v>
      </c>
      <c r="CI593" s="37">
        <v>0</v>
      </c>
      <c r="CJ593" s="37">
        <v>0</v>
      </c>
      <c r="CK593" s="37">
        <v>0</v>
      </c>
      <c r="CL593" s="37">
        <v>0</v>
      </c>
      <c r="CM593" s="37">
        <v>0</v>
      </c>
      <c r="CN593" s="59">
        <v>0</v>
      </c>
      <c r="CO593" s="59">
        <v>4000000</v>
      </c>
      <c r="CP593" s="58"/>
      <c r="CQ593" s="3">
        <v>4000000</v>
      </c>
    </row>
    <row r="594" spans="1:95" customFormat="1" x14ac:dyDescent="0.2">
      <c r="A594" s="209">
        <v>43460</v>
      </c>
      <c r="B594" s="33" t="s">
        <v>55</v>
      </c>
      <c r="C594" s="33" t="s">
        <v>56</v>
      </c>
      <c r="D594" s="43">
        <v>0</v>
      </c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43">
        <v>0</v>
      </c>
      <c r="M594" s="43">
        <v>0</v>
      </c>
      <c r="N594" s="43">
        <v>0</v>
      </c>
      <c r="O594" s="43">
        <v>0</v>
      </c>
      <c r="P594" s="47">
        <v>0</v>
      </c>
      <c r="R594" s="37">
        <v>0</v>
      </c>
      <c r="S594" s="37">
        <v>0</v>
      </c>
      <c r="T594" s="37">
        <v>4000</v>
      </c>
      <c r="U594" s="37">
        <v>0</v>
      </c>
      <c r="V594" s="37">
        <v>2000</v>
      </c>
      <c r="W594" s="37">
        <v>0</v>
      </c>
      <c r="X594" s="37">
        <v>0</v>
      </c>
      <c r="Y594" s="37">
        <v>0</v>
      </c>
      <c r="Z594" s="37">
        <v>400</v>
      </c>
      <c r="AA594" s="37">
        <v>0</v>
      </c>
      <c r="AB594" s="37">
        <v>200</v>
      </c>
      <c r="AC594" s="37">
        <v>0</v>
      </c>
      <c r="AD594" s="37">
        <v>80</v>
      </c>
      <c r="AE594" s="37">
        <v>0</v>
      </c>
      <c r="AF594" s="37">
        <v>40</v>
      </c>
      <c r="AG594" s="59">
        <v>6720</v>
      </c>
      <c r="AH594" s="37">
        <v>0</v>
      </c>
      <c r="AI594" s="37">
        <v>0</v>
      </c>
      <c r="AJ594" s="37">
        <v>0</v>
      </c>
      <c r="AK594" s="37">
        <v>0</v>
      </c>
      <c r="AL594" s="37">
        <v>0</v>
      </c>
      <c r="AM594" s="37">
        <v>0</v>
      </c>
      <c r="AN594" s="37">
        <v>0</v>
      </c>
      <c r="AO594" s="37">
        <v>0</v>
      </c>
      <c r="AP594" s="37">
        <v>0</v>
      </c>
      <c r="AQ594" s="37">
        <v>0</v>
      </c>
      <c r="AR594" s="37">
        <v>0</v>
      </c>
      <c r="AS594" s="59">
        <v>0</v>
      </c>
      <c r="AT594" s="59">
        <v>6720</v>
      </c>
      <c r="AU594" s="45"/>
      <c r="AV594" s="37">
        <v>0</v>
      </c>
      <c r="AW594" s="37">
        <v>0</v>
      </c>
      <c r="AX594" s="37">
        <v>0</v>
      </c>
      <c r="AY594" s="37">
        <v>0</v>
      </c>
      <c r="AZ594" s="37">
        <v>0</v>
      </c>
      <c r="BA594" s="37">
        <v>0</v>
      </c>
      <c r="BB594" s="37">
        <v>0</v>
      </c>
      <c r="BC594" s="37">
        <v>0</v>
      </c>
      <c r="BD594" s="37">
        <v>0</v>
      </c>
      <c r="BE594" s="37">
        <v>0</v>
      </c>
      <c r="BF594" s="37">
        <v>0</v>
      </c>
      <c r="BG594" s="37">
        <v>0</v>
      </c>
      <c r="BH594" s="37">
        <v>0</v>
      </c>
      <c r="BI594" s="37">
        <v>0</v>
      </c>
      <c r="BJ594" s="37">
        <v>0</v>
      </c>
      <c r="BK594" s="59">
        <v>0</v>
      </c>
      <c r="BL594" s="37">
        <v>0</v>
      </c>
      <c r="BM594" s="37">
        <v>0</v>
      </c>
      <c r="BN594" s="37">
        <v>0</v>
      </c>
      <c r="BO594" s="37">
        <v>0</v>
      </c>
      <c r="BP594" s="37">
        <v>0</v>
      </c>
      <c r="BQ594" s="37">
        <v>0</v>
      </c>
      <c r="BR594" s="37">
        <v>0</v>
      </c>
      <c r="BS594" s="37">
        <v>0</v>
      </c>
      <c r="BT594" s="37">
        <v>0</v>
      </c>
      <c r="BU594" s="37">
        <v>0</v>
      </c>
      <c r="BV594" s="37">
        <v>0</v>
      </c>
      <c r="BW594" s="59">
        <v>0</v>
      </c>
      <c r="BX594" s="59">
        <v>0</v>
      </c>
      <c r="BZ594" s="37">
        <v>4000</v>
      </c>
      <c r="CA594" s="37">
        <v>2000</v>
      </c>
      <c r="CB594" s="37">
        <v>0</v>
      </c>
      <c r="CC594" s="37">
        <v>400</v>
      </c>
      <c r="CD594" s="37">
        <v>200</v>
      </c>
      <c r="CE594" s="37">
        <v>80</v>
      </c>
      <c r="CF594" s="37">
        <v>40</v>
      </c>
      <c r="CG594" s="59">
        <v>6720</v>
      </c>
      <c r="CH594" s="37">
        <v>0</v>
      </c>
      <c r="CI594" s="37">
        <v>0</v>
      </c>
      <c r="CJ594" s="37">
        <v>0</v>
      </c>
      <c r="CK594" s="37">
        <v>0</v>
      </c>
      <c r="CL594" s="37">
        <v>0</v>
      </c>
      <c r="CM594" s="37">
        <v>0</v>
      </c>
      <c r="CN594" s="59">
        <v>0</v>
      </c>
      <c r="CO594" s="59">
        <v>6720</v>
      </c>
      <c r="CP594" s="58"/>
      <c r="CQ594" s="3">
        <v>6720</v>
      </c>
    </row>
    <row r="595" spans="1:95" customFormat="1" x14ac:dyDescent="0.2">
      <c r="A595" s="209">
        <v>43460</v>
      </c>
      <c r="B595" s="33" t="s">
        <v>53</v>
      </c>
      <c r="C595" s="33" t="s">
        <v>57</v>
      </c>
      <c r="D595" s="43">
        <v>0</v>
      </c>
      <c r="E595" s="43">
        <v>0</v>
      </c>
      <c r="F595" s="43">
        <v>0</v>
      </c>
      <c r="G595" s="43">
        <v>0</v>
      </c>
      <c r="H595" s="43">
        <v>0</v>
      </c>
      <c r="I595" s="43">
        <v>0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7">
        <v>0</v>
      </c>
      <c r="R595" s="37">
        <v>0</v>
      </c>
      <c r="S595" s="37">
        <v>0</v>
      </c>
      <c r="T595" s="37">
        <v>40000</v>
      </c>
      <c r="U595" s="37">
        <v>0</v>
      </c>
      <c r="V595" s="37">
        <v>20000</v>
      </c>
      <c r="W595" s="37">
        <v>0</v>
      </c>
      <c r="X595" s="37">
        <v>0</v>
      </c>
      <c r="Y595" s="37">
        <v>0</v>
      </c>
      <c r="Z595" s="37">
        <v>4000</v>
      </c>
      <c r="AA595" s="37">
        <v>0</v>
      </c>
      <c r="AB595" s="37">
        <v>2000</v>
      </c>
      <c r="AC595" s="37">
        <v>0</v>
      </c>
      <c r="AD595" s="37">
        <v>800</v>
      </c>
      <c r="AE595" s="37">
        <v>0</v>
      </c>
      <c r="AF595" s="37">
        <v>320</v>
      </c>
      <c r="AG595" s="59">
        <v>67120</v>
      </c>
      <c r="AH595" s="37">
        <v>0</v>
      </c>
      <c r="AI595" s="37">
        <v>0</v>
      </c>
      <c r="AJ595" s="37">
        <v>0</v>
      </c>
      <c r="AK595" s="37">
        <v>0</v>
      </c>
      <c r="AL595" s="37">
        <v>20</v>
      </c>
      <c r="AM595" s="37">
        <v>0</v>
      </c>
      <c r="AN595" s="37">
        <v>16</v>
      </c>
      <c r="AO595" s="37">
        <v>0</v>
      </c>
      <c r="AP595" s="37">
        <v>8</v>
      </c>
      <c r="AQ595" s="37">
        <v>0</v>
      </c>
      <c r="AR595" s="37">
        <v>0</v>
      </c>
      <c r="AS595" s="59">
        <v>44</v>
      </c>
      <c r="AT595" s="59">
        <v>67164</v>
      </c>
      <c r="AU595" s="45"/>
      <c r="AV595" s="37">
        <v>0</v>
      </c>
      <c r="AW595" s="37">
        <v>0</v>
      </c>
      <c r="AX595" s="37">
        <v>0</v>
      </c>
      <c r="AY595" s="37">
        <v>0</v>
      </c>
      <c r="AZ595" s="37">
        <v>0</v>
      </c>
      <c r="BA595" s="37">
        <v>0</v>
      </c>
      <c r="BB595" s="37">
        <v>0</v>
      </c>
      <c r="BC595" s="37">
        <v>0</v>
      </c>
      <c r="BD595" s="37">
        <v>0</v>
      </c>
      <c r="BE595" s="37">
        <v>0</v>
      </c>
      <c r="BF595" s="37">
        <v>0</v>
      </c>
      <c r="BG595" s="37">
        <v>0</v>
      </c>
      <c r="BH595" s="37">
        <v>0</v>
      </c>
      <c r="BI595" s="37">
        <v>0</v>
      </c>
      <c r="BJ595" s="37">
        <v>0</v>
      </c>
      <c r="BK595" s="59">
        <v>0</v>
      </c>
      <c r="BL595" s="37">
        <v>0</v>
      </c>
      <c r="BM595" s="37">
        <v>0</v>
      </c>
      <c r="BN595" s="37">
        <v>0</v>
      </c>
      <c r="BO595" s="37">
        <v>0</v>
      </c>
      <c r="BP595" s="37">
        <v>0</v>
      </c>
      <c r="BQ595" s="37">
        <v>0</v>
      </c>
      <c r="BR595" s="37">
        <v>0</v>
      </c>
      <c r="BS595" s="37">
        <v>0</v>
      </c>
      <c r="BT595" s="37">
        <v>0</v>
      </c>
      <c r="BU595" s="37">
        <v>0</v>
      </c>
      <c r="BV595" s="37">
        <v>0</v>
      </c>
      <c r="BW595" s="59">
        <v>0</v>
      </c>
      <c r="BX595" s="59">
        <v>0</v>
      </c>
      <c r="BZ595" s="37">
        <v>40000</v>
      </c>
      <c r="CA595" s="37">
        <v>20000</v>
      </c>
      <c r="CB595" s="37">
        <v>0</v>
      </c>
      <c r="CC595" s="37">
        <v>4000</v>
      </c>
      <c r="CD595" s="37">
        <v>2000</v>
      </c>
      <c r="CE595" s="37">
        <v>800</v>
      </c>
      <c r="CF595" s="37">
        <v>320</v>
      </c>
      <c r="CG595" s="59">
        <v>67120</v>
      </c>
      <c r="CH595" s="37">
        <v>0</v>
      </c>
      <c r="CI595" s="37">
        <v>20</v>
      </c>
      <c r="CJ595" s="37">
        <v>16</v>
      </c>
      <c r="CK595" s="37">
        <v>8</v>
      </c>
      <c r="CL595" s="37">
        <v>0</v>
      </c>
      <c r="CM595" s="37">
        <v>0</v>
      </c>
      <c r="CN595" s="59">
        <v>44</v>
      </c>
      <c r="CO595" s="59">
        <v>67164</v>
      </c>
      <c r="CP595" s="58"/>
      <c r="CQ595" s="3">
        <v>67164</v>
      </c>
    </row>
    <row r="596" spans="1:95" customFormat="1" x14ac:dyDescent="0.2">
      <c r="A596" s="209">
        <v>43460</v>
      </c>
      <c r="B596" s="33" t="s">
        <v>53</v>
      </c>
      <c r="C596" s="33" t="s">
        <v>54</v>
      </c>
      <c r="D596" s="43">
        <v>1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  <c r="P596" s="47" t="s">
        <v>45</v>
      </c>
      <c r="R596" s="37">
        <v>0</v>
      </c>
      <c r="S596" s="37">
        <v>0</v>
      </c>
      <c r="T596" s="37">
        <v>3000000</v>
      </c>
      <c r="U596" s="37">
        <v>0</v>
      </c>
      <c r="V596" s="37">
        <v>1000000</v>
      </c>
      <c r="W596" s="37">
        <v>0</v>
      </c>
      <c r="X596" s="37">
        <v>0</v>
      </c>
      <c r="Y596" s="37">
        <v>0</v>
      </c>
      <c r="Z596" s="37">
        <v>0</v>
      </c>
      <c r="AA596" s="37">
        <v>0</v>
      </c>
      <c r="AB596" s="37">
        <v>0</v>
      </c>
      <c r="AC596" s="37">
        <v>0</v>
      </c>
      <c r="AD596" s="37">
        <v>0</v>
      </c>
      <c r="AE596" s="37">
        <v>0</v>
      </c>
      <c r="AF596" s="37">
        <v>0</v>
      </c>
      <c r="AG596" s="59">
        <v>4000000</v>
      </c>
      <c r="AH596" s="37">
        <v>0</v>
      </c>
      <c r="AI596" s="37">
        <v>0</v>
      </c>
      <c r="AJ596" s="37">
        <v>0</v>
      </c>
      <c r="AK596" s="37">
        <v>0</v>
      </c>
      <c r="AL596" s="37">
        <v>0</v>
      </c>
      <c r="AM596" s="37">
        <v>0</v>
      </c>
      <c r="AN596" s="37">
        <v>0</v>
      </c>
      <c r="AO596" s="37">
        <v>0</v>
      </c>
      <c r="AP596" s="37">
        <v>0</v>
      </c>
      <c r="AQ596" s="37">
        <v>0</v>
      </c>
      <c r="AR596" s="37">
        <v>0</v>
      </c>
      <c r="AS596" s="59">
        <v>0</v>
      </c>
      <c r="AT596" s="59">
        <v>4000000</v>
      </c>
      <c r="AU596" s="45"/>
      <c r="AV596" s="37">
        <v>0</v>
      </c>
      <c r="AW596" s="37">
        <v>0</v>
      </c>
      <c r="AX596" s="37">
        <v>0</v>
      </c>
      <c r="AY596" s="37">
        <v>0</v>
      </c>
      <c r="AZ596" s="37">
        <v>0</v>
      </c>
      <c r="BA596" s="37">
        <v>0</v>
      </c>
      <c r="BB596" s="37">
        <v>0</v>
      </c>
      <c r="BC596" s="37">
        <v>0</v>
      </c>
      <c r="BD596" s="37">
        <v>0</v>
      </c>
      <c r="BE596" s="37">
        <v>0</v>
      </c>
      <c r="BF596" s="37">
        <v>0</v>
      </c>
      <c r="BG596" s="37">
        <v>0</v>
      </c>
      <c r="BH596" s="37">
        <v>0</v>
      </c>
      <c r="BI596" s="37">
        <v>0</v>
      </c>
      <c r="BJ596" s="37">
        <v>0</v>
      </c>
      <c r="BK596" s="59">
        <v>0</v>
      </c>
      <c r="BL596" s="37">
        <v>0</v>
      </c>
      <c r="BM596" s="37">
        <v>0</v>
      </c>
      <c r="BN596" s="37">
        <v>0</v>
      </c>
      <c r="BO596" s="37">
        <v>0</v>
      </c>
      <c r="BP596" s="37">
        <v>0</v>
      </c>
      <c r="BQ596" s="37">
        <v>0</v>
      </c>
      <c r="BR596" s="37">
        <v>0</v>
      </c>
      <c r="BS596" s="37">
        <v>0</v>
      </c>
      <c r="BT596" s="37">
        <v>0</v>
      </c>
      <c r="BU596" s="37">
        <v>0</v>
      </c>
      <c r="BV596" s="37">
        <v>0</v>
      </c>
      <c r="BW596" s="59">
        <v>0</v>
      </c>
      <c r="BX596" s="59">
        <v>0</v>
      </c>
      <c r="BZ596" s="37">
        <v>3000000</v>
      </c>
      <c r="CA596" s="37">
        <v>1000000</v>
      </c>
      <c r="CB596" s="37">
        <v>0</v>
      </c>
      <c r="CC596" s="37">
        <v>0</v>
      </c>
      <c r="CD596" s="37">
        <v>0</v>
      </c>
      <c r="CE596" s="37">
        <v>0</v>
      </c>
      <c r="CF596" s="37">
        <v>0</v>
      </c>
      <c r="CG596" s="59">
        <v>4000000</v>
      </c>
      <c r="CH596" s="37">
        <v>0</v>
      </c>
      <c r="CI596" s="37">
        <v>0</v>
      </c>
      <c r="CJ596" s="37">
        <v>0</v>
      </c>
      <c r="CK596" s="37">
        <v>0</v>
      </c>
      <c r="CL596" s="37">
        <v>0</v>
      </c>
      <c r="CM596" s="37">
        <v>0</v>
      </c>
      <c r="CN596" s="59">
        <v>0</v>
      </c>
      <c r="CO596" s="59">
        <v>4000000</v>
      </c>
      <c r="CP596" s="58"/>
      <c r="CQ596" s="3">
        <v>4000000</v>
      </c>
    </row>
    <row r="597" spans="1:95" customFormat="1" x14ac:dyDescent="0.2">
      <c r="A597" s="209">
        <v>43460</v>
      </c>
      <c r="B597" s="33" t="s">
        <v>53</v>
      </c>
      <c r="C597" s="33" t="s">
        <v>54</v>
      </c>
      <c r="D597" s="43">
        <v>1</v>
      </c>
      <c r="E597" s="43">
        <v>0</v>
      </c>
      <c r="F597" s="43">
        <v>0</v>
      </c>
      <c r="G597" s="43">
        <v>0</v>
      </c>
      <c r="H597" s="43">
        <v>0</v>
      </c>
      <c r="I597" s="43">
        <v>0</v>
      </c>
      <c r="J597" s="43">
        <v>0</v>
      </c>
      <c r="K597" s="43">
        <v>0</v>
      </c>
      <c r="L597" s="43">
        <v>0</v>
      </c>
      <c r="M597" s="43">
        <v>0</v>
      </c>
      <c r="N597" s="43">
        <v>0</v>
      </c>
      <c r="O597" s="43">
        <v>0</v>
      </c>
      <c r="P597" s="47" t="s">
        <v>45</v>
      </c>
      <c r="R597" s="37">
        <v>0</v>
      </c>
      <c r="S597" s="37">
        <v>0</v>
      </c>
      <c r="T597" s="37">
        <v>0</v>
      </c>
      <c r="U597" s="37">
        <v>1000000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59">
        <v>1000000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59">
        <v>0</v>
      </c>
      <c r="AT597" s="59">
        <v>1000000</v>
      </c>
      <c r="AU597" s="45"/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>
        <v>0</v>
      </c>
      <c r="BB597" s="37">
        <v>0</v>
      </c>
      <c r="BC597" s="37">
        <v>0</v>
      </c>
      <c r="BD597" s="37">
        <v>0</v>
      </c>
      <c r="BE597" s="37">
        <v>0</v>
      </c>
      <c r="BF597" s="37">
        <v>0</v>
      </c>
      <c r="BG597" s="37">
        <v>0</v>
      </c>
      <c r="BH597" s="37">
        <v>0</v>
      </c>
      <c r="BI597" s="37">
        <v>0</v>
      </c>
      <c r="BJ597" s="37">
        <v>0</v>
      </c>
      <c r="BK597" s="59">
        <v>0</v>
      </c>
      <c r="BL597" s="37">
        <v>0</v>
      </c>
      <c r="BM597" s="37">
        <v>0</v>
      </c>
      <c r="BN597" s="37">
        <v>0</v>
      </c>
      <c r="BO597" s="37">
        <v>0</v>
      </c>
      <c r="BP597" s="37">
        <v>0</v>
      </c>
      <c r="BQ597" s="37">
        <v>0</v>
      </c>
      <c r="BR597" s="37">
        <v>0</v>
      </c>
      <c r="BS597" s="37">
        <v>0</v>
      </c>
      <c r="BT597" s="37">
        <v>0</v>
      </c>
      <c r="BU597" s="37">
        <v>0</v>
      </c>
      <c r="BV597" s="37">
        <v>0</v>
      </c>
      <c r="BW597" s="59">
        <v>0</v>
      </c>
      <c r="BX597" s="59">
        <v>0</v>
      </c>
      <c r="BZ597" s="37">
        <v>0</v>
      </c>
      <c r="CA597" s="37">
        <v>1000000</v>
      </c>
      <c r="CB597" s="37">
        <v>0</v>
      </c>
      <c r="CC597" s="37">
        <v>0</v>
      </c>
      <c r="CD597" s="37">
        <v>0</v>
      </c>
      <c r="CE597" s="37">
        <v>0</v>
      </c>
      <c r="CF597" s="37">
        <v>0</v>
      </c>
      <c r="CG597" s="59">
        <v>1000000</v>
      </c>
      <c r="CH597" s="37">
        <v>0</v>
      </c>
      <c r="CI597" s="37">
        <v>0</v>
      </c>
      <c r="CJ597" s="37">
        <v>0</v>
      </c>
      <c r="CK597" s="37">
        <v>0</v>
      </c>
      <c r="CL597" s="37">
        <v>0</v>
      </c>
      <c r="CM597" s="37">
        <v>0</v>
      </c>
      <c r="CN597" s="59">
        <v>0</v>
      </c>
      <c r="CO597" s="59">
        <v>1000000</v>
      </c>
      <c r="CP597" s="58"/>
      <c r="CQ597" s="3">
        <v>1000000</v>
      </c>
    </row>
    <row r="598" spans="1:95" customFormat="1" x14ac:dyDescent="0.2">
      <c r="A598" s="209">
        <v>43461</v>
      </c>
      <c r="B598" s="33" t="s">
        <v>55</v>
      </c>
      <c r="C598" s="33" t="s">
        <v>56</v>
      </c>
      <c r="D598" s="43">
        <v>0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  <c r="P598" s="47">
        <v>0</v>
      </c>
      <c r="R598" s="37">
        <v>0</v>
      </c>
      <c r="S598" s="37">
        <v>0</v>
      </c>
      <c r="T598" s="37">
        <v>4000</v>
      </c>
      <c r="U598" s="37">
        <v>0</v>
      </c>
      <c r="V598" s="37">
        <v>2000</v>
      </c>
      <c r="W598" s="37">
        <v>0</v>
      </c>
      <c r="X598" s="37">
        <v>0</v>
      </c>
      <c r="Y598" s="37">
        <v>0</v>
      </c>
      <c r="Z598" s="37">
        <v>400</v>
      </c>
      <c r="AA598" s="37">
        <v>0</v>
      </c>
      <c r="AB598" s="37">
        <v>0</v>
      </c>
      <c r="AC598" s="37">
        <v>0</v>
      </c>
      <c r="AD598" s="37">
        <v>0</v>
      </c>
      <c r="AE598" s="37">
        <v>0</v>
      </c>
      <c r="AF598" s="37">
        <v>40</v>
      </c>
      <c r="AG598" s="59">
        <v>6440</v>
      </c>
      <c r="AH598" s="37">
        <v>0</v>
      </c>
      <c r="AI598" s="37">
        <v>0</v>
      </c>
      <c r="AJ598" s="37">
        <v>0</v>
      </c>
      <c r="AK598" s="37">
        <v>0</v>
      </c>
      <c r="AL598" s="37">
        <v>0</v>
      </c>
      <c r="AM598" s="37">
        <v>0</v>
      </c>
      <c r="AN598" s="37">
        <v>0</v>
      </c>
      <c r="AO598" s="37">
        <v>0</v>
      </c>
      <c r="AP598" s="37">
        <v>0</v>
      </c>
      <c r="AQ598" s="37">
        <v>0</v>
      </c>
      <c r="AR598" s="37">
        <v>0</v>
      </c>
      <c r="AS598" s="59">
        <v>0</v>
      </c>
      <c r="AT598" s="59">
        <v>6440</v>
      </c>
      <c r="AU598" s="45"/>
      <c r="AV598" s="37">
        <v>0</v>
      </c>
      <c r="AW598" s="37">
        <v>0</v>
      </c>
      <c r="AX598" s="37">
        <v>0</v>
      </c>
      <c r="AY598" s="37">
        <v>0</v>
      </c>
      <c r="AZ598" s="37">
        <v>0</v>
      </c>
      <c r="BA598" s="37">
        <v>0</v>
      </c>
      <c r="BB598" s="37">
        <v>0</v>
      </c>
      <c r="BC598" s="37">
        <v>0</v>
      </c>
      <c r="BD598" s="37">
        <v>0</v>
      </c>
      <c r="BE598" s="37">
        <v>0</v>
      </c>
      <c r="BF598" s="37">
        <v>0</v>
      </c>
      <c r="BG598" s="37">
        <v>0</v>
      </c>
      <c r="BH598" s="37">
        <v>0</v>
      </c>
      <c r="BI598" s="37">
        <v>0</v>
      </c>
      <c r="BJ598" s="37">
        <v>0</v>
      </c>
      <c r="BK598" s="59">
        <v>0</v>
      </c>
      <c r="BL598" s="37">
        <v>0</v>
      </c>
      <c r="BM598" s="37">
        <v>0</v>
      </c>
      <c r="BN598" s="37">
        <v>0</v>
      </c>
      <c r="BO598" s="37">
        <v>0</v>
      </c>
      <c r="BP598" s="37">
        <v>0</v>
      </c>
      <c r="BQ598" s="37">
        <v>0</v>
      </c>
      <c r="BR598" s="37">
        <v>0</v>
      </c>
      <c r="BS598" s="37">
        <v>0</v>
      </c>
      <c r="BT598" s="37">
        <v>0</v>
      </c>
      <c r="BU598" s="37">
        <v>0</v>
      </c>
      <c r="BV598" s="37">
        <v>0</v>
      </c>
      <c r="BW598" s="59">
        <v>0</v>
      </c>
      <c r="BX598" s="59">
        <v>0</v>
      </c>
      <c r="BZ598" s="37">
        <v>4000</v>
      </c>
      <c r="CA598" s="37">
        <v>2000</v>
      </c>
      <c r="CB598" s="37">
        <v>0</v>
      </c>
      <c r="CC598" s="37">
        <v>400</v>
      </c>
      <c r="CD598" s="37">
        <v>0</v>
      </c>
      <c r="CE598" s="37">
        <v>0</v>
      </c>
      <c r="CF598" s="37">
        <v>40</v>
      </c>
      <c r="CG598" s="59">
        <v>6440</v>
      </c>
      <c r="CH598" s="37">
        <v>0</v>
      </c>
      <c r="CI598" s="37">
        <v>0</v>
      </c>
      <c r="CJ598" s="37">
        <v>0</v>
      </c>
      <c r="CK598" s="37">
        <v>0</v>
      </c>
      <c r="CL598" s="37">
        <v>0</v>
      </c>
      <c r="CM598" s="37">
        <v>0</v>
      </c>
      <c r="CN598" s="59">
        <v>0</v>
      </c>
      <c r="CO598" s="59">
        <v>6440</v>
      </c>
      <c r="CP598" s="58"/>
      <c r="CQ598" s="3">
        <v>6440</v>
      </c>
    </row>
    <row r="599" spans="1:95" customFormat="1" x14ac:dyDescent="0.2">
      <c r="A599" s="209">
        <v>43461</v>
      </c>
      <c r="B599" s="33" t="s">
        <v>53</v>
      </c>
      <c r="C599" s="33" t="s">
        <v>57</v>
      </c>
      <c r="D599" s="43">
        <v>0</v>
      </c>
      <c r="E599" s="43">
        <v>0</v>
      </c>
      <c r="F599" s="43">
        <v>0</v>
      </c>
      <c r="G599" s="43">
        <v>0</v>
      </c>
      <c r="H599" s="43">
        <v>0</v>
      </c>
      <c r="I599" s="43">
        <v>0</v>
      </c>
      <c r="J599" s="43">
        <v>0</v>
      </c>
      <c r="K599" s="43">
        <v>0</v>
      </c>
      <c r="L599" s="43">
        <v>0</v>
      </c>
      <c r="M599" s="43">
        <v>0</v>
      </c>
      <c r="N599" s="43">
        <v>0</v>
      </c>
      <c r="O599" s="43">
        <v>0</v>
      </c>
      <c r="P599" s="47">
        <v>0</v>
      </c>
      <c r="R599" s="37">
        <v>0</v>
      </c>
      <c r="S599" s="37">
        <v>0</v>
      </c>
      <c r="T599" s="37">
        <v>8000</v>
      </c>
      <c r="U599" s="37">
        <v>0</v>
      </c>
      <c r="V599" s="37">
        <v>4000</v>
      </c>
      <c r="W599" s="37">
        <v>0</v>
      </c>
      <c r="X599" s="37">
        <v>0</v>
      </c>
      <c r="Y599" s="37">
        <v>0</v>
      </c>
      <c r="Z599" s="37">
        <v>800</v>
      </c>
      <c r="AA599" s="37">
        <v>0</v>
      </c>
      <c r="AB599" s="37">
        <v>200</v>
      </c>
      <c r="AC599" s="37">
        <v>0</v>
      </c>
      <c r="AD599" s="37">
        <v>80</v>
      </c>
      <c r="AE599" s="37">
        <v>0</v>
      </c>
      <c r="AF599" s="37">
        <v>80</v>
      </c>
      <c r="AG599" s="59">
        <v>13160</v>
      </c>
      <c r="AH599" s="37">
        <v>0</v>
      </c>
      <c r="AI599" s="37">
        <v>0</v>
      </c>
      <c r="AJ599" s="37">
        <v>0</v>
      </c>
      <c r="AK599" s="37">
        <v>0</v>
      </c>
      <c r="AL599" s="37">
        <v>0</v>
      </c>
      <c r="AM599" s="37">
        <v>0</v>
      </c>
      <c r="AN599" s="37">
        <v>0</v>
      </c>
      <c r="AO599" s="37">
        <v>0</v>
      </c>
      <c r="AP599" s="37">
        <v>0</v>
      </c>
      <c r="AQ599" s="37">
        <v>0</v>
      </c>
      <c r="AR599" s="37">
        <v>0</v>
      </c>
      <c r="AS599" s="59">
        <v>0</v>
      </c>
      <c r="AT599" s="59">
        <v>13160</v>
      </c>
      <c r="AU599" s="45"/>
      <c r="AV599" s="37">
        <v>0</v>
      </c>
      <c r="AW599" s="37">
        <v>0</v>
      </c>
      <c r="AX599" s="37">
        <v>0</v>
      </c>
      <c r="AY599" s="37">
        <v>0</v>
      </c>
      <c r="AZ599" s="37">
        <v>0</v>
      </c>
      <c r="BA599" s="37">
        <v>0</v>
      </c>
      <c r="BB599" s="37">
        <v>0</v>
      </c>
      <c r="BC599" s="37">
        <v>0</v>
      </c>
      <c r="BD599" s="37">
        <v>0</v>
      </c>
      <c r="BE599" s="37">
        <v>0</v>
      </c>
      <c r="BF599" s="37">
        <v>0</v>
      </c>
      <c r="BG599" s="37">
        <v>0</v>
      </c>
      <c r="BH599" s="37">
        <v>0</v>
      </c>
      <c r="BI599" s="37">
        <v>0</v>
      </c>
      <c r="BJ599" s="37">
        <v>0</v>
      </c>
      <c r="BK599" s="59">
        <v>0</v>
      </c>
      <c r="BL599" s="37">
        <v>0</v>
      </c>
      <c r="BM599" s="37">
        <v>0</v>
      </c>
      <c r="BN599" s="37">
        <v>0</v>
      </c>
      <c r="BO599" s="37">
        <v>0</v>
      </c>
      <c r="BP599" s="37">
        <v>0</v>
      </c>
      <c r="BQ599" s="37">
        <v>0</v>
      </c>
      <c r="BR599" s="37">
        <v>0</v>
      </c>
      <c r="BS599" s="37">
        <v>0</v>
      </c>
      <c r="BT599" s="37">
        <v>0</v>
      </c>
      <c r="BU599" s="37">
        <v>0</v>
      </c>
      <c r="BV599" s="37">
        <v>0</v>
      </c>
      <c r="BW599" s="59">
        <v>0</v>
      </c>
      <c r="BX599" s="59">
        <v>0</v>
      </c>
      <c r="BZ599" s="37">
        <v>8000</v>
      </c>
      <c r="CA599" s="37">
        <v>4000</v>
      </c>
      <c r="CB599" s="37">
        <v>0</v>
      </c>
      <c r="CC599" s="37">
        <v>800</v>
      </c>
      <c r="CD599" s="37">
        <v>200</v>
      </c>
      <c r="CE599" s="37">
        <v>80</v>
      </c>
      <c r="CF599" s="37">
        <v>80</v>
      </c>
      <c r="CG599" s="59">
        <v>13160</v>
      </c>
      <c r="CH599" s="37">
        <v>0</v>
      </c>
      <c r="CI599" s="37">
        <v>0</v>
      </c>
      <c r="CJ599" s="37">
        <v>0</v>
      </c>
      <c r="CK599" s="37">
        <v>0</v>
      </c>
      <c r="CL599" s="37">
        <v>0</v>
      </c>
      <c r="CM599" s="37">
        <v>0</v>
      </c>
      <c r="CN599" s="59">
        <v>0</v>
      </c>
      <c r="CO599" s="59">
        <v>13160</v>
      </c>
      <c r="CP599" s="58"/>
      <c r="CQ599" s="3">
        <v>13160</v>
      </c>
    </row>
    <row r="600" spans="1:95" customFormat="1" x14ac:dyDescent="0.2">
      <c r="A600" s="209">
        <v>43461</v>
      </c>
      <c r="B600" s="33" t="s">
        <v>53</v>
      </c>
      <c r="C600" s="33" t="s">
        <v>54</v>
      </c>
      <c r="D600" s="43">
        <v>1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  <c r="P600" s="47" t="s">
        <v>45</v>
      </c>
      <c r="R600" s="37">
        <v>0</v>
      </c>
      <c r="S600" s="37">
        <v>0</v>
      </c>
      <c r="T600" s="37">
        <v>1000000</v>
      </c>
      <c r="U600" s="37">
        <v>0</v>
      </c>
      <c r="V600" s="37">
        <v>0</v>
      </c>
      <c r="W600" s="37">
        <v>0</v>
      </c>
      <c r="X600" s="37">
        <v>0</v>
      </c>
      <c r="Y600" s="37">
        <v>0</v>
      </c>
      <c r="Z600" s="37">
        <v>150000</v>
      </c>
      <c r="AA600" s="37">
        <v>0</v>
      </c>
      <c r="AB600" s="37">
        <v>0</v>
      </c>
      <c r="AC600" s="37">
        <v>0</v>
      </c>
      <c r="AD600" s="37">
        <v>20000</v>
      </c>
      <c r="AE600" s="37">
        <v>0</v>
      </c>
      <c r="AF600" s="37">
        <v>0</v>
      </c>
      <c r="AG600" s="59">
        <v>1170000</v>
      </c>
      <c r="AH600" s="37">
        <v>0</v>
      </c>
      <c r="AI600" s="37">
        <v>0</v>
      </c>
      <c r="AJ600" s="37">
        <v>0</v>
      </c>
      <c r="AK600" s="37">
        <v>0</v>
      </c>
      <c r="AL600" s="37">
        <v>0</v>
      </c>
      <c r="AM600" s="37">
        <v>0</v>
      </c>
      <c r="AN600" s="37">
        <v>0</v>
      </c>
      <c r="AO600" s="37">
        <v>0</v>
      </c>
      <c r="AP600" s="37">
        <v>0</v>
      </c>
      <c r="AQ600" s="37">
        <v>0</v>
      </c>
      <c r="AR600" s="37">
        <v>0</v>
      </c>
      <c r="AS600" s="59">
        <v>0</v>
      </c>
      <c r="AT600" s="59">
        <v>1170000</v>
      </c>
      <c r="AU600" s="45"/>
      <c r="AV600" s="37">
        <v>0</v>
      </c>
      <c r="AW600" s="37">
        <v>0</v>
      </c>
      <c r="AX600" s="37">
        <v>0</v>
      </c>
      <c r="AY600" s="37">
        <v>0</v>
      </c>
      <c r="AZ600" s="37">
        <v>0</v>
      </c>
      <c r="BA600" s="37">
        <v>0</v>
      </c>
      <c r="BB600" s="37">
        <v>0</v>
      </c>
      <c r="BC600" s="37">
        <v>0</v>
      </c>
      <c r="BD600" s="37">
        <v>0</v>
      </c>
      <c r="BE600" s="37">
        <v>0</v>
      </c>
      <c r="BF600" s="37">
        <v>0</v>
      </c>
      <c r="BG600" s="37">
        <v>0</v>
      </c>
      <c r="BH600" s="37">
        <v>0</v>
      </c>
      <c r="BI600" s="37">
        <v>0</v>
      </c>
      <c r="BJ600" s="37">
        <v>0</v>
      </c>
      <c r="BK600" s="59">
        <v>0</v>
      </c>
      <c r="BL600" s="37">
        <v>0</v>
      </c>
      <c r="BM600" s="37">
        <v>0</v>
      </c>
      <c r="BN600" s="37">
        <v>0</v>
      </c>
      <c r="BO600" s="37">
        <v>0</v>
      </c>
      <c r="BP600" s="37">
        <v>0</v>
      </c>
      <c r="BQ600" s="37">
        <v>0</v>
      </c>
      <c r="BR600" s="37">
        <v>0</v>
      </c>
      <c r="BS600" s="37">
        <v>0</v>
      </c>
      <c r="BT600" s="37">
        <v>0</v>
      </c>
      <c r="BU600" s="37">
        <v>0</v>
      </c>
      <c r="BV600" s="37">
        <v>0</v>
      </c>
      <c r="BW600" s="59">
        <v>0</v>
      </c>
      <c r="BX600" s="59">
        <v>0</v>
      </c>
      <c r="BZ600" s="37">
        <v>1000000</v>
      </c>
      <c r="CA600" s="37">
        <v>0</v>
      </c>
      <c r="CB600" s="37">
        <v>0</v>
      </c>
      <c r="CC600" s="37">
        <v>150000</v>
      </c>
      <c r="CD600" s="37">
        <v>0</v>
      </c>
      <c r="CE600" s="37">
        <v>20000</v>
      </c>
      <c r="CF600" s="37">
        <v>0</v>
      </c>
      <c r="CG600" s="59">
        <v>1170000</v>
      </c>
      <c r="CH600" s="37">
        <v>0</v>
      </c>
      <c r="CI600" s="37">
        <v>0</v>
      </c>
      <c r="CJ600" s="37">
        <v>0</v>
      </c>
      <c r="CK600" s="37">
        <v>0</v>
      </c>
      <c r="CL600" s="37">
        <v>0</v>
      </c>
      <c r="CM600" s="37">
        <v>0</v>
      </c>
      <c r="CN600" s="59">
        <v>0</v>
      </c>
      <c r="CO600" s="59">
        <v>1170000</v>
      </c>
      <c r="CP600" s="58"/>
      <c r="CQ600" s="3">
        <v>1170000</v>
      </c>
    </row>
    <row r="601" spans="1:95" customFormat="1" x14ac:dyDescent="0.2">
      <c r="A601" s="33">
        <v>0</v>
      </c>
      <c r="B601" s="33">
        <v>0</v>
      </c>
      <c r="C601" s="33">
        <v>0</v>
      </c>
      <c r="D601" s="43">
        <v>0</v>
      </c>
      <c r="E601" s="43">
        <v>0</v>
      </c>
      <c r="F601" s="43">
        <v>0</v>
      </c>
      <c r="G601" s="43">
        <v>0</v>
      </c>
      <c r="H601" s="43">
        <v>0</v>
      </c>
      <c r="I601" s="43">
        <v>0</v>
      </c>
      <c r="J601" s="43">
        <v>0</v>
      </c>
      <c r="K601" s="43">
        <v>0</v>
      </c>
      <c r="L601" s="43">
        <v>0</v>
      </c>
      <c r="M601" s="43">
        <v>0</v>
      </c>
      <c r="N601" s="43">
        <v>0</v>
      </c>
      <c r="O601" s="43">
        <v>0</v>
      </c>
      <c r="P601" s="47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0</v>
      </c>
      <c r="AA601" s="37">
        <v>0</v>
      </c>
      <c r="AB601" s="37">
        <v>0</v>
      </c>
      <c r="AC601" s="37">
        <v>0</v>
      </c>
      <c r="AD601" s="37">
        <v>0</v>
      </c>
      <c r="AE601" s="37">
        <v>0</v>
      </c>
      <c r="AF601" s="37">
        <v>0</v>
      </c>
      <c r="AG601" s="59">
        <v>0</v>
      </c>
      <c r="AH601" s="37">
        <v>0</v>
      </c>
      <c r="AI601" s="37">
        <v>0</v>
      </c>
      <c r="AJ601" s="37">
        <v>0</v>
      </c>
      <c r="AK601" s="37">
        <v>0</v>
      </c>
      <c r="AL601" s="37">
        <v>0</v>
      </c>
      <c r="AM601" s="37">
        <v>0</v>
      </c>
      <c r="AN601" s="37">
        <v>0</v>
      </c>
      <c r="AO601" s="37">
        <v>0</v>
      </c>
      <c r="AP601" s="37">
        <v>0</v>
      </c>
      <c r="AQ601" s="37">
        <v>0</v>
      </c>
      <c r="AR601" s="37">
        <v>0</v>
      </c>
      <c r="AS601" s="59">
        <v>0</v>
      </c>
      <c r="AT601" s="59">
        <v>0</v>
      </c>
      <c r="AU601" s="45"/>
      <c r="AV601" s="37">
        <v>0</v>
      </c>
      <c r="AW601" s="37">
        <v>0</v>
      </c>
      <c r="AX601" s="37">
        <v>0</v>
      </c>
      <c r="AY601" s="37">
        <v>0</v>
      </c>
      <c r="AZ601" s="37">
        <v>0</v>
      </c>
      <c r="BA601" s="37">
        <v>0</v>
      </c>
      <c r="BB601" s="37">
        <v>0</v>
      </c>
      <c r="BC601" s="37">
        <v>0</v>
      </c>
      <c r="BD601" s="37">
        <v>0</v>
      </c>
      <c r="BE601" s="37">
        <v>0</v>
      </c>
      <c r="BF601" s="37">
        <v>0</v>
      </c>
      <c r="BG601" s="37">
        <v>0</v>
      </c>
      <c r="BH601" s="37">
        <v>0</v>
      </c>
      <c r="BI601" s="37">
        <v>0</v>
      </c>
      <c r="BJ601" s="37">
        <v>0</v>
      </c>
      <c r="BK601" s="59">
        <v>0</v>
      </c>
      <c r="BL601" s="37">
        <v>0</v>
      </c>
      <c r="BM601" s="37">
        <v>0</v>
      </c>
      <c r="BN601" s="37">
        <v>0</v>
      </c>
      <c r="BO601" s="37">
        <v>0</v>
      </c>
      <c r="BP601" s="37">
        <v>0</v>
      </c>
      <c r="BQ601" s="37">
        <v>0</v>
      </c>
      <c r="BR601" s="37">
        <v>0</v>
      </c>
      <c r="BS601" s="37">
        <v>0</v>
      </c>
      <c r="BT601" s="37">
        <v>0</v>
      </c>
      <c r="BU601" s="37">
        <v>0</v>
      </c>
      <c r="BV601" s="37">
        <v>0</v>
      </c>
      <c r="BW601" s="59">
        <v>0</v>
      </c>
      <c r="BX601" s="59">
        <v>0</v>
      </c>
      <c r="BZ601" s="37">
        <v>0</v>
      </c>
      <c r="CA601" s="37">
        <v>0</v>
      </c>
      <c r="CB601" s="37">
        <v>0</v>
      </c>
      <c r="CC601" s="37">
        <v>0</v>
      </c>
      <c r="CD601" s="37">
        <v>0</v>
      </c>
      <c r="CE601" s="37">
        <v>0</v>
      </c>
      <c r="CF601" s="37">
        <v>0</v>
      </c>
      <c r="CG601" s="59">
        <v>0</v>
      </c>
      <c r="CH601" s="37">
        <v>0</v>
      </c>
      <c r="CI601" s="37">
        <v>0</v>
      </c>
      <c r="CJ601" s="37">
        <v>0</v>
      </c>
      <c r="CK601" s="37">
        <v>0</v>
      </c>
      <c r="CL601" s="37">
        <v>0</v>
      </c>
      <c r="CM601" s="37">
        <v>0</v>
      </c>
      <c r="CN601" s="59">
        <v>0</v>
      </c>
      <c r="CO601" s="59">
        <v>0</v>
      </c>
      <c r="CP601" s="58"/>
      <c r="CQ601" s="3">
        <v>0</v>
      </c>
    </row>
    <row r="602" spans="1:95" customFormat="1" x14ac:dyDescent="0.2">
      <c r="A602" s="33">
        <v>0</v>
      </c>
      <c r="B602" s="33">
        <v>0</v>
      </c>
      <c r="C602" s="33">
        <v>0</v>
      </c>
      <c r="D602" s="43">
        <v>0</v>
      </c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43">
        <v>0</v>
      </c>
      <c r="M602" s="43">
        <v>0</v>
      </c>
      <c r="N602" s="43">
        <v>0</v>
      </c>
      <c r="O602" s="43">
        <v>0</v>
      </c>
      <c r="P602" s="47">
        <v>0</v>
      </c>
      <c r="R602" s="37">
        <v>0</v>
      </c>
      <c r="S602" s="37">
        <v>0</v>
      </c>
      <c r="T602" s="37">
        <v>0</v>
      </c>
      <c r="U602" s="37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0</v>
      </c>
      <c r="AB602" s="37">
        <v>0</v>
      </c>
      <c r="AC602" s="37">
        <v>0</v>
      </c>
      <c r="AD602" s="37">
        <v>0</v>
      </c>
      <c r="AE602" s="37">
        <v>0</v>
      </c>
      <c r="AF602" s="37">
        <v>0</v>
      </c>
      <c r="AG602" s="59">
        <v>0</v>
      </c>
      <c r="AH602" s="37">
        <v>0</v>
      </c>
      <c r="AI602" s="37">
        <v>0</v>
      </c>
      <c r="AJ602" s="37">
        <v>0</v>
      </c>
      <c r="AK602" s="37">
        <v>0</v>
      </c>
      <c r="AL602" s="37">
        <v>0</v>
      </c>
      <c r="AM602" s="37">
        <v>0</v>
      </c>
      <c r="AN602" s="37">
        <v>0</v>
      </c>
      <c r="AO602" s="37">
        <v>0</v>
      </c>
      <c r="AP602" s="37">
        <v>0</v>
      </c>
      <c r="AQ602" s="37">
        <v>0</v>
      </c>
      <c r="AR602" s="37">
        <v>0</v>
      </c>
      <c r="AS602" s="59">
        <v>0</v>
      </c>
      <c r="AT602" s="59">
        <v>0</v>
      </c>
      <c r="AU602" s="45"/>
      <c r="AV602" s="37">
        <v>0</v>
      </c>
      <c r="AW602" s="37">
        <v>0</v>
      </c>
      <c r="AX602" s="37">
        <v>0</v>
      </c>
      <c r="AY602" s="37">
        <v>0</v>
      </c>
      <c r="AZ602" s="37">
        <v>0</v>
      </c>
      <c r="BA602" s="37">
        <v>0</v>
      </c>
      <c r="BB602" s="37">
        <v>0</v>
      </c>
      <c r="BC602" s="37">
        <v>0</v>
      </c>
      <c r="BD602" s="37">
        <v>0</v>
      </c>
      <c r="BE602" s="37">
        <v>0</v>
      </c>
      <c r="BF602" s="37">
        <v>0</v>
      </c>
      <c r="BG602" s="37">
        <v>0</v>
      </c>
      <c r="BH602" s="37">
        <v>0</v>
      </c>
      <c r="BI602" s="37">
        <v>0</v>
      </c>
      <c r="BJ602" s="37">
        <v>0</v>
      </c>
      <c r="BK602" s="59">
        <v>0</v>
      </c>
      <c r="BL602" s="37">
        <v>0</v>
      </c>
      <c r="BM602" s="37">
        <v>0</v>
      </c>
      <c r="BN602" s="37">
        <v>0</v>
      </c>
      <c r="BO602" s="37">
        <v>0</v>
      </c>
      <c r="BP602" s="37">
        <v>0</v>
      </c>
      <c r="BQ602" s="37">
        <v>0</v>
      </c>
      <c r="BR602" s="37">
        <v>0</v>
      </c>
      <c r="BS602" s="37">
        <v>0</v>
      </c>
      <c r="BT602" s="37">
        <v>0</v>
      </c>
      <c r="BU602" s="37">
        <v>0</v>
      </c>
      <c r="BV602" s="37">
        <v>0</v>
      </c>
      <c r="BW602" s="59">
        <v>0</v>
      </c>
      <c r="BX602" s="59">
        <v>0</v>
      </c>
      <c r="BZ602" s="37">
        <v>0</v>
      </c>
      <c r="CA602" s="37">
        <v>0</v>
      </c>
      <c r="CB602" s="37">
        <v>0</v>
      </c>
      <c r="CC602" s="37">
        <v>0</v>
      </c>
      <c r="CD602" s="37">
        <v>0</v>
      </c>
      <c r="CE602" s="37">
        <v>0</v>
      </c>
      <c r="CF602" s="37">
        <v>0</v>
      </c>
      <c r="CG602" s="59">
        <v>0</v>
      </c>
      <c r="CH602" s="37">
        <v>0</v>
      </c>
      <c r="CI602" s="37">
        <v>0</v>
      </c>
      <c r="CJ602" s="37">
        <v>0</v>
      </c>
      <c r="CK602" s="37">
        <v>0</v>
      </c>
      <c r="CL602" s="37">
        <v>0</v>
      </c>
      <c r="CM602" s="37">
        <v>0</v>
      </c>
      <c r="CN602" s="59">
        <v>0</v>
      </c>
      <c r="CO602" s="59">
        <v>0</v>
      </c>
      <c r="CP602" s="58"/>
      <c r="CQ602" s="3">
        <v>0</v>
      </c>
    </row>
    <row r="603" spans="1:95" customFormat="1" x14ac:dyDescent="0.2">
      <c r="A603" s="33">
        <v>0</v>
      </c>
      <c r="B603" s="33">
        <v>0</v>
      </c>
      <c r="C603" s="33">
        <v>0</v>
      </c>
      <c r="D603" s="43">
        <v>0</v>
      </c>
      <c r="E603" s="43">
        <v>0</v>
      </c>
      <c r="F603" s="43">
        <v>0</v>
      </c>
      <c r="G603" s="43">
        <v>0</v>
      </c>
      <c r="H603" s="43">
        <v>0</v>
      </c>
      <c r="I603" s="43">
        <v>0</v>
      </c>
      <c r="J603" s="43">
        <v>0</v>
      </c>
      <c r="K603" s="43">
        <v>0</v>
      </c>
      <c r="L603" s="43">
        <v>0</v>
      </c>
      <c r="M603" s="43">
        <v>0</v>
      </c>
      <c r="N603" s="43">
        <v>0</v>
      </c>
      <c r="O603" s="43">
        <v>0</v>
      </c>
      <c r="P603" s="47">
        <v>0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7">
        <v>0</v>
      </c>
      <c r="AB603" s="37">
        <v>0</v>
      </c>
      <c r="AC603" s="37">
        <v>0</v>
      </c>
      <c r="AD603" s="37">
        <v>0</v>
      </c>
      <c r="AE603" s="37">
        <v>0</v>
      </c>
      <c r="AF603" s="37">
        <v>0</v>
      </c>
      <c r="AG603" s="59">
        <v>0</v>
      </c>
      <c r="AH603" s="37">
        <v>0</v>
      </c>
      <c r="AI603" s="37">
        <v>0</v>
      </c>
      <c r="AJ603" s="37">
        <v>0</v>
      </c>
      <c r="AK603" s="37">
        <v>0</v>
      </c>
      <c r="AL603" s="37">
        <v>0</v>
      </c>
      <c r="AM603" s="37">
        <v>0</v>
      </c>
      <c r="AN603" s="37">
        <v>0</v>
      </c>
      <c r="AO603" s="37">
        <v>0</v>
      </c>
      <c r="AP603" s="37">
        <v>0</v>
      </c>
      <c r="AQ603" s="37">
        <v>0</v>
      </c>
      <c r="AR603" s="37">
        <v>0</v>
      </c>
      <c r="AS603" s="59">
        <v>0</v>
      </c>
      <c r="AT603" s="59">
        <v>0</v>
      </c>
      <c r="AU603" s="45"/>
      <c r="AV603" s="37">
        <v>0</v>
      </c>
      <c r="AW603" s="37">
        <v>0</v>
      </c>
      <c r="AX603" s="37">
        <v>0</v>
      </c>
      <c r="AY603" s="37">
        <v>0</v>
      </c>
      <c r="AZ603" s="37">
        <v>0</v>
      </c>
      <c r="BA603" s="37">
        <v>0</v>
      </c>
      <c r="BB603" s="37">
        <v>0</v>
      </c>
      <c r="BC603" s="37">
        <v>0</v>
      </c>
      <c r="BD603" s="37">
        <v>0</v>
      </c>
      <c r="BE603" s="37">
        <v>0</v>
      </c>
      <c r="BF603" s="37">
        <v>0</v>
      </c>
      <c r="BG603" s="37">
        <v>0</v>
      </c>
      <c r="BH603" s="37">
        <v>0</v>
      </c>
      <c r="BI603" s="37">
        <v>0</v>
      </c>
      <c r="BJ603" s="37">
        <v>0</v>
      </c>
      <c r="BK603" s="59">
        <v>0</v>
      </c>
      <c r="BL603" s="37">
        <v>0</v>
      </c>
      <c r="BM603" s="37">
        <v>0</v>
      </c>
      <c r="BN603" s="37">
        <v>0</v>
      </c>
      <c r="BO603" s="37">
        <v>0</v>
      </c>
      <c r="BP603" s="37">
        <v>0</v>
      </c>
      <c r="BQ603" s="37">
        <v>0</v>
      </c>
      <c r="BR603" s="37">
        <v>0</v>
      </c>
      <c r="BS603" s="37">
        <v>0</v>
      </c>
      <c r="BT603" s="37">
        <v>0</v>
      </c>
      <c r="BU603" s="37">
        <v>0</v>
      </c>
      <c r="BV603" s="37">
        <v>0</v>
      </c>
      <c r="BW603" s="59">
        <v>0</v>
      </c>
      <c r="BX603" s="59">
        <v>0</v>
      </c>
      <c r="BZ603" s="37">
        <v>0</v>
      </c>
      <c r="CA603" s="37">
        <v>0</v>
      </c>
      <c r="CB603" s="37">
        <v>0</v>
      </c>
      <c r="CC603" s="37">
        <v>0</v>
      </c>
      <c r="CD603" s="37">
        <v>0</v>
      </c>
      <c r="CE603" s="37">
        <v>0</v>
      </c>
      <c r="CF603" s="37">
        <v>0</v>
      </c>
      <c r="CG603" s="59">
        <v>0</v>
      </c>
      <c r="CH603" s="37">
        <v>0</v>
      </c>
      <c r="CI603" s="37">
        <v>0</v>
      </c>
      <c r="CJ603" s="37">
        <v>0</v>
      </c>
      <c r="CK603" s="37">
        <v>0</v>
      </c>
      <c r="CL603" s="37">
        <v>0</v>
      </c>
      <c r="CM603" s="37">
        <v>0</v>
      </c>
      <c r="CN603" s="59">
        <v>0</v>
      </c>
      <c r="CO603" s="59">
        <v>0</v>
      </c>
      <c r="CP603" s="58"/>
      <c r="CQ603" s="3">
        <v>0</v>
      </c>
    </row>
    <row r="604" spans="1:95" customFormat="1" x14ac:dyDescent="0.2">
      <c r="A604" s="33">
        <v>0</v>
      </c>
      <c r="B604" s="33">
        <v>0</v>
      </c>
      <c r="C604" s="33">
        <v>0</v>
      </c>
      <c r="D604" s="43">
        <v>0</v>
      </c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  <c r="P604" s="47">
        <v>0</v>
      </c>
      <c r="R604" s="37">
        <v>0</v>
      </c>
      <c r="S604" s="37">
        <v>0</v>
      </c>
      <c r="T604" s="37">
        <v>0</v>
      </c>
      <c r="U604" s="37">
        <v>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7">
        <v>0</v>
      </c>
      <c r="AB604" s="37">
        <v>0</v>
      </c>
      <c r="AC604" s="37">
        <v>0</v>
      </c>
      <c r="AD604" s="37">
        <v>0</v>
      </c>
      <c r="AE604" s="37">
        <v>0</v>
      </c>
      <c r="AF604" s="37">
        <v>0</v>
      </c>
      <c r="AG604" s="59">
        <v>0</v>
      </c>
      <c r="AH604" s="37">
        <v>0</v>
      </c>
      <c r="AI604" s="37">
        <v>0</v>
      </c>
      <c r="AJ604" s="37">
        <v>0</v>
      </c>
      <c r="AK604" s="37">
        <v>0</v>
      </c>
      <c r="AL604" s="37">
        <v>0</v>
      </c>
      <c r="AM604" s="37">
        <v>0</v>
      </c>
      <c r="AN604" s="37">
        <v>0</v>
      </c>
      <c r="AO604" s="37">
        <v>0</v>
      </c>
      <c r="AP604" s="37">
        <v>0</v>
      </c>
      <c r="AQ604" s="37">
        <v>0</v>
      </c>
      <c r="AR604" s="37">
        <v>0</v>
      </c>
      <c r="AS604" s="59">
        <v>0</v>
      </c>
      <c r="AT604" s="59">
        <v>0</v>
      </c>
      <c r="AU604" s="45"/>
      <c r="AV604" s="37">
        <v>0</v>
      </c>
      <c r="AW604" s="37">
        <v>0</v>
      </c>
      <c r="AX604" s="37">
        <v>0</v>
      </c>
      <c r="AY604" s="37">
        <v>0</v>
      </c>
      <c r="AZ604" s="37">
        <v>0</v>
      </c>
      <c r="BA604" s="37">
        <v>0</v>
      </c>
      <c r="BB604" s="37">
        <v>0</v>
      </c>
      <c r="BC604" s="37">
        <v>0</v>
      </c>
      <c r="BD604" s="37">
        <v>0</v>
      </c>
      <c r="BE604" s="37">
        <v>0</v>
      </c>
      <c r="BF604" s="37">
        <v>0</v>
      </c>
      <c r="BG604" s="37">
        <v>0</v>
      </c>
      <c r="BH604" s="37">
        <v>0</v>
      </c>
      <c r="BI604" s="37">
        <v>0</v>
      </c>
      <c r="BJ604" s="37">
        <v>0</v>
      </c>
      <c r="BK604" s="59">
        <v>0</v>
      </c>
      <c r="BL604" s="37">
        <v>0</v>
      </c>
      <c r="BM604" s="37">
        <v>0</v>
      </c>
      <c r="BN604" s="37">
        <v>0</v>
      </c>
      <c r="BO604" s="37">
        <v>0</v>
      </c>
      <c r="BP604" s="37">
        <v>0</v>
      </c>
      <c r="BQ604" s="37">
        <v>0</v>
      </c>
      <c r="BR604" s="37">
        <v>0</v>
      </c>
      <c r="BS604" s="37">
        <v>0</v>
      </c>
      <c r="BT604" s="37">
        <v>0</v>
      </c>
      <c r="BU604" s="37">
        <v>0</v>
      </c>
      <c r="BV604" s="37">
        <v>0</v>
      </c>
      <c r="BW604" s="59">
        <v>0</v>
      </c>
      <c r="BX604" s="59">
        <v>0</v>
      </c>
      <c r="BZ604" s="37">
        <v>0</v>
      </c>
      <c r="CA604" s="37">
        <v>0</v>
      </c>
      <c r="CB604" s="37">
        <v>0</v>
      </c>
      <c r="CC604" s="37">
        <v>0</v>
      </c>
      <c r="CD604" s="37">
        <v>0</v>
      </c>
      <c r="CE604" s="37">
        <v>0</v>
      </c>
      <c r="CF604" s="37">
        <v>0</v>
      </c>
      <c r="CG604" s="59">
        <v>0</v>
      </c>
      <c r="CH604" s="37">
        <v>0</v>
      </c>
      <c r="CI604" s="37">
        <v>0</v>
      </c>
      <c r="CJ604" s="37">
        <v>0</v>
      </c>
      <c r="CK604" s="37">
        <v>0</v>
      </c>
      <c r="CL604" s="37">
        <v>0</v>
      </c>
      <c r="CM604" s="37">
        <v>0</v>
      </c>
      <c r="CN604" s="59">
        <v>0</v>
      </c>
      <c r="CO604" s="59">
        <v>0</v>
      </c>
      <c r="CP604" s="58"/>
      <c r="CQ604" s="3">
        <v>0</v>
      </c>
    </row>
    <row r="605" spans="1:95" customFormat="1" x14ac:dyDescent="0.2">
      <c r="A605" s="33">
        <v>0</v>
      </c>
      <c r="B605" s="33">
        <v>0</v>
      </c>
      <c r="C605" s="33">
        <v>0</v>
      </c>
      <c r="D605" s="43">
        <v>0</v>
      </c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0</v>
      </c>
      <c r="O605" s="43">
        <v>0</v>
      </c>
      <c r="P605" s="47">
        <v>0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v>0</v>
      </c>
      <c r="AD605" s="37">
        <v>0</v>
      </c>
      <c r="AE605" s="37">
        <v>0</v>
      </c>
      <c r="AF605" s="37">
        <v>0</v>
      </c>
      <c r="AG605" s="59">
        <v>0</v>
      </c>
      <c r="AH605" s="37">
        <v>0</v>
      </c>
      <c r="AI605" s="37">
        <v>0</v>
      </c>
      <c r="AJ605" s="37">
        <v>0</v>
      </c>
      <c r="AK605" s="37">
        <v>0</v>
      </c>
      <c r="AL605" s="37">
        <v>0</v>
      </c>
      <c r="AM605" s="37">
        <v>0</v>
      </c>
      <c r="AN605" s="37">
        <v>0</v>
      </c>
      <c r="AO605" s="37">
        <v>0</v>
      </c>
      <c r="AP605" s="37">
        <v>0</v>
      </c>
      <c r="AQ605" s="37">
        <v>0</v>
      </c>
      <c r="AR605" s="37">
        <v>0</v>
      </c>
      <c r="AS605" s="59">
        <v>0</v>
      </c>
      <c r="AT605" s="59">
        <v>0</v>
      </c>
      <c r="AU605" s="45"/>
      <c r="AV605" s="37">
        <v>0</v>
      </c>
      <c r="AW605" s="37">
        <v>0</v>
      </c>
      <c r="AX605" s="37">
        <v>0</v>
      </c>
      <c r="AY605" s="37">
        <v>0</v>
      </c>
      <c r="AZ605" s="37">
        <v>0</v>
      </c>
      <c r="BA605" s="37">
        <v>0</v>
      </c>
      <c r="BB605" s="37">
        <v>0</v>
      </c>
      <c r="BC605" s="37">
        <v>0</v>
      </c>
      <c r="BD605" s="37">
        <v>0</v>
      </c>
      <c r="BE605" s="37">
        <v>0</v>
      </c>
      <c r="BF605" s="37">
        <v>0</v>
      </c>
      <c r="BG605" s="37">
        <v>0</v>
      </c>
      <c r="BH605" s="37">
        <v>0</v>
      </c>
      <c r="BI605" s="37">
        <v>0</v>
      </c>
      <c r="BJ605" s="37">
        <v>0</v>
      </c>
      <c r="BK605" s="59">
        <v>0</v>
      </c>
      <c r="BL605" s="37">
        <v>0</v>
      </c>
      <c r="BM605" s="37">
        <v>0</v>
      </c>
      <c r="BN605" s="37">
        <v>0</v>
      </c>
      <c r="BO605" s="37">
        <v>0</v>
      </c>
      <c r="BP605" s="37">
        <v>0</v>
      </c>
      <c r="BQ605" s="37">
        <v>0</v>
      </c>
      <c r="BR605" s="37">
        <v>0</v>
      </c>
      <c r="BS605" s="37">
        <v>0</v>
      </c>
      <c r="BT605" s="37">
        <v>0</v>
      </c>
      <c r="BU605" s="37">
        <v>0</v>
      </c>
      <c r="BV605" s="37">
        <v>0</v>
      </c>
      <c r="BW605" s="59">
        <v>0</v>
      </c>
      <c r="BX605" s="59">
        <v>0</v>
      </c>
      <c r="BZ605" s="37">
        <v>0</v>
      </c>
      <c r="CA605" s="37">
        <v>0</v>
      </c>
      <c r="CB605" s="37">
        <v>0</v>
      </c>
      <c r="CC605" s="37">
        <v>0</v>
      </c>
      <c r="CD605" s="37">
        <v>0</v>
      </c>
      <c r="CE605" s="37">
        <v>0</v>
      </c>
      <c r="CF605" s="37">
        <v>0</v>
      </c>
      <c r="CG605" s="59">
        <v>0</v>
      </c>
      <c r="CH605" s="37">
        <v>0</v>
      </c>
      <c r="CI605" s="37">
        <v>0</v>
      </c>
      <c r="CJ605" s="37">
        <v>0</v>
      </c>
      <c r="CK605" s="37">
        <v>0</v>
      </c>
      <c r="CL605" s="37">
        <v>0</v>
      </c>
      <c r="CM605" s="37">
        <v>0</v>
      </c>
      <c r="CN605" s="59">
        <v>0</v>
      </c>
      <c r="CO605" s="59">
        <v>0</v>
      </c>
      <c r="CP605" s="58"/>
      <c r="CQ605" s="3">
        <v>0</v>
      </c>
    </row>
    <row r="606" spans="1:95" customFormat="1" x14ac:dyDescent="0.2">
      <c r="A606" s="33">
        <v>0</v>
      </c>
      <c r="B606" s="33">
        <v>0</v>
      </c>
      <c r="C606" s="33">
        <v>0</v>
      </c>
      <c r="D606" s="43">
        <v>0</v>
      </c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43">
        <v>0</v>
      </c>
      <c r="M606" s="43">
        <v>0</v>
      </c>
      <c r="N606" s="43">
        <v>0</v>
      </c>
      <c r="O606" s="43">
        <v>0</v>
      </c>
      <c r="P606" s="47">
        <v>0</v>
      </c>
      <c r="R606" s="37">
        <v>0</v>
      </c>
      <c r="S606" s="37">
        <v>0</v>
      </c>
      <c r="T606" s="37">
        <v>0</v>
      </c>
      <c r="U606" s="37">
        <v>0</v>
      </c>
      <c r="V606" s="37">
        <v>0</v>
      </c>
      <c r="W606" s="37">
        <v>0</v>
      </c>
      <c r="X606" s="37">
        <v>0</v>
      </c>
      <c r="Y606" s="37">
        <v>0</v>
      </c>
      <c r="Z606" s="37">
        <v>0</v>
      </c>
      <c r="AA606" s="37">
        <v>0</v>
      </c>
      <c r="AB606" s="37">
        <v>0</v>
      </c>
      <c r="AC606" s="37">
        <v>0</v>
      </c>
      <c r="AD606" s="37">
        <v>0</v>
      </c>
      <c r="AE606" s="37">
        <v>0</v>
      </c>
      <c r="AF606" s="37">
        <v>0</v>
      </c>
      <c r="AG606" s="59">
        <v>0</v>
      </c>
      <c r="AH606" s="37">
        <v>0</v>
      </c>
      <c r="AI606" s="37">
        <v>0</v>
      </c>
      <c r="AJ606" s="37">
        <v>0</v>
      </c>
      <c r="AK606" s="37">
        <v>0</v>
      </c>
      <c r="AL606" s="37">
        <v>0</v>
      </c>
      <c r="AM606" s="37">
        <v>0</v>
      </c>
      <c r="AN606" s="37">
        <v>0</v>
      </c>
      <c r="AO606" s="37">
        <v>0</v>
      </c>
      <c r="AP606" s="37">
        <v>0</v>
      </c>
      <c r="AQ606" s="37">
        <v>0</v>
      </c>
      <c r="AR606" s="37">
        <v>0</v>
      </c>
      <c r="AS606" s="59">
        <v>0</v>
      </c>
      <c r="AT606" s="59">
        <v>0</v>
      </c>
      <c r="AU606" s="45"/>
      <c r="AV606" s="37">
        <v>0</v>
      </c>
      <c r="AW606" s="37">
        <v>0</v>
      </c>
      <c r="AX606" s="37">
        <v>0</v>
      </c>
      <c r="AY606" s="37">
        <v>0</v>
      </c>
      <c r="AZ606" s="37">
        <v>0</v>
      </c>
      <c r="BA606" s="37">
        <v>0</v>
      </c>
      <c r="BB606" s="37">
        <v>0</v>
      </c>
      <c r="BC606" s="37">
        <v>0</v>
      </c>
      <c r="BD606" s="37">
        <v>0</v>
      </c>
      <c r="BE606" s="37">
        <v>0</v>
      </c>
      <c r="BF606" s="37">
        <v>0</v>
      </c>
      <c r="BG606" s="37">
        <v>0</v>
      </c>
      <c r="BH606" s="37">
        <v>0</v>
      </c>
      <c r="BI606" s="37">
        <v>0</v>
      </c>
      <c r="BJ606" s="37">
        <v>0</v>
      </c>
      <c r="BK606" s="59">
        <v>0</v>
      </c>
      <c r="BL606" s="37">
        <v>0</v>
      </c>
      <c r="BM606" s="37">
        <v>0</v>
      </c>
      <c r="BN606" s="37">
        <v>0</v>
      </c>
      <c r="BO606" s="37">
        <v>0</v>
      </c>
      <c r="BP606" s="37">
        <v>0</v>
      </c>
      <c r="BQ606" s="37">
        <v>0</v>
      </c>
      <c r="BR606" s="37">
        <v>0</v>
      </c>
      <c r="BS606" s="37">
        <v>0</v>
      </c>
      <c r="BT606" s="37">
        <v>0</v>
      </c>
      <c r="BU606" s="37">
        <v>0</v>
      </c>
      <c r="BV606" s="37">
        <v>0</v>
      </c>
      <c r="BW606" s="59">
        <v>0</v>
      </c>
      <c r="BX606" s="59">
        <v>0</v>
      </c>
      <c r="BZ606" s="37">
        <v>0</v>
      </c>
      <c r="CA606" s="37">
        <v>0</v>
      </c>
      <c r="CB606" s="37">
        <v>0</v>
      </c>
      <c r="CC606" s="37">
        <v>0</v>
      </c>
      <c r="CD606" s="37">
        <v>0</v>
      </c>
      <c r="CE606" s="37">
        <v>0</v>
      </c>
      <c r="CF606" s="37">
        <v>0</v>
      </c>
      <c r="CG606" s="59">
        <v>0</v>
      </c>
      <c r="CH606" s="37">
        <v>0</v>
      </c>
      <c r="CI606" s="37">
        <v>0</v>
      </c>
      <c r="CJ606" s="37">
        <v>0</v>
      </c>
      <c r="CK606" s="37">
        <v>0</v>
      </c>
      <c r="CL606" s="37">
        <v>0</v>
      </c>
      <c r="CM606" s="37">
        <v>0</v>
      </c>
      <c r="CN606" s="59">
        <v>0</v>
      </c>
      <c r="CO606" s="59">
        <v>0</v>
      </c>
      <c r="CP606" s="58"/>
      <c r="CQ606" s="3">
        <v>0</v>
      </c>
    </row>
    <row r="607" spans="1:95" customFormat="1" x14ac:dyDescent="0.2">
      <c r="A607" s="33">
        <v>0</v>
      </c>
      <c r="B607" s="33">
        <v>0</v>
      </c>
      <c r="C607" s="33">
        <v>0</v>
      </c>
      <c r="D607" s="43">
        <v>0</v>
      </c>
      <c r="E607" s="43">
        <v>0</v>
      </c>
      <c r="F607" s="43">
        <v>0</v>
      </c>
      <c r="G607" s="43">
        <v>0</v>
      </c>
      <c r="H607" s="43">
        <v>0</v>
      </c>
      <c r="I607" s="43">
        <v>0</v>
      </c>
      <c r="J607" s="43">
        <v>0</v>
      </c>
      <c r="K607" s="43">
        <v>0</v>
      </c>
      <c r="L607" s="43">
        <v>0</v>
      </c>
      <c r="M607" s="43">
        <v>0</v>
      </c>
      <c r="N607" s="43">
        <v>0</v>
      </c>
      <c r="O607" s="43">
        <v>0</v>
      </c>
      <c r="P607" s="47">
        <v>0</v>
      </c>
      <c r="R607" s="37">
        <v>0</v>
      </c>
      <c r="S607" s="37">
        <v>0</v>
      </c>
      <c r="T607" s="37">
        <v>0</v>
      </c>
      <c r="U607" s="37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v>0</v>
      </c>
      <c r="AD607" s="37">
        <v>0</v>
      </c>
      <c r="AE607" s="37">
        <v>0</v>
      </c>
      <c r="AF607" s="37">
        <v>0</v>
      </c>
      <c r="AG607" s="59">
        <v>0</v>
      </c>
      <c r="AH607" s="37">
        <v>0</v>
      </c>
      <c r="AI607" s="37">
        <v>0</v>
      </c>
      <c r="AJ607" s="37">
        <v>0</v>
      </c>
      <c r="AK607" s="37">
        <v>0</v>
      </c>
      <c r="AL607" s="37">
        <v>0</v>
      </c>
      <c r="AM607" s="37">
        <v>0</v>
      </c>
      <c r="AN607" s="37">
        <v>0</v>
      </c>
      <c r="AO607" s="37">
        <v>0</v>
      </c>
      <c r="AP607" s="37">
        <v>0</v>
      </c>
      <c r="AQ607" s="37">
        <v>0</v>
      </c>
      <c r="AR607" s="37">
        <v>0</v>
      </c>
      <c r="AS607" s="59">
        <v>0</v>
      </c>
      <c r="AT607" s="59">
        <v>0</v>
      </c>
      <c r="AU607" s="45"/>
      <c r="AV607" s="37">
        <v>0</v>
      </c>
      <c r="AW607" s="37">
        <v>0</v>
      </c>
      <c r="AX607" s="37">
        <v>0</v>
      </c>
      <c r="AY607" s="37">
        <v>0</v>
      </c>
      <c r="AZ607" s="37">
        <v>0</v>
      </c>
      <c r="BA607" s="37">
        <v>0</v>
      </c>
      <c r="BB607" s="37">
        <v>0</v>
      </c>
      <c r="BC607" s="37">
        <v>0</v>
      </c>
      <c r="BD607" s="37">
        <v>0</v>
      </c>
      <c r="BE607" s="37">
        <v>0</v>
      </c>
      <c r="BF607" s="37">
        <v>0</v>
      </c>
      <c r="BG607" s="37">
        <v>0</v>
      </c>
      <c r="BH607" s="37">
        <v>0</v>
      </c>
      <c r="BI607" s="37">
        <v>0</v>
      </c>
      <c r="BJ607" s="37">
        <v>0</v>
      </c>
      <c r="BK607" s="59">
        <v>0</v>
      </c>
      <c r="BL607" s="37">
        <v>0</v>
      </c>
      <c r="BM607" s="37">
        <v>0</v>
      </c>
      <c r="BN607" s="37">
        <v>0</v>
      </c>
      <c r="BO607" s="37">
        <v>0</v>
      </c>
      <c r="BP607" s="37">
        <v>0</v>
      </c>
      <c r="BQ607" s="37">
        <v>0</v>
      </c>
      <c r="BR607" s="37">
        <v>0</v>
      </c>
      <c r="BS607" s="37">
        <v>0</v>
      </c>
      <c r="BT607" s="37">
        <v>0</v>
      </c>
      <c r="BU607" s="37">
        <v>0</v>
      </c>
      <c r="BV607" s="37">
        <v>0</v>
      </c>
      <c r="BW607" s="59">
        <v>0</v>
      </c>
      <c r="BX607" s="59">
        <v>0</v>
      </c>
      <c r="BZ607" s="37">
        <v>0</v>
      </c>
      <c r="CA607" s="37">
        <v>0</v>
      </c>
      <c r="CB607" s="37">
        <v>0</v>
      </c>
      <c r="CC607" s="37">
        <v>0</v>
      </c>
      <c r="CD607" s="37">
        <v>0</v>
      </c>
      <c r="CE607" s="37">
        <v>0</v>
      </c>
      <c r="CF607" s="37">
        <v>0</v>
      </c>
      <c r="CG607" s="59">
        <v>0</v>
      </c>
      <c r="CH607" s="37">
        <v>0</v>
      </c>
      <c r="CI607" s="37">
        <v>0</v>
      </c>
      <c r="CJ607" s="37">
        <v>0</v>
      </c>
      <c r="CK607" s="37">
        <v>0</v>
      </c>
      <c r="CL607" s="37">
        <v>0</v>
      </c>
      <c r="CM607" s="37">
        <v>0</v>
      </c>
      <c r="CN607" s="59">
        <v>0</v>
      </c>
      <c r="CO607" s="59">
        <v>0</v>
      </c>
      <c r="CP607" s="58"/>
      <c r="CQ607" s="3">
        <v>0</v>
      </c>
    </row>
    <row r="608" spans="1:95" customFormat="1" x14ac:dyDescent="0.2">
      <c r="A608" s="33">
        <v>0</v>
      </c>
      <c r="B608" s="33">
        <v>0</v>
      </c>
      <c r="C608" s="33">
        <v>0</v>
      </c>
      <c r="D608" s="43">
        <v>0</v>
      </c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43">
        <v>0</v>
      </c>
      <c r="M608" s="43">
        <v>0</v>
      </c>
      <c r="N608" s="43">
        <v>0</v>
      </c>
      <c r="O608" s="43">
        <v>0</v>
      </c>
      <c r="P608" s="47">
        <v>0</v>
      </c>
      <c r="R608" s="37">
        <v>0</v>
      </c>
      <c r="S608" s="37">
        <v>0</v>
      </c>
      <c r="T608" s="37">
        <v>0</v>
      </c>
      <c r="U608" s="37">
        <v>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7">
        <v>0</v>
      </c>
      <c r="AB608" s="37">
        <v>0</v>
      </c>
      <c r="AC608" s="37">
        <v>0</v>
      </c>
      <c r="AD608" s="37">
        <v>0</v>
      </c>
      <c r="AE608" s="37">
        <v>0</v>
      </c>
      <c r="AF608" s="37">
        <v>0</v>
      </c>
      <c r="AG608" s="59">
        <v>0</v>
      </c>
      <c r="AH608" s="37">
        <v>0</v>
      </c>
      <c r="AI608" s="37">
        <v>0</v>
      </c>
      <c r="AJ608" s="37">
        <v>0</v>
      </c>
      <c r="AK608" s="37">
        <v>0</v>
      </c>
      <c r="AL608" s="37">
        <v>0</v>
      </c>
      <c r="AM608" s="37">
        <v>0</v>
      </c>
      <c r="AN608" s="37">
        <v>0</v>
      </c>
      <c r="AO608" s="37">
        <v>0</v>
      </c>
      <c r="AP608" s="37">
        <v>0</v>
      </c>
      <c r="AQ608" s="37">
        <v>0</v>
      </c>
      <c r="AR608" s="37">
        <v>0</v>
      </c>
      <c r="AS608" s="59">
        <v>0</v>
      </c>
      <c r="AT608" s="59">
        <v>0</v>
      </c>
      <c r="AU608" s="45"/>
      <c r="AV608" s="37">
        <v>0</v>
      </c>
      <c r="AW608" s="37">
        <v>0</v>
      </c>
      <c r="AX608" s="37">
        <v>0</v>
      </c>
      <c r="AY608" s="37">
        <v>0</v>
      </c>
      <c r="AZ608" s="37">
        <v>0</v>
      </c>
      <c r="BA608" s="37">
        <v>0</v>
      </c>
      <c r="BB608" s="37">
        <v>0</v>
      </c>
      <c r="BC608" s="37">
        <v>0</v>
      </c>
      <c r="BD608" s="37">
        <v>0</v>
      </c>
      <c r="BE608" s="37">
        <v>0</v>
      </c>
      <c r="BF608" s="37">
        <v>0</v>
      </c>
      <c r="BG608" s="37">
        <v>0</v>
      </c>
      <c r="BH608" s="37">
        <v>0</v>
      </c>
      <c r="BI608" s="37">
        <v>0</v>
      </c>
      <c r="BJ608" s="37">
        <v>0</v>
      </c>
      <c r="BK608" s="59">
        <v>0</v>
      </c>
      <c r="BL608" s="37">
        <v>0</v>
      </c>
      <c r="BM608" s="37">
        <v>0</v>
      </c>
      <c r="BN608" s="37">
        <v>0</v>
      </c>
      <c r="BO608" s="37">
        <v>0</v>
      </c>
      <c r="BP608" s="37">
        <v>0</v>
      </c>
      <c r="BQ608" s="37">
        <v>0</v>
      </c>
      <c r="BR608" s="37">
        <v>0</v>
      </c>
      <c r="BS608" s="37">
        <v>0</v>
      </c>
      <c r="BT608" s="37">
        <v>0</v>
      </c>
      <c r="BU608" s="37">
        <v>0</v>
      </c>
      <c r="BV608" s="37">
        <v>0</v>
      </c>
      <c r="BW608" s="59">
        <v>0</v>
      </c>
      <c r="BX608" s="59">
        <v>0</v>
      </c>
      <c r="BZ608" s="37">
        <v>0</v>
      </c>
      <c r="CA608" s="37">
        <v>0</v>
      </c>
      <c r="CB608" s="37">
        <v>0</v>
      </c>
      <c r="CC608" s="37">
        <v>0</v>
      </c>
      <c r="CD608" s="37">
        <v>0</v>
      </c>
      <c r="CE608" s="37">
        <v>0</v>
      </c>
      <c r="CF608" s="37">
        <v>0</v>
      </c>
      <c r="CG608" s="59">
        <v>0</v>
      </c>
      <c r="CH608" s="37">
        <v>0</v>
      </c>
      <c r="CI608" s="37">
        <v>0</v>
      </c>
      <c r="CJ608" s="37">
        <v>0</v>
      </c>
      <c r="CK608" s="37">
        <v>0</v>
      </c>
      <c r="CL608" s="37">
        <v>0</v>
      </c>
      <c r="CM608" s="37">
        <v>0</v>
      </c>
      <c r="CN608" s="59">
        <v>0</v>
      </c>
      <c r="CO608" s="59">
        <v>0</v>
      </c>
      <c r="CP608" s="58"/>
      <c r="CQ608" s="3">
        <v>0</v>
      </c>
    </row>
    <row r="609" spans="1:95" customFormat="1" x14ac:dyDescent="0.2">
      <c r="A609" s="33">
        <v>0</v>
      </c>
      <c r="B609" s="33">
        <v>0</v>
      </c>
      <c r="C609" s="33">
        <v>0</v>
      </c>
      <c r="D609" s="43">
        <v>0</v>
      </c>
      <c r="E609" s="43">
        <v>0</v>
      </c>
      <c r="F609" s="43">
        <v>0</v>
      </c>
      <c r="G609" s="43">
        <v>0</v>
      </c>
      <c r="H609" s="43">
        <v>0</v>
      </c>
      <c r="I609" s="43">
        <v>0</v>
      </c>
      <c r="J609" s="43">
        <v>0</v>
      </c>
      <c r="K609" s="43">
        <v>0</v>
      </c>
      <c r="L609" s="43">
        <v>0</v>
      </c>
      <c r="M609" s="43">
        <v>0</v>
      </c>
      <c r="N609" s="43">
        <v>0</v>
      </c>
      <c r="O609" s="43">
        <v>0</v>
      </c>
      <c r="P609" s="4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59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59">
        <v>0</v>
      </c>
      <c r="AT609" s="59">
        <v>0</v>
      </c>
      <c r="AU609" s="45"/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>
        <v>0</v>
      </c>
      <c r="BB609" s="37">
        <v>0</v>
      </c>
      <c r="BC609" s="37">
        <v>0</v>
      </c>
      <c r="BD609" s="37">
        <v>0</v>
      </c>
      <c r="BE609" s="37">
        <v>0</v>
      </c>
      <c r="BF609" s="37">
        <v>0</v>
      </c>
      <c r="BG609" s="37">
        <v>0</v>
      </c>
      <c r="BH609" s="37">
        <v>0</v>
      </c>
      <c r="BI609" s="37">
        <v>0</v>
      </c>
      <c r="BJ609" s="37">
        <v>0</v>
      </c>
      <c r="BK609" s="59">
        <v>0</v>
      </c>
      <c r="BL609" s="37">
        <v>0</v>
      </c>
      <c r="BM609" s="37">
        <v>0</v>
      </c>
      <c r="BN609" s="37">
        <v>0</v>
      </c>
      <c r="BO609" s="37">
        <v>0</v>
      </c>
      <c r="BP609" s="37">
        <v>0</v>
      </c>
      <c r="BQ609" s="37">
        <v>0</v>
      </c>
      <c r="BR609" s="37">
        <v>0</v>
      </c>
      <c r="BS609" s="37">
        <v>0</v>
      </c>
      <c r="BT609" s="37">
        <v>0</v>
      </c>
      <c r="BU609" s="37">
        <v>0</v>
      </c>
      <c r="BV609" s="37">
        <v>0</v>
      </c>
      <c r="BW609" s="59">
        <v>0</v>
      </c>
      <c r="BX609" s="59">
        <v>0</v>
      </c>
      <c r="BZ609" s="37">
        <v>0</v>
      </c>
      <c r="CA609" s="37">
        <v>0</v>
      </c>
      <c r="CB609" s="37">
        <v>0</v>
      </c>
      <c r="CC609" s="37">
        <v>0</v>
      </c>
      <c r="CD609" s="37">
        <v>0</v>
      </c>
      <c r="CE609" s="37">
        <v>0</v>
      </c>
      <c r="CF609" s="37">
        <v>0</v>
      </c>
      <c r="CG609" s="59">
        <v>0</v>
      </c>
      <c r="CH609" s="37">
        <v>0</v>
      </c>
      <c r="CI609" s="37">
        <v>0</v>
      </c>
      <c r="CJ609" s="37">
        <v>0</v>
      </c>
      <c r="CK609" s="37">
        <v>0</v>
      </c>
      <c r="CL609" s="37">
        <v>0</v>
      </c>
      <c r="CM609" s="37">
        <v>0</v>
      </c>
      <c r="CN609" s="59">
        <v>0</v>
      </c>
      <c r="CO609" s="59">
        <v>0</v>
      </c>
      <c r="CP609" s="58"/>
      <c r="CQ609" s="3">
        <v>0</v>
      </c>
    </row>
    <row r="610" spans="1:95" customFormat="1" x14ac:dyDescent="0.2">
      <c r="A610" s="33">
        <v>0</v>
      </c>
      <c r="B610" s="33">
        <v>0</v>
      </c>
      <c r="C610" s="33">
        <v>0</v>
      </c>
      <c r="D610" s="43">
        <v>0</v>
      </c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43">
        <v>0</v>
      </c>
      <c r="M610" s="43">
        <v>0</v>
      </c>
      <c r="N610" s="43">
        <v>0</v>
      </c>
      <c r="O610" s="43">
        <v>0</v>
      </c>
      <c r="P610" s="47">
        <v>0</v>
      </c>
      <c r="R610" s="37">
        <v>0</v>
      </c>
      <c r="S610" s="37">
        <v>0</v>
      </c>
      <c r="T610" s="37">
        <v>0</v>
      </c>
      <c r="U610" s="37">
        <v>0</v>
      </c>
      <c r="V610" s="37">
        <v>0</v>
      </c>
      <c r="W610" s="37">
        <v>0</v>
      </c>
      <c r="X610" s="37">
        <v>0</v>
      </c>
      <c r="Y610" s="37">
        <v>0</v>
      </c>
      <c r="Z610" s="37">
        <v>0</v>
      </c>
      <c r="AA610" s="37">
        <v>0</v>
      </c>
      <c r="AB610" s="37">
        <v>0</v>
      </c>
      <c r="AC610" s="37">
        <v>0</v>
      </c>
      <c r="AD610" s="37">
        <v>0</v>
      </c>
      <c r="AE610" s="37">
        <v>0</v>
      </c>
      <c r="AF610" s="37">
        <v>0</v>
      </c>
      <c r="AG610" s="59">
        <v>0</v>
      </c>
      <c r="AH610" s="37">
        <v>0</v>
      </c>
      <c r="AI610" s="37">
        <v>0</v>
      </c>
      <c r="AJ610" s="37">
        <v>0</v>
      </c>
      <c r="AK610" s="37">
        <v>0</v>
      </c>
      <c r="AL610" s="37">
        <v>0</v>
      </c>
      <c r="AM610" s="37">
        <v>0</v>
      </c>
      <c r="AN610" s="37">
        <v>0</v>
      </c>
      <c r="AO610" s="37">
        <v>0</v>
      </c>
      <c r="AP610" s="37">
        <v>0</v>
      </c>
      <c r="AQ610" s="37">
        <v>0</v>
      </c>
      <c r="AR610" s="37">
        <v>0</v>
      </c>
      <c r="AS610" s="59">
        <v>0</v>
      </c>
      <c r="AT610" s="59">
        <v>0</v>
      </c>
      <c r="AU610" s="45"/>
      <c r="AV610" s="37">
        <v>0</v>
      </c>
      <c r="AW610" s="37">
        <v>0</v>
      </c>
      <c r="AX610" s="37">
        <v>0</v>
      </c>
      <c r="AY610" s="37">
        <v>0</v>
      </c>
      <c r="AZ610" s="37">
        <v>0</v>
      </c>
      <c r="BA610" s="37">
        <v>0</v>
      </c>
      <c r="BB610" s="37">
        <v>0</v>
      </c>
      <c r="BC610" s="37">
        <v>0</v>
      </c>
      <c r="BD610" s="37">
        <v>0</v>
      </c>
      <c r="BE610" s="37">
        <v>0</v>
      </c>
      <c r="BF610" s="37">
        <v>0</v>
      </c>
      <c r="BG610" s="37">
        <v>0</v>
      </c>
      <c r="BH610" s="37">
        <v>0</v>
      </c>
      <c r="BI610" s="37">
        <v>0</v>
      </c>
      <c r="BJ610" s="37">
        <v>0</v>
      </c>
      <c r="BK610" s="59">
        <v>0</v>
      </c>
      <c r="BL610" s="37">
        <v>0</v>
      </c>
      <c r="BM610" s="37">
        <v>0</v>
      </c>
      <c r="BN610" s="37">
        <v>0</v>
      </c>
      <c r="BO610" s="37">
        <v>0</v>
      </c>
      <c r="BP610" s="37">
        <v>0</v>
      </c>
      <c r="BQ610" s="37">
        <v>0</v>
      </c>
      <c r="BR610" s="37">
        <v>0</v>
      </c>
      <c r="BS610" s="37">
        <v>0</v>
      </c>
      <c r="BT610" s="37">
        <v>0</v>
      </c>
      <c r="BU610" s="37">
        <v>0</v>
      </c>
      <c r="BV610" s="37">
        <v>0</v>
      </c>
      <c r="BW610" s="59">
        <v>0</v>
      </c>
      <c r="BX610" s="59">
        <v>0</v>
      </c>
      <c r="BZ610" s="37">
        <v>0</v>
      </c>
      <c r="CA610" s="37">
        <v>0</v>
      </c>
      <c r="CB610" s="37">
        <v>0</v>
      </c>
      <c r="CC610" s="37">
        <v>0</v>
      </c>
      <c r="CD610" s="37">
        <v>0</v>
      </c>
      <c r="CE610" s="37">
        <v>0</v>
      </c>
      <c r="CF610" s="37">
        <v>0</v>
      </c>
      <c r="CG610" s="59">
        <v>0</v>
      </c>
      <c r="CH610" s="37">
        <v>0</v>
      </c>
      <c r="CI610" s="37">
        <v>0</v>
      </c>
      <c r="CJ610" s="37">
        <v>0</v>
      </c>
      <c r="CK610" s="37">
        <v>0</v>
      </c>
      <c r="CL610" s="37">
        <v>0</v>
      </c>
      <c r="CM610" s="37">
        <v>0</v>
      </c>
      <c r="CN610" s="59">
        <v>0</v>
      </c>
      <c r="CO610" s="59">
        <v>0</v>
      </c>
      <c r="CP610" s="58"/>
      <c r="CQ610" s="3">
        <v>0</v>
      </c>
    </row>
    <row r="611" spans="1:95" customFormat="1" x14ac:dyDescent="0.2">
      <c r="A611" s="33">
        <v>0</v>
      </c>
      <c r="B611" s="33">
        <v>0</v>
      </c>
      <c r="C611" s="33">
        <v>0</v>
      </c>
      <c r="D611" s="43">
        <v>0</v>
      </c>
      <c r="E611" s="43">
        <v>0</v>
      </c>
      <c r="F611" s="43">
        <v>0</v>
      </c>
      <c r="G611" s="43">
        <v>0</v>
      </c>
      <c r="H611" s="43">
        <v>0</v>
      </c>
      <c r="I611" s="43">
        <v>0</v>
      </c>
      <c r="J611" s="43">
        <v>0</v>
      </c>
      <c r="K611" s="43">
        <v>0</v>
      </c>
      <c r="L611" s="43">
        <v>0</v>
      </c>
      <c r="M611" s="43">
        <v>0</v>
      </c>
      <c r="N611" s="43">
        <v>0</v>
      </c>
      <c r="O611" s="43">
        <v>0</v>
      </c>
      <c r="P611" s="47">
        <v>0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v>0</v>
      </c>
      <c r="AD611" s="37">
        <v>0</v>
      </c>
      <c r="AE611" s="37">
        <v>0</v>
      </c>
      <c r="AF611" s="37">
        <v>0</v>
      </c>
      <c r="AG611" s="59">
        <v>0</v>
      </c>
      <c r="AH611" s="37">
        <v>0</v>
      </c>
      <c r="AI611" s="37">
        <v>0</v>
      </c>
      <c r="AJ611" s="37">
        <v>0</v>
      </c>
      <c r="AK611" s="37">
        <v>0</v>
      </c>
      <c r="AL611" s="37">
        <v>0</v>
      </c>
      <c r="AM611" s="37">
        <v>0</v>
      </c>
      <c r="AN611" s="37">
        <v>0</v>
      </c>
      <c r="AO611" s="37">
        <v>0</v>
      </c>
      <c r="AP611" s="37">
        <v>0</v>
      </c>
      <c r="AQ611" s="37">
        <v>0</v>
      </c>
      <c r="AR611" s="37">
        <v>0</v>
      </c>
      <c r="AS611" s="59">
        <v>0</v>
      </c>
      <c r="AT611" s="59">
        <v>0</v>
      </c>
      <c r="AU611" s="45"/>
      <c r="AV611" s="37">
        <v>0</v>
      </c>
      <c r="AW611" s="37">
        <v>0</v>
      </c>
      <c r="AX611" s="37">
        <v>0</v>
      </c>
      <c r="AY611" s="37">
        <v>0</v>
      </c>
      <c r="AZ611" s="37">
        <v>0</v>
      </c>
      <c r="BA611" s="37">
        <v>0</v>
      </c>
      <c r="BB611" s="37">
        <v>0</v>
      </c>
      <c r="BC611" s="37">
        <v>0</v>
      </c>
      <c r="BD611" s="37">
        <v>0</v>
      </c>
      <c r="BE611" s="37">
        <v>0</v>
      </c>
      <c r="BF611" s="37">
        <v>0</v>
      </c>
      <c r="BG611" s="37">
        <v>0</v>
      </c>
      <c r="BH611" s="37">
        <v>0</v>
      </c>
      <c r="BI611" s="37">
        <v>0</v>
      </c>
      <c r="BJ611" s="37">
        <v>0</v>
      </c>
      <c r="BK611" s="59">
        <v>0</v>
      </c>
      <c r="BL611" s="37">
        <v>0</v>
      </c>
      <c r="BM611" s="37">
        <v>0</v>
      </c>
      <c r="BN611" s="37">
        <v>0</v>
      </c>
      <c r="BO611" s="37">
        <v>0</v>
      </c>
      <c r="BP611" s="37">
        <v>0</v>
      </c>
      <c r="BQ611" s="37">
        <v>0</v>
      </c>
      <c r="BR611" s="37">
        <v>0</v>
      </c>
      <c r="BS611" s="37">
        <v>0</v>
      </c>
      <c r="BT611" s="37">
        <v>0</v>
      </c>
      <c r="BU611" s="37">
        <v>0</v>
      </c>
      <c r="BV611" s="37">
        <v>0</v>
      </c>
      <c r="BW611" s="59">
        <v>0</v>
      </c>
      <c r="BX611" s="59">
        <v>0</v>
      </c>
      <c r="BZ611" s="37">
        <v>0</v>
      </c>
      <c r="CA611" s="37">
        <v>0</v>
      </c>
      <c r="CB611" s="37">
        <v>0</v>
      </c>
      <c r="CC611" s="37">
        <v>0</v>
      </c>
      <c r="CD611" s="37">
        <v>0</v>
      </c>
      <c r="CE611" s="37">
        <v>0</v>
      </c>
      <c r="CF611" s="37">
        <v>0</v>
      </c>
      <c r="CG611" s="59">
        <v>0</v>
      </c>
      <c r="CH611" s="37">
        <v>0</v>
      </c>
      <c r="CI611" s="37">
        <v>0</v>
      </c>
      <c r="CJ611" s="37">
        <v>0</v>
      </c>
      <c r="CK611" s="37">
        <v>0</v>
      </c>
      <c r="CL611" s="37">
        <v>0</v>
      </c>
      <c r="CM611" s="37">
        <v>0</v>
      </c>
      <c r="CN611" s="59">
        <v>0</v>
      </c>
      <c r="CO611" s="59">
        <v>0</v>
      </c>
      <c r="CP611" s="58"/>
      <c r="CQ611" s="3">
        <v>0</v>
      </c>
    </row>
    <row r="612" spans="1:95" customFormat="1" x14ac:dyDescent="0.2">
      <c r="A612" s="33">
        <v>0</v>
      </c>
      <c r="B612" s="33">
        <v>0</v>
      </c>
      <c r="C612" s="33">
        <v>0</v>
      </c>
      <c r="D612" s="43">
        <v>0</v>
      </c>
      <c r="E612" s="43">
        <v>0</v>
      </c>
      <c r="F612" s="43">
        <v>0</v>
      </c>
      <c r="G612" s="43">
        <v>0</v>
      </c>
      <c r="H612" s="43">
        <v>0</v>
      </c>
      <c r="I612" s="43">
        <v>0</v>
      </c>
      <c r="J612" s="43">
        <v>0</v>
      </c>
      <c r="K612" s="43">
        <v>0</v>
      </c>
      <c r="L612" s="43">
        <v>0</v>
      </c>
      <c r="M612" s="43">
        <v>0</v>
      </c>
      <c r="N612" s="43">
        <v>0</v>
      </c>
      <c r="O612" s="43">
        <v>0</v>
      </c>
      <c r="P612" s="47">
        <v>0</v>
      </c>
      <c r="R612" s="37">
        <v>0</v>
      </c>
      <c r="S612" s="37">
        <v>0</v>
      </c>
      <c r="T612" s="37">
        <v>0</v>
      </c>
      <c r="U612" s="37">
        <v>0</v>
      </c>
      <c r="V612" s="37">
        <v>0</v>
      </c>
      <c r="W612" s="37">
        <v>0</v>
      </c>
      <c r="X612" s="37">
        <v>0</v>
      </c>
      <c r="Y612" s="37">
        <v>0</v>
      </c>
      <c r="Z612" s="37">
        <v>0</v>
      </c>
      <c r="AA612" s="37">
        <v>0</v>
      </c>
      <c r="AB612" s="37">
        <v>0</v>
      </c>
      <c r="AC612" s="37">
        <v>0</v>
      </c>
      <c r="AD612" s="37">
        <v>0</v>
      </c>
      <c r="AE612" s="37">
        <v>0</v>
      </c>
      <c r="AF612" s="37">
        <v>0</v>
      </c>
      <c r="AG612" s="59">
        <v>0</v>
      </c>
      <c r="AH612" s="37">
        <v>0</v>
      </c>
      <c r="AI612" s="37">
        <v>0</v>
      </c>
      <c r="AJ612" s="37">
        <v>0</v>
      </c>
      <c r="AK612" s="37">
        <v>0</v>
      </c>
      <c r="AL612" s="37">
        <v>0</v>
      </c>
      <c r="AM612" s="37">
        <v>0</v>
      </c>
      <c r="AN612" s="37">
        <v>0</v>
      </c>
      <c r="AO612" s="37">
        <v>0</v>
      </c>
      <c r="AP612" s="37">
        <v>0</v>
      </c>
      <c r="AQ612" s="37">
        <v>0</v>
      </c>
      <c r="AR612" s="37">
        <v>0</v>
      </c>
      <c r="AS612" s="59">
        <v>0</v>
      </c>
      <c r="AT612" s="59">
        <v>0</v>
      </c>
      <c r="AU612" s="45"/>
      <c r="AV612" s="37">
        <v>0</v>
      </c>
      <c r="AW612" s="37">
        <v>0</v>
      </c>
      <c r="AX612" s="37">
        <v>0</v>
      </c>
      <c r="AY612" s="37">
        <v>0</v>
      </c>
      <c r="AZ612" s="37">
        <v>0</v>
      </c>
      <c r="BA612" s="37">
        <v>0</v>
      </c>
      <c r="BB612" s="37">
        <v>0</v>
      </c>
      <c r="BC612" s="37">
        <v>0</v>
      </c>
      <c r="BD612" s="37">
        <v>0</v>
      </c>
      <c r="BE612" s="37">
        <v>0</v>
      </c>
      <c r="BF612" s="37">
        <v>0</v>
      </c>
      <c r="BG612" s="37">
        <v>0</v>
      </c>
      <c r="BH612" s="37">
        <v>0</v>
      </c>
      <c r="BI612" s="37">
        <v>0</v>
      </c>
      <c r="BJ612" s="37">
        <v>0</v>
      </c>
      <c r="BK612" s="59">
        <v>0</v>
      </c>
      <c r="BL612" s="37">
        <v>0</v>
      </c>
      <c r="BM612" s="37">
        <v>0</v>
      </c>
      <c r="BN612" s="37">
        <v>0</v>
      </c>
      <c r="BO612" s="37">
        <v>0</v>
      </c>
      <c r="BP612" s="37">
        <v>0</v>
      </c>
      <c r="BQ612" s="37">
        <v>0</v>
      </c>
      <c r="BR612" s="37">
        <v>0</v>
      </c>
      <c r="BS612" s="37">
        <v>0</v>
      </c>
      <c r="BT612" s="37">
        <v>0</v>
      </c>
      <c r="BU612" s="37">
        <v>0</v>
      </c>
      <c r="BV612" s="37">
        <v>0</v>
      </c>
      <c r="BW612" s="59">
        <v>0</v>
      </c>
      <c r="BX612" s="59">
        <v>0</v>
      </c>
      <c r="BZ612" s="37">
        <v>0</v>
      </c>
      <c r="CA612" s="37">
        <v>0</v>
      </c>
      <c r="CB612" s="37">
        <v>0</v>
      </c>
      <c r="CC612" s="37">
        <v>0</v>
      </c>
      <c r="CD612" s="37">
        <v>0</v>
      </c>
      <c r="CE612" s="37">
        <v>0</v>
      </c>
      <c r="CF612" s="37">
        <v>0</v>
      </c>
      <c r="CG612" s="59">
        <v>0</v>
      </c>
      <c r="CH612" s="37">
        <v>0</v>
      </c>
      <c r="CI612" s="37">
        <v>0</v>
      </c>
      <c r="CJ612" s="37">
        <v>0</v>
      </c>
      <c r="CK612" s="37">
        <v>0</v>
      </c>
      <c r="CL612" s="37">
        <v>0</v>
      </c>
      <c r="CM612" s="37">
        <v>0</v>
      </c>
      <c r="CN612" s="59">
        <v>0</v>
      </c>
      <c r="CO612" s="59">
        <v>0</v>
      </c>
      <c r="CP612" s="58"/>
      <c r="CQ612" s="3">
        <v>0</v>
      </c>
    </row>
    <row r="613" spans="1:95" customFormat="1" x14ac:dyDescent="0.2">
      <c r="A613" s="33">
        <v>0</v>
      </c>
      <c r="B613" s="33">
        <v>0</v>
      </c>
      <c r="C613" s="33">
        <v>0</v>
      </c>
      <c r="D613" s="43">
        <v>0</v>
      </c>
      <c r="E613" s="43">
        <v>0</v>
      </c>
      <c r="F613" s="43">
        <v>0</v>
      </c>
      <c r="G613" s="43">
        <v>0</v>
      </c>
      <c r="H613" s="43">
        <v>0</v>
      </c>
      <c r="I613" s="43">
        <v>0</v>
      </c>
      <c r="J613" s="43">
        <v>0</v>
      </c>
      <c r="K613" s="43">
        <v>0</v>
      </c>
      <c r="L613" s="43">
        <v>0</v>
      </c>
      <c r="M613" s="43">
        <v>0</v>
      </c>
      <c r="N613" s="43">
        <v>0</v>
      </c>
      <c r="O613" s="43">
        <v>0</v>
      </c>
      <c r="P613" s="47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v>0</v>
      </c>
      <c r="AD613" s="37">
        <v>0</v>
      </c>
      <c r="AE613" s="37">
        <v>0</v>
      </c>
      <c r="AF613" s="37">
        <v>0</v>
      </c>
      <c r="AG613" s="59">
        <v>0</v>
      </c>
      <c r="AH613" s="37">
        <v>0</v>
      </c>
      <c r="AI613" s="37">
        <v>0</v>
      </c>
      <c r="AJ613" s="37">
        <v>0</v>
      </c>
      <c r="AK613" s="37">
        <v>0</v>
      </c>
      <c r="AL613" s="37">
        <v>0</v>
      </c>
      <c r="AM613" s="37">
        <v>0</v>
      </c>
      <c r="AN613" s="37">
        <v>0</v>
      </c>
      <c r="AO613" s="37">
        <v>0</v>
      </c>
      <c r="AP613" s="37">
        <v>0</v>
      </c>
      <c r="AQ613" s="37">
        <v>0</v>
      </c>
      <c r="AR613" s="37">
        <v>0</v>
      </c>
      <c r="AS613" s="59">
        <v>0</v>
      </c>
      <c r="AT613" s="59">
        <v>0</v>
      </c>
      <c r="AU613" s="45"/>
      <c r="AV613" s="37">
        <v>0</v>
      </c>
      <c r="AW613" s="37">
        <v>0</v>
      </c>
      <c r="AX613" s="37">
        <v>0</v>
      </c>
      <c r="AY613" s="37">
        <v>0</v>
      </c>
      <c r="AZ613" s="37">
        <v>0</v>
      </c>
      <c r="BA613" s="37">
        <v>0</v>
      </c>
      <c r="BB613" s="37">
        <v>0</v>
      </c>
      <c r="BC613" s="37">
        <v>0</v>
      </c>
      <c r="BD613" s="37">
        <v>0</v>
      </c>
      <c r="BE613" s="37">
        <v>0</v>
      </c>
      <c r="BF613" s="37">
        <v>0</v>
      </c>
      <c r="BG613" s="37">
        <v>0</v>
      </c>
      <c r="BH613" s="37">
        <v>0</v>
      </c>
      <c r="BI613" s="37">
        <v>0</v>
      </c>
      <c r="BJ613" s="37">
        <v>0</v>
      </c>
      <c r="BK613" s="59">
        <v>0</v>
      </c>
      <c r="BL613" s="37">
        <v>0</v>
      </c>
      <c r="BM613" s="37">
        <v>0</v>
      </c>
      <c r="BN613" s="37">
        <v>0</v>
      </c>
      <c r="BO613" s="37">
        <v>0</v>
      </c>
      <c r="BP613" s="37">
        <v>0</v>
      </c>
      <c r="BQ613" s="37">
        <v>0</v>
      </c>
      <c r="BR613" s="37">
        <v>0</v>
      </c>
      <c r="BS613" s="37">
        <v>0</v>
      </c>
      <c r="BT613" s="37">
        <v>0</v>
      </c>
      <c r="BU613" s="37">
        <v>0</v>
      </c>
      <c r="BV613" s="37">
        <v>0</v>
      </c>
      <c r="BW613" s="59">
        <v>0</v>
      </c>
      <c r="BX613" s="59">
        <v>0</v>
      </c>
      <c r="BZ613" s="37">
        <v>0</v>
      </c>
      <c r="CA613" s="37">
        <v>0</v>
      </c>
      <c r="CB613" s="37">
        <v>0</v>
      </c>
      <c r="CC613" s="37">
        <v>0</v>
      </c>
      <c r="CD613" s="37">
        <v>0</v>
      </c>
      <c r="CE613" s="37">
        <v>0</v>
      </c>
      <c r="CF613" s="37">
        <v>0</v>
      </c>
      <c r="CG613" s="59">
        <v>0</v>
      </c>
      <c r="CH613" s="37">
        <v>0</v>
      </c>
      <c r="CI613" s="37">
        <v>0</v>
      </c>
      <c r="CJ613" s="37">
        <v>0</v>
      </c>
      <c r="CK613" s="37">
        <v>0</v>
      </c>
      <c r="CL613" s="37">
        <v>0</v>
      </c>
      <c r="CM613" s="37">
        <v>0</v>
      </c>
      <c r="CN613" s="59">
        <v>0</v>
      </c>
      <c r="CO613" s="59">
        <v>0</v>
      </c>
      <c r="CP613" s="58"/>
      <c r="CQ613" s="3">
        <v>0</v>
      </c>
    </row>
    <row r="614" spans="1:95" customFormat="1" x14ac:dyDescent="0.2">
      <c r="A614" s="33">
        <v>0</v>
      </c>
      <c r="B614" s="33">
        <v>0</v>
      </c>
      <c r="C614" s="33">
        <v>0</v>
      </c>
      <c r="D614" s="43">
        <v>0</v>
      </c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7">
        <v>0</v>
      </c>
      <c r="R614" s="37">
        <v>0</v>
      </c>
      <c r="S614" s="37">
        <v>0</v>
      </c>
      <c r="T614" s="37">
        <v>0</v>
      </c>
      <c r="U614" s="37">
        <v>0</v>
      </c>
      <c r="V614" s="37">
        <v>0</v>
      </c>
      <c r="W614" s="37">
        <v>0</v>
      </c>
      <c r="X614" s="37">
        <v>0</v>
      </c>
      <c r="Y614" s="37">
        <v>0</v>
      </c>
      <c r="Z614" s="37">
        <v>0</v>
      </c>
      <c r="AA614" s="37">
        <v>0</v>
      </c>
      <c r="AB614" s="37">
        <v>0</v>
      </c>
      <c r="AC614" s="37">
        <v>0</v>
      </c>
      <c r="AD614" s="37">
        <v>0</v>
      </c>
      <c r="AE614" s="37">
        <v>0</v>
      </c>
      <c r="AF614" s="37">
        <v>0</v>
      </c>
      <c r="AG614" s="59">
        <v>0</v>
      </c>
      <c r="AH614" s="37">
        <v>0</v>
      </c>
      <c r="AI614" s="37">
        <v>0</v>
      </c>
      <c r="AJ614" s="37">
        <v>0</v>
      </c>
      <c r="AK614" s="37">
        <v>0</v>
      </c>
      <c r="AL614" s="37">
        <v>0</v>
      </c>
      <c r="AM614" s="37">
        <v>0</v>
      </c>
      <c r="AN614" s="37">
        <v>0</v>
      </c>
      <c r="AO614" s="37">
        <v>0</v>
      </c>
      <c r="AP614" s="37">
        <v>0</v>
      </c>
      <c r="AQ614" s="37">
        <v>0</v>
      </c>
      <c r="AR614" s="37">
        <v>0</v>
      </c>
      <c r="AS614" s="59">
        <v>0</v>
      </c>
      <c r="AT614" s="59">
        <v>0</v>
      </c>
      <c r="AU614" s="45"/>
      <c r="AV614" s="37">
        <v>0</v>
      </c>
      <c r="AW614" s="37">
        <v>0</v>
      </c>
      <c r="AX614" s="37">
        <v>0</v>
      </c>
      <c r="AY614" s="37">
        <v>0</v>
      </c>
      <c r="AZ614" s="37">
        <v>0</v>
      </c>
      <c r="BA614" s="37">
        <v>0</v>
      </c>
      <c r="BB614" s="37">
        <v>0</v>
      </c>
      <c r="BC614" s="37">
        <v>0</v>
      </c>
      <c r="BD614" s="37">
        <v>0</v>
      </c>
      <c r="BE614" s="37">
        <v>0</v>
      </c>
      <c r="BF614" s="37">
        <v>0</v>
      </c>
      <c r="BG614" s="37">
        <v>0</v>
      </c>
      <c r="BH614" s="37">
        <v>0</v>
      </c>
      <c r="BI614" s="37">
        <v>0</v>
      </c>
      <c r="BJ614" s="37">
        <v>0</v>
      </c>
      <c r="BK614" s="59">
        <v>0</v>
      </c>
      <c r="BL614" s="37">
        <v>0</v>
      </c>
      <c r="BM614" s="37">
        <v>0</v>
      </c>
      <c r="BN614" s="37">
        <v>0</v>
      </c>
      <c r="BO614" s="37">
        <v>0</v>
      </c>
      <c r="BP614" s="37">
        <v>0</v>
      </c>
      <c r="BQ614" s="37">
        <v>0</v>
      </c>
      <c r="BR614" s="37">
        <v>0</v>
      </c>
      <c r="BS614" s="37">
        <v>0</v>
      </c>
      <c r="BT614" s="37">
        <v>0</v>
      </c>
      <c r="BU614" s="37">
        <v>0</v>
      </c>
      <c r="BV614" s="37">
        <v>0</v>
      </c>
      <c r="BW614" s="59">
        <v>0</v>
      </c>
      <c r="BX614" s="59">
        <v>0</v>
      </c>
      <c r="BZ614" s="37">
        <v>0</v>
      </c>
      <c r="CA614" s="37">
        <v>0</v>
      </c>
      <c r="CB614" s="37">
        <v>0</v>
      </c>
      <c r="CC614" s="37">
        <v>0</v>
      </c>
      <c r="CD614" s="37">
        <v>0</v>
      </c>
      <c r="CE614" s="37">
        <v>0</v>
      </c>
      <c r="CF614" s="37">
        <v>0</v>
      </c>
      <c r="CG614" s="59">
        <v>0</v>
      </c>
      <c r="CH614" s="37">
        <v>0</v>
      </c>
      <c r="CI614" s="37">
        <v>0</v>
      </c>
      <c r="CJ614" s="37">
        <v>0</v>
      </c>
      <c r="CK614" s="37">
        <v>0</v>
      </c>
      <c r="CL614" s="37">
        <v>0</v>
      </c>
      <c r="CM614" s="37">
        <v>0</v>
      </c>
      <c r="CN614" s="59">
        <v>0</v>
      </c>
      <c r="CO614" s="59">
        <v>0</v>
      </c>
      <c r="CP614" s="58"/>
      <c r="CQ614" s="3">
        <v>0</v>
      </c>
    </row>
    <row r="615" spans="1:95" customFormat="1" x14ac:dyDescent="0.2">
      <c r="A615" s="33">
        <v>0</v>
      </c>
      <c r="B615" s="33">
        <v>0</v>
      </c>
      <c r="C615" s="33">
        <v>0</v>
      </c>
      <c r="D615" s="43">
        <v>0</v>
      </c>
      <c r="E615" s="43">
        <v>0</v>
      </c>
      <c r="F615" s="43">
        <v>0</v>
      </c>
      <c r="G615" s="43">
        <v>0</v>
      </c>
      <c r="H615" s="43">
        <v>0</v>
      </c>
      <c r="I615" s="43">
        <v>0</v>
      </c>
      <c r="J615" s="43">
        <v>0</v>
      </c>
      <c r="K615" s="43">
        <v>0</v>
      </c>
      <c r="L615" s="43">
        <v>0</v>
      </c>
      <c r="M615" s="43">
        <v>0</v>
      </c>
      <c r="N615" s="43">
        <v>0</v>
      </c>
      <c r="O615" s="43">
        <v>0</v>
      </c>
      <c r="P615" s="47">
        <v>0</v>
      </c>
      <c r="R615" s="37">
        <v>0</v>
      </c>
      <c r="S615" s="37">
        <v>0</v>
      </c>
      <c r="T615" s="37">
        <v>0</v>
      </c>
      <c r="U615" s="37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v>0</v>
      </c>
      <c r="AD615" s="37">
        <v>0</v>
      </c>
      <c r="AE615" s="37">
        <v>0</v>
      </c>
      <c r="AF615" s="37">
        <v>0</v>
      </c>
      <c r="AG615" s="59">
        <v>0</v>
      </c>
      <c r="AH615" s="37">
        <v>0</v>
      </c>
      <c r="AI615" s="37">
        <v>0</v>
      </c>
      <c r="AJ615" s="37">
        <v>0</v>
      </c>
      <c r="AK615" s="37">
        <v>0</v>
      </c>
      <c r="AL615" s="37">
        <v>0</v>
      </c>
      <c r="AM615" s="37">
        <v>0</v>
      </c>
      <c r="AN615" s="37">
        <v>0</v>
      </c>
      <c r="AO615" s="37">
        <v>0</v>
      </c>
      <c r="AP615" s="37">
        <v>0</v>
      </c>
      <c r="AQ615" s="37">
        <v>0</v>
      </c>
      <c r="AR615" s="37">
        <v>0</v>
      </c>
      <c r="AS615" s="59">
        <v>0</v>
      </c>
      <c r="AT615" s="59">
        <v>0</v>
      </c>
      <c r="AU615" s="45"/>
      <c r="AV615" s="37">
        <v>0</v>
      </c>
      <c r="AW615" s="37">
        <v>0</v>
      </c>
      <c r="AX615" s="37">
        <v>0</v>
      </c>
      <c r="AY615" s="37">
        <v>0</v>
      </c>
      <c r="AZ615" s="37">
        <v>0</v>
      </c>
      <c r="BA615" s="37">
        <v>0</v>
      </c>
      <c r="BB615" s="37">
        <v>0</v>
      </c>
      <c r="BC615" s="37">
        <v>0</v>
      </c>
      <c r="BD615" s="37">
        <v>0</v>
      </c>
      <c r="BE615" s="37">
        <v>0</v>
      </c>
      <c r="BF615" s="37">
        <v>0</v>
      </c>
      <c r="BG615" s="37">
        <v>0</v>
      </c>
      <c r="BH615" s="37">
        <v>0</v>
      </c>
      <c r="BI615" s="37">
        <v>0</v>
      </c>
      <c r="BJ615" s="37">
        <v>0</v>
      </c>
      <c r="BK615" s="59">
        <v>0</v>
      </c>
      <c r="BL615" s="37">
        <v>0</v>
      </c>
      <c r="BM615" s="37">
        <v>0</v>
      </c>
      <c r="BN615" s="37">
        <v>0</v>
      </c>
      <c r="BO615" s="37">
        <v>0</v>
      </c>
      <c r="BP615" s="37">
        <v>0</v>
      </c>
      <c r="BQ615" s="37">
        <v>0</v>
      </c>
      <c r="BR615" s="37">
        <v>0</v>
      </c>
      <c r="BS615" s="37">
        <v>0</v>
      </c>
      <c r="BT615" s="37">
        <v>0</v>
      </c>
      <c r="BU615" s="37">
        <v>0</v>
      </c>
      <c r="BV615" s="37">
        <v>0</v>
      </c>
      <c r="BW615" s="59">
        <v>0</v>
      </c>
      <c r="BX615" s="59">
        <v>0</v>
      </c>
      <c r="BZ615" s="37">
        <v>0</v>
      </c>
      <c r="CA615" s="37">
        <v>0</v>
      </c>
      <c r="CB615" s="37">
        <v>0</v>
      </c>
      <c r="CC615" s="37">
        <v>0</v>
      </c>
      <c r="CD615" s="37">
        <v>0</v>
      </c>
      <c r="CE615" s="37">
        <v>0</v>
      </c>
      <c r="CF615" s="37">
        <v>0</v>
      </c>
      <c r="CG615" s="59">
        <v>0</v>
      </c>
      <c r="CH615" s="37">
        <v>0</v>
      </c>
      <c r="CI615" s="37">
        <v>0</v>
      </c>
      <c r="CJ615" s="37">
        <v>0</v>
      </c>
      <c r="CK615" s="37">
        <v>0</v>
      </c>
      <c r="CL615" s="37">
        <v>0</v>
      </c>
      <c r="CM615" s="37">
        <v>0</v>
      </c>
      <c r="CN615" s="59">
        <v>0</v>
      </c>
      <c r="CO615" s="59">
        <v>0</v>
      </c>
      <c r="CP615" s="58"/>
      <c r="CQ615" s="3">
        <v>0</v>
      </c>
    </row>
    <row r="616" spans="1:95" customFormat="1" x14ac:dyDescent="0.2">
      <c r="A616" s="33">
        <v>0</v>
      </c>
      <c r="B616" s="33">
        <v>0</v>
      </c>
      <c r="C616" s="33">
        <v>0</v>
      </c>
      <c r="D616" s="43">
        <v>0</v>
      </c>
      <c r="E616" s="43">
        <v>0</v>
      </c>
      <c r="F616" s="43">
        <v>0</v>
      </c>
      <c r="G616" s="43">
        <v>0</v>
      </c>
      <c r="H616" s="43">
        <v>0</v>
      </c>
      <c r="I616" s="43">
        <v>0</v>
      </c>
      <c r="J616" s="43">
        <v>0</v>
      </c>
      <c r="K616" s="43">
        <v>0</v>
      </c>
      <c r="L616" s="43">
        <v>0</v>
      </c>
      <c r="M616" s="43">
        <v>0</v>
      </c>
      <c r="N616" s="43">
        <v>0</v>
      </c>
      <c r="O616" s="43">
        <v>0</v>
      </c>
      <c r="P616" s="47">
        <v>0</v>
      </c>
      <c r="R616" s="37">
        <v>0</v>
      </c>
      <c r="S616" s="37">
        <v>0</v>
      </c>
      <c r="T616" s="37">
        <v>0</v>
      </c>
      <c r="U616" s="37">
        <v>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7">
        <v>0</v>
      </c>
      <c r="AB616" s="37">
        <v>0</v>
      </c>
      <c r="AC616" s="37">
        <v>0</v>
      </c>
      <c r="AD616" s="37">
        <v>0</v>
      </c>
      <c r="AE616" s="37">
        <v>0</v>
      </c>
      <c r="AF616" s="37">
        <v>0</v>
      </c>
      <c r="AG616" s="59">
        <v>0</v>
      </c>
      <c r="AH616" s="37">
        <v>0</v>
      </c>
      <c r="AI616" s="37">
        <v>0</v>
      </c>
      <c r="AJ616" s="37">
        <v>0</v>
      </c>
      <c r="AK616" s="37">
        <v>0</v>
      </c>
      <c r="AL616" s="37">
        <v>0</v>
      </c>
      <c r="AM616" s="37">
        <v>0</v>
      </c>
      <c r="AN616" s="37">
        <v>0</v>
      </c>
      <c r="AO616" s="37">
        <v>0</v>
      </c>
      <c r="AP616" s="37">
        <v>0</v>
      </c>
      <c r="AQ616" s="37">
        <v>0</v>
      </c>
      <c r="AR616" s="37">
        <v>0</v>
      </c>
      <c r="AS616" s="59">
        <v>0</v>
      </c>
      <c r="AT616" s="59">
        <v>0</v>
      </c>
      <c r="AU616" s="45"/>
      <c r="AV616" s="37">
        <v>0</v>
      </c>
      <c r="AW616" s="37">
        <v>0</v>
      </c>
      <c r="AX616" s="37">
        <v>0</v>
      </c>
      <c r="AY616" s="37">
        <v>0</v>
      </c>
      <c r="AZ616" s="37">
        <v>0</v>
      </c>
      <c r="BA616" s="37">
        <v>0</v>
      </c>
      <c r="BB616" s="37">
        <v>0</v>
      </c>
      <c r="BC616" s="37">
        <v>0</v>
      </c>
      <c r="BD616" s="37">
        <v>0</v>
      </c>
      <c r="BE616" s="37">
        <v>0</v>
      </c>
      <c r="BF616" s="37">
        <v>0</v>
      </c>
      <c r="BG616" s="37">
        <v>0</v>
      </c>
      <c r="BH616" s="37">
        <v>0</v>
      </c>
      <c r="BI616" s="37">
        <v>0</v>
      </c>
      <c r="BJ616" s="37">
        <v>0</v>
      </c>
      <c r="BK616" s="59">
        <v>0</v>
      </c>
      <c r="BL616" s="37">
        <v>0</v>
      </c>
      <c r="BM616" s="37">
        <v>0</v>
      </c>
      <c r="BN616" s="37">
        <v>0</v>
      </c>
      <c r="BO616" s="37">
        <v>0</v>
      </c>
      <c r="BP616" s="37">
        <v>0</v>
      </c>
      <c r="BQ616" s="37">
        <v>0</v>
      </c>
      <c r="BR616" s="37">
        <v>0</v>
      </c>
      <c r="BS616" s="37">
        <v>0</v>
      </c>
      <c r="BT616" s="37">
        <v>0</v>
      </c>
      <c r="BU616" s="37">
        <v>0</v>
      </c>
      <c r="BV616" s="37">
        <v>0</v>
      </c>
      <c r="BW616" s="59">
        <v>0</v>
      </c>
      <c r="BX616" s="59">
        <v>0</v>
      </c>
      <c r="BZ616" s="37">
        <v>0</v>
      </c>
      <c r="CA616" s="37">
        <v>0</v>
      </c>
      <c r="CB616" s="37">
        <v>0</v>
      </c>
      <c r="CC616" s="37">
        <v>0</v>
      </c>
      <c r="CD616" s="37">
        <v>0</v>
      </c>
      <c r="CE616" s="37">
        <v>0</v>
      </c>
      <c r="CF616" s="37">
        <v>0</v>
      </c>
      <c r="CG616" s="59">
        <v>0</v>
      </c>
      <c r="CH616" s="37">
        <v>0</v>
      </c>
      <c r="CI616" s="37">
        <v>0</v>
      </c>
      <c r="CJ616" s="37">
        <v>0</v>
      </c>
      <c r="CK616" s="37">
        <v>0</v>
      </c>
      <c r="CL616" s="37">
        <v>0</v>
      </c>
      <c r="CM616" s="37">
        <v>0</v>
      </c>
      <c r="CN616" s="59">
        <v>0</v>
      </c>
      <c r="CO616" s="59">
        <v>0</v>
      </c>
      <c r="CP616" s="58"/>
      <c r="CQ616" s="3">
        <v>0</v>
      </c>
    </row>
    <row r="617" spans="1:95" customFormat="1" x14ac:dyDescent="0.2">
      <c r="A617" s="33">
        <v>0</v>
      </c>
      <c r="B617" s="33">
        <v>0</v>
      </c>
      <c r="C617" s="33">
        <v>0</v>
      </c>
      <c r="D617" s="43">
        <v>0</v>
      </c>
      <c r="E617" s="43">
        <v>0</v>
      </c>
      <c r="F617" s="43">
        <v>0</v>
      </c>
      <c r="G617" s="43">
        <v>0</v>
      </c>
      <c r="H617" s="43">
        <v>0</v>
      </c>
      <c r="I617" s="43">
        <v>0</v>
      </c>
      <c r="J617" s="43">
        <v>0</v>
      </c>
      <c r="K617" s="43">
        <v>0</v>
      </c>
      <c r="L617" s="43">
        <v>0</v>
      </c>
      <c r="M617" s="43">
        <v>0</v>
      </c>
      <c r="N617" s="43">
        <v>0</v>
      </c>
      <c r="O617" s="43">
        <v>0</v>
      </c>
      <c r="P617" s="47">
        <v>0</v>
      </c>
      <c r="R617" s="37">
        <v>0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v>0</v>
      </c>
      <c r="AD617" s="37">
        <v>0</v>
      </c>
      <c r="AE617" s="37">
        <v>0</v>
      </c>
      <c r="AF617" s="37">
        <v>0</v>
      </c>
      <c r="AG617" s="59">
        <v>0</v>
      </c>
      <c r="AH617" s="37">
        <v>0</v>
      </c>
      <c r="AI617" s="37">
        <v>0</v>
      </c>
      <c r="AJ617" s="37">
        <v>0</v>
      </c>
      <c r="AK617" s="37">
        <v>0</v>
      </c>
      <c r="AL617" s="37">
        <v>0</v>
      </c>
      <c r="AM617" s="37">
        <v>0</v>
      </c>
      <c r="AN617" s="37">
        <v>0</v>
      </c>
      <c r="AO617" s="37">
        <v>0</v>
      </c>
      <c r="AP617" s="37">
        <v>0</v>
      </c>
      <c r="AQ617" s="37">
        <v>0</v>
      </c>
      <c r="AR617" s="37">
        <v>0</v>
      </c>
      <c r="AS617" s="59">
        <v>0</v>
      </c>
      <c r="AT617" s="59">
        <v>0</v>
      </c>
      <c r="AU617" s="45"/>
      <c r="AV617" s="37">
        <v>0</v>
      </c>
      <c r="AW617" s="37">
        <v>0</v>
      </c>
      <c r="AX617" s="37">
        <v>0</v>
      </c>
      <c r="AY617" s="37">
        <v>0</v>
      </c>
      <c r="AZ617" s="37">
        <v>0</v>
      </c>
      <c r="BA617" s="37">
        <v>0</v>
      </c>
      <c r="BB617" s="37">
        <v>0</v>
      </c>
      <c r="BC617" s="37">
        <v>0</v>
      </c>
      <c r="BD617" s="37">
        <v>0</v>
      </c>
      <c r="BE617" s="37">
        <v>0</v>
      </c>
      <c r="BF617" s="37">
        <v>0</v>
      </c>
      <c r="BG617" s="37">
        <v>0</v>
      </c>
      <c r="BH617" s="37">
        <v>0</v>
      </c>
      <c r="BI617" s="37">
        <v>0</v>
      </c>
      <c r="BJ617" s="37">
        <v>0</v>
      </c>
      <c r="BK617" s="59">
        <v>0</v>
      </c>
      <c r="BL617" s="37">
        <v>0</v>
      </c>
      <c r="BM617" s="37">
        <v>0</v>
      </c>
      <c r="BN617" s="37">
        <v>0</v>
      </c>
      <c r="BO617" s="37">
        <v>0</v>
      </c>
      <c r="BP617" s="37">
        <v>0</v>
      </c>
      <c r="BQ617" s="37">
        <v>0</v>
      </c>
      <c r="BR617" s="37">
        <v>0</v>
      </c>
      <c r="BS617" s="37">
        <v>0</v>
      </c>
      <c r="BT617" s="37">
        <v>0</v>
      </c>
      <c r="BU617" s="37">
        <v>0</v>
      </c>
      <c r="BV617" s="37">
        <v>0</v>
      </c>
      <c r="BW617" s="59">
        <v>0</v>
      </c>
      <c r="BX617" s="59">
        <v>0</v>
      </c>
      <c r="BZ617" s="37">
        <v>0</v>
      </c>
      <c r="CA617" s="37">
        <v>0</v>
      </c>
      <c r="CB617" s="37">
        <v>0</v>
      </c>
      <c r="CC617" s="37">
        <v>0</v>
      </c>
      <c r="CD617" s="37">
        <v>0</v>
      </c>
      <c r="CE617" s="37">
        <v>0</v>
      </c>
      <c r="CF617" s="37">
        <v>0</v>
      </c>
      <c r="CG617" s="59">
        <v>0</v>
      </c>
      <c r="CH617" s="37">
        <v>0</v>
      </c>
      <c r="CI617" s="37">
        <v>0</v>
      </c>
      <c r="CJ617" s="37">
        <v>0</v>
      </c>
      <c r="CK617" s="37">
        <v>0</v>
      </c>
      <c r="CL617" s="37">
        <v>0</v>
      </c>
      <c r="CM617" s="37">
        <v>0</v>
      </c>
      <c r="CN617" s="59">
        <v>0</v>
      </c>
      <c r="CO617" s="59">
        <v>0</v>
      </c>
      <c r="CP617" s="58"/>
      <c r="CQ617" s="3">
        <v>0</v>
      </c>
    </row>
    <row r="618" spans="1:95" customFormat="1" x14ac:dyDescent="0.2">
      <c r="A618" s="33">
        <v>0</v>
      </c>
      <c r="B618" s="33">
        <v>0</v>
      </c>
      <c r="C618" s="33">
        <v>0</v>
      </c>
      <c r="D618" s="43">
        <v>0</v>
      </c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43">
        <v>0</v>
      </c>
      <c r="M618" s="43">
        <v>0</v>
      </c>
      <c r="N618" s="43">
        <v>0</v>
      </c>
      <c r="O618" s="43">
        <v>0</v>
      </c>
      <c r="P618" s="47">
        <v>0</v>
      </c>
      <c r="R618" s="37">
        <v>0</v>
      </c>
      <c r="S618" s="37">
        <v>0</v>
      </c>
      <c r="T618" s="37">
        <v>0</v>
      </c>
      <c r="U618" s="37">
        <v>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7">
        <v>0</v>
      </c>
      <c r="AB618" s="37">
        <v>0</v>
      </c>
      <c r="AC618" s="37">
        <v>0</v>
      </c>
      <c r="AD618" s="37">
        <v>0</v>
      </c>
      <c r="AE618" s="37">
        <v>0</v>
      </c>
      <c r="AF618" s="37">
        <v>0</v>
      </c>
      <c r="AG618" s="59">
        <v>0</v>
      </c>
      <c r="AH618" s="37">
        <v>0</v>
      </c>
      <c r="AI618" s="37">
        <v>0</v>
      </c>
      <c r="AJ618" s="37">
        <v>0</v>
      </c>
      <c r="AK618" s="37">
        <v>0</v>
      </c>
      <c r="AL618" s="37">
        <v>0</v>
      </c>
      <c r="AM618" s="37">
        <v>0</v>
      </c>
      <c r="AN618" s="37">
        <v>0</v>
      </c>
      <c r="AO618" s="37">
        <v>0</v>
      </c>
      <c r="AP618" s="37">
        <v>0</v>
      </c>
      <c r="AQ618" s="37">
        <v>0</v>
      </c>
      <c r="AR618" s="37">
        <v>0</v>
      </c>
      <c r="AS618" s="59">
        <v>0</v>
      </c>
      <c r="AT618" s="59">
        <v>0</v>
      </c>
      <c r="AU618" s="45"/>
      <c r="AV618" s="37">
        <v>0</v>
      </c>
      <c r="AW618" s="37">
        <v>0</v>
      </c>
      <c r="AX618" s="37">
        <v>0</v>
      </c>
      <c r="AY618" s="37">
        <v>0</v>
      </c>
      <c r="AZ618" s="37">
        <v>0</v>
      </c>
      <c r="BA618" s="37">
        <v>0</v>
      </c>
      <c r="BB618" s="37">
        <v>0</v>
      </c>
      <c r="BC618" s="37">
        <v>0</v>
      </c>
      <c r="BD618" s="37">
        <v>0</v>
      </c>
      <c r="BE618" s="37">
        <v>0</v>
      </c>
      <c r="BF618" s="37">
        <v>0</v>
      </c>
      <c r="BG618" s="37">
        <v>0</v>
      </c>
      <c r="BH618" s="37">
        <v>0</v>
      </c>
      <c r="BI618" s="37">
        <v>0</v>
      </c>
      <c r="BJ618" s="37">
        <v>0</v>
      </c>
      <c r="BK618" s="59">
        <v>0</v>
      </c>
      <c r="BL618" s="37">
        <v>0</v>
      </c>
      <c r="BM618" s="37">
        <v>0</v>
      </c>
      <c r="BN618" s="37">
        <v>0</v>
      </c>
      <c r="BO618" s="37">
        <v>0</v>
      </c>
      <c r="BP618" s="37">
        <v>0</v>
      </c>
      <c r="BQ618" s="37">
        <v>0</v>
      </c>
      <c r="BR618" s="37">
        <v>0</v>
      </c>
      <c r="BS618" s="37">
        <v>0</v>
      </c>
      <c r="BT618" s="37">
        <v>0</v>
      </c>
      <c r="BU618" s="37">
        <v>0</v>
      </c>
      <c r="BV618" s="37">
        <v>0</v>
      </c>
      <c r="BW618" s="59">
        <v>0</v>
      </c>
      <c r="BX618" s="59">
        <v>0</v>
      </c>
      <c r="BZ618" s="37">
        <v>0</v>
      </c>
      <c r="CA618" s="37">
        <v>0</v>
      </c>
      <c r="CB618" s="37">
        <v>0</v>
      </c>
      <c r="CC618" s="37">
        <v>0</v>
      </c>
      <c r="CD618" s="37">
        <v>0</v>
      </c>
      <c r="CE618" s="37">
        <v>0</v>
      </c>
      <c r="CF618" s="37">
        <v>0</v>
      </c>
      <c r="CG618" s="59">
        <v>0</v>
      </c>
      <c r="CH618" s="37">
        <v>0</v>
      </c>
      <c r="CI618" s="37">
        <v>0</v>
      </c>
      <c r="CJ618" s="37">
        <v>0</v>
      </c>
      <c r="CK618" s="37">
        <v>0</v>
      </c>
      <c r="CL618" s="37">
        <v>0</v>
      </c>
      <c r="CM618" s="37">
        <v>0</v>
      </c>
      <c r="CN618" s="59">
        <v>0</v>
      </c>
      <c r="CO618" s="59">
        <v>0</v>
      </c>
      <c r="CP618" s="58"/>
      <c r="CQ618" s="3">
        <v>0</v>
      </c>
    </row>
    <row r="619" spans="1:95" customFormat="1" x14ac:dyDescent="0.2">
      <c r="A619" s="33">
        <v>0</v>
      </c>
      <c r="B619" s="33">
        <v>0</v>
      </c>
      <c r="C619" s="33">
        <v>0</v>
      </c>
      <c r="D619" s="43">
        <v>0</v>
      </c>
      <c r="E619" s="43">
        <v>0</v>
      </c>
      <c r="F619" s="43">
        <v>0</v>
      </c>
      <c r="G619" s="43">
        <v>0</v>
      </c>
      <c r="H619" s="43">
        <v>0</v>
      </c>
      <c r="I619" s="43">
        <v>0</v>
      </c>
      <c r="J619" s="43">
        <v>0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7">
        <v>0</v>
      </c>
      <c r="R619" s="37">
        <v>0</v>
      </c>
      <c r="S619" s="37">
        <v>0</v>
      </c>
      <c r="T619" s="37">
        <v>0</v>
      </c>
      <c r="U619" s="37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v>0</v>
      </c>
      <c r="AD619" s="37">
        <v>0</v>
      </c>
      <c r="AE619" s="37">
        <v>0</v>
      </c>
      <c r="AF619" s="37">
        <v>0</v>
      </c>
      <c r="AG619" s="59">
        <v>0</v>
      </c>
      <c r="AH619" s="37">
        <v>0</v>
      </c>
      <c r="AI619" s="37">
        <v>0</v>
      </c>
      <c r="AJ619" s="37">
        <v>0</v>
      </c>
      <c r="AK619" s="37">
        <v>0</v>
      </c>
      <c r="AL619" s="37">
        <v>0</v>
      </c>
      <c r="AM619" s="37">
        <v>0</v>
      </c>
      <c r="AN619" s="37">
        <v>0</v>
      </c>
      <c r="AO619" s="37">
        <v>0</v>
      </c>
      <c r="AP619" s="37">
        <v>0</v>
      </c>
      <c r="AQ619" s="37">
        <v>0</v>
      </c>
      <c r="AR619" s="37">
        <v>0</v>
      </c>
      <c r="AS619" s="59">
        <v>0</v>
      </c>
      <c r="AT619" s="59">
        <v>0</v>
      </c>
      <c r="AU619" s="45"/>
      <c r="AV619" s="37">
        <v>0</v>
      </c>
      <c r="AW619" s="37">
        <v>0</v>
      </c>
      <c r="AX619" s="37">
        <v>0</v>
      </c>
      <c r="AY619" s="37">
        <v>0</v>
      </c>
      <c r="AZ619" s="37">
        <v>0</v>
      </c>
      <c r="BA619" s="37">
        <v>0</v>
      </c>
      <c r="BB619" s="37">
        <v>0</v>
      </c>
      <c r="BC619" s="37">
        <v>0</v>
      </c>
      <c r="BD619" s="37">
        <v>0</v>
      </c>
      <c r="BE619" s="37">
        <v>0</v>
      </c>
      <c r="BF619" s="37">
        <v>0</v>
      </c>
      <c r="BG619" s="37">
        <v>0</v>
      </c>
      <c r="BH619" s="37">
        <v>0</v>
      </c>
      <c r="BI619" s="37">
        <v>0</v>
      </c>
      <c r="BJ619" s="37">
        <v>0</v>
      </c>
      <c r="BK619" s="59">
        <v>0</v>
      </c>
      <c r="BL619" s="37">
        <v>0</v>
      </c>
      <c r="BM619" s="37">
        <v>0</v>
      </c>
      <c r="BN619" s="37">
        <v>0</v>
      </c>
      <c r="BO619" s="37">
        <v>0</v>
      </c>
      <c r="BP619" s="37">
        <v>0</v>
      </c>
      <c r="BQ619" s="37">
        <v>0</v>
      </c>
      <c r="BR619" s="37">
        <v>0</v>
      </c>
      <c r="BS619" s="37">
        <v>0</v>
      </c>
      <c r="BT619" s="37">
        <v>0</v>
      </c>
      <c r="BU619" s="37">
        <v>0</v>
      </c>
      <c r="BV619" s="37">
        <v>0</v>
      </c>
      <c r="BW619" s="59">
        <v>0</v>
      </c>
      <c r="BX619" s="59">
        <v>0</v>
      </c>
      <c r="BZ619" s="37">
        <v>0</v>
      </c>
      <c r="CA619" s="37">
        <v>0</v>
      </c>
      <c r="CB619" s="37">
        <v>0</v>
      </c>
      <c r="CC619" s="37">
        <v>0</v>
      </c>
      <c r="CD619" s="37">
        <v>0</v>
      </c>
      <c r="CE619" s="37">
        <v>0</v>
      </c>
      <c r="CF619" s="37">
        <v>0</v>
      </c>
      <c r="CG619" s="59">
        <v>0</v>
      </c>
      <c r="CH619" s="37">
        <v>0</v>
      </c>
      <c r="CI619" s="37">
        <v>0</v>
      </c>
      <c r="CJ619" s="37">
        <v>0</v>
      </c>
      <c r="CK619" s="37">
        <v>0</v>
      </c>
      <c r="CL619" s="37">
        <v>0</v>
      </c>
      <c r="CM619" s="37">
        <v>0</v>
      </c>
      <c r="CN619" s="59">
        <v>0</v>
      </c>
      <c r="CO619" s="59">
        <v>0</v>
      </c>
      <c r="CP619" s="58"/>
      <c r="CQ619" s="3">
        <v>0</v>
      </c>
    </row>
    <row r="620" spans="1:95" customFormat="1" x14ac:dyDescent="0.2">
      <c r="A620" s="33">
        <v>0</v>
      </c>
      <c r="B620" s="33">
        <v>0</v>
      </c>
      <c r="C620" s="33">
        <v>0</v>
      </c>
      <c r="D620" s="43">
        <v>0</v>
      </c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7">
        <v>0</v>
      </c>
      <c r="R620" s="37">
        <v>0</v>
      </c>
      <c r="S620" s="37">
        <v>0</v>
      </c>
      <c r="T620" s="37">
        <v>0</v>
      </c>
      <c r="U620" s="37">
        <v>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7">
        <v>0</v>
      </c>
      <c r="AB620" s="37">
        <v>0</v>
      </c>
      <c r="AC620" s="37">
        <v>0</v>
      </c>
      <c r="AD620" s="37">
        <v>0</v>
      </c>
      <c r="AE620" s="37">
        <v>0</v>
      </c>
      <c r="AF620" s="37">
        <v>0</v>
      </c>
      <c r="AG620" s="59">
        <v>0</v>
      </c>
      <c r="AH620" s="37">
        <v>0</v>
      </c>
      <c r="AI620" s="37">
        <v>0</v>
      </c>
      <c r="AJ620" s="37">
        <v>0</v>
      </c>
      <c r="AK620" s="37">
        <v>0</v>
      </c>
      <c r="AL620" s="37">
        <v>0</v>
      </c>
      <c r="AM620" s="37">
        <v>0</v>
      </c>
      <c r="AN620" s="37">
        <v>0</v>
      </c>
      <c r="AO620" s="37">
        <v>0</v>
      </c>
      <c r="AP620" s="37">
        <v>0</v>
      </c>
      <c r="AQ620" s="37">
        <v>0</v>
      </c>
      <c r="AR620" s="37">
        <v>0</v>
      </c>
      <c r="AS620" s="59">
        <v>0</v>
      </c>
      <c r="AT620" s="59">
        <v>0</v>
      </c>
      <c r="AU620" s="45"/>
      <c r="AV620" s="37">
        <v>0</v>
      </c>
      <c r="AW620" s="37">
        <v>0</v>
      </c>
      <c r="AX620" s="37">
        <v>0</v>
      </c>
      <c r="AY620" s="37">
        <v>0</v>
      </c>
      <c r="AZ620" s="37">
        <v>0</v>
      </c>
      <c r="BA620" s="37">
        <v>0</v>
      </c>
      <c r="BB620" s="37">
        <v>0</v>
      </c>
      <c r="BC620" s="37">
        <v>0</v>
      </c>
      <c r="BD620" s="37">
        <v>0</v>
      </c>
      <c r="BE620" s="37">
        <v>0</v>
      </c>
      <c r="BF620" s="37">
        <v>0</v>
      </c>
      <c r="BG620" s="37">
        <v>0</v>
      </c>
      <c r="BH620" s="37">
        <v>0</v>
      </c>
      <c r="BI620" s="37">
        <v>0</v>
      </c>
      <c r="BJ620" s="37">
        <v>0</v>
      </c>
      <c r="BK620" s="59">
        <v>0</v>
      </c>
      <c r="BL620" s="37">
        <v>0</v>
      </c>
      <c r="BM620" s="37">
        <v>0</v>
      </c>
      <c r="BN620" s="37">
        <v>0</v>
      </c>
      <c r="BO620" s="37">
        <v>0</v>
      </c>
      <c r="BP620" s="37">
        <v>0</v>
      </c>
      <c r="BQ620" s="37">
        <v>0</v>
      </c>
      <c r="BR620" s="37">
        <v>0</v>
      </c>
      <c r="BS620" s="37">
        <v>0</v>
      </c>
      <c r="BT620" s="37">
        <v>0</v>
      </c>
      <c r="BU620" s="37">
        <v>0</v>
      </c>
      <c r="BV620" s="37">
        <v>0</v>
      </c>
      <c r="BW620" s="59">
        <v>0</v>
      </c>
      <c r="BX620" s="59">
        <v>0</v>
      </c>
      <c r="BZ620" s="37">
        <v>0</v>
      </c>
      <c r="CA620" s="37">
        <v>0</v>
      </c>
      <c r="CB620" s="37">
        <v>0</v>
      </c>
      <c r="CC620" s="37">
        <v>0</v>
      </c>
      <c r="CD620" s="37">
        <v>0</v>
      </c>
      <c r="CE620" s="37">
        <v>0</v>
      </c>
      <c r="CF620" s="37">
        <v>0</v>
      </c>
      <c r="CG620" s="59">
        <v>0</v>
      </c>
      <c r="CH620" s="37">
        <v>0</v>
      </c>
      <c r="CI620" s="37">
        <v>0</v>
      </c>
      <c r="CJ620" s="37">
        <v>0</v>
      </c>
      <c r="CK620" s="37">
        <v>0</v>
      </c>
      <c r="CL620" s="37">
        <v>0</v>
      </c>
      <c r="CM620" s="37">
        <v>0</v>
      </c>
      <c r="CN620" s="59">
        <v>0</v>
      </c>
      <c r="CO620" s="59">
        <v>0</v>
      </c>
      <c r="CP620" s="58"/>
      <c r="CQ620" s="3">
        <v>0</v>
      </c>
    </row>
    <row r="621" spans="1:95" customFormat="1" x14ac:dyDescent="0.2">
      <c r="A621" s="33">
        <v>0</v>
      </c>
      <c r="B621" s="33">
        <v>0</v>
      </c>
      <c r="C621" s="33">
        <v>0</v>
      </c>
      <c r="D621" s="43">
        <v>0</v>
      </c>
      <c r="E621" s="43">
        <v>0</v>
      </c>
      <c r="F621" s="43">
        <v>0</v>
      </c>
      <c r="G621" s="43">
        <v>0</v>
      </c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59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59">
        <v>0</v>
      </c>
      <c r="AT621" s="59">
        <v>0</v>
      </c>
      <c r="AU621" s="45"/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>
        <v>0</v>
      </c>
      <c r="BB621" s="37">
        <v>0</v>
      </c>
      <c r="BC621" s="37">
        <v>0</v>
      </c>
      <c r="BD621" s="37">
        <v>0</v>
      </c>
      <c r="BE621" s="37">
        <v>0</v>
      </c>
      <c r="BF621" s="37">
        <v>0</v>
      </c>
      <c r="BG621" s="37">
        <v>0</v>
      </c>
      <c r="BH621" s="37">
        <v>0</v>
      </c>
      <c r="BI621" s="37">
        <v>0</v>
      </c>
      <c r="BJ621" s="37">
        <v>0</v>
      </c>
      <c r="BK621" s="59">
        <v>0</v>
      </c>
      <c r="BL621" s="37">
        <v>0</v>
      </c>
      <c r="BM621" s="37">
        <v>0</v>
      </c>
      <c r="BN621" s="37">
        <v>0</v>
      </c>
      <c r="BO621" s="37">
        <v>0</v>
      </c>
      <c r="BP621" s="37">
        <v>0</v>
      </c>
      <c r="BQ621" s="37">
        <v>0</v>
      </c>
      <c r="BR621" s="37">
        <v>0</v>
      </c>
      <c r="BS621" s="37">
        <v>0</v>
      </c>
      <c r="BT621" s="37">
        <v>0</v>
      </c>
      <c r="BU621" s="37">
        <v>0</v>
      </c>
      <c r="BV621" s="37">
        <v>0</v>
      </c>
      <c r="BW621" s="59">
        <v>0</v>
      </c>
      <c r="BX621" s="59">
        <v>0</v>
      </c>
      <c r="BZ621" s="37">
        <v>0</v>
      </c>
      <c r="CA621" s="37">
        <v>0</v>
      </c>
      <c r="CB621" s="37">
        <v>0</v>
      </c>
      <c r="CC621" s="37">
        <v>0</v>
      </c>
      <c r="CD621" s="37">
        <v>0</v>
      </c>
      <c r="CE621" s="37">
        <v>0</v>
      </c>
      <c r="CF621" s="37">
        <v>0</v>
      </c>
      <c r="CG621" s="59">
        <v>0</v>
      </c>
      <c r="CH621" s="37">
        <v>0</v>
      </c>
      <c r="CI621" s="37">
        <v>0</v>
      </c>
      <c r="CJ621" s="37">
        <v>0</v>
      </c>
      <c r="CK621" s="37">
        <v>0</v>
      </c>
      <c r="CL621" s="37">
        <v>0</v>
      </c>
      <c r="CM621" s="37">
        <v>0</v>
      </c>
      <c r="CN621" s="59">
        <v>0</v>
      </c>
      <c r="CO621" s="59">
        <v>0</v>
      </c>
      <c r="CP621" s="58"/>
      <c r="CQ621" s="3">
        <v>0</v>
      </c>
    </row>
    <row r="622" spans="1:95" customFormat="1" x14ac:dyDescent="0.2">
      <c r="A622" s="33">
        <v>0</v>
      </c>
      <c r="B622" s="33">
        <v>0</v>
      </c>
      <c r="C622" s="33">
        <v>0</v>
      </c>
      <c r="D622" s="43">
        <v>0</v>
      </c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7">
        <v>0</v>
      </c>
      <c r="R622" s="37">
        <v>0</v>
      </c>
      <c r="S622" s="37">
        <v>0</v>
      </c>
      <c r="T622" s="37">
        <v>0</v>
      </c>
      <c r="U622" s="37">
        <v>0</v>
      </c>
      <c r="V622" s="37">
        <v>0</v>
      </c>
      <c r="W622" s="37">
        <v>0</v>
      </c>
      <c r="X622" s="37">
        <v>0</v>
      </c>
      <c r="Y622" s="37">
        <v>0</v>
      </c>
      <c r="Z622" s="37">
        <v>0</v>
      </c>
      <c r="AA622" s="37">
        <v>0</v>
      </c>
      <c r="AB622" s="37">
        <v>0</v>
      </c>
      <c r="AC622" s="37">
        <v>0</v>
      </c>
      <c r="AD622" s="37">
        <v>0</v>
      </c>
      <c r="AE622" s="37">
        <v>0</v>
      </c>
      <c r="AF622" s="37">
        <v>0</v>
      </c>
      <c r="AG622" s="59">
        <v>0</v>
      </c>
      <c r="AH622" s="37">
        <v>0</v>
      </c>
      <c r="AI622" s="37">
        <v>0</v>
      </c>
      <c r="AJ622" s="37">
        <v>0</v>
      </c>
      <c r="AK622" s="37">
        <v>0</v>
      </c>
      <c r="AL622" s="37">
        <v>0</v>
      </c>
      <c r="AM622" s="37">
        <v>0</v>
      </c>
      <c r="AN622" s="37">
        <v>0</v>
      </c>
      <c r="AO622" s="37">
        <v>0</v>
      </c>
      <c r="AP622" s="37">
        <v>0</v>
      </c>
      <c r="AQ622" s="37">
        <v>0</v>
      </c>
      <c r="AR622" s="37">
        <v>0</v>
      </c>
      <c r="AS622" s="59">
        <v>0</v>
      </c>
      <c r="AT622" s="59">
        <v>0</v>
      </c>
      <c r="AU622" s="45"/>
      <c r="AV622" s="37">
        <v>0</v>
      </c>
      <c r="AW622" s="37">
        <v>0</v>
      </c>
      <c r="AX622" s="37">
        <v>0</v>
      </c>
      <c r="AY622" s="37">
        <v>0</v>
      </c>
      <c r="AZ622" s="37">
        <v>0</v>
      </c>
      <c r="BA622" s="37">
        <v>0</v>
      </c>
      <c r="BB622" s="37">
        <v>0</v>
      </c>
      <c r="BC622" s="37">
        <v>0</v>
      </c>
      <c r="BD622" s="37">
        <v>0</v>
      </c>
      <c r="BE622" s="37">
        <v>0</v>
      </c>
      <c r="BF622" s="37">
        <v>0</v>
      </c>
      <c r="BG622" s="37">
        <v>0</v>
      </c>
      <c r="BH622" s="37">
        <v>0</v>
      </c>
      <c r="BI622" s="37">
        <v>0</v>
      </c>
      <c r="BJ622" s="37">
        <v>0</v>
      </c>
      <c r="BK622" s="59">
        <v>0</v>
      </c>
      <c r="BL622" s="37">
        <v>0</v>
      </c>
      <c r="BM622" s="37">
        <v>0</v>
      </c>
      <c r="BN622" s="37">
        <v>0</v>
      </c>
      <c r="BO622" s="37">
        <v>0</v>
      </c>
      <c r="BP622" s="37">
        <v>0</v>
      </c>
      <c r="BQ622" s="37">
        <v>0</v>
      </c>
      <c r="BR622" s="37">
        <v>0</v>
      </c>
      <c r="BS622" s="37">
        <v>0</v>
      </c>
      <c r="BT622" s="37">
        <v>0</v>
      </c>
      <c r="BU622" s="37">
        <v>0</v>
      </c>
      <c r="BV622" s="37">
        <v>0</v>
      </c>
      <c r="BW622" s="59">
        <v>0</v>
      </c>
      <c r="BX622" s="59">
        <v>0</v>
      </c>
      <c r="BZ622" s="37">
        <v>0</v>
      </c>
      <c r="CA622" s="37">
        <v>0</v>
      </c>
      <c r="CB622" s="37">
        <v>0</v>
      </c>
      <c r="CC622" s="37">
        <v>0</v>
      </c>
      <c r="CD622" s="37">
        <v>0</v>
      </c>
      <c r="CE622" s="37">
        <v>0</v>
      </c>
      <c r="CF622" s="37">
        <v>0</v>
      </c>
      <c r="CG622" s="59">
        <v>0</v>
      </c>
      <c r="CH622" s="37">
        <v>0</v>
      </c>
      <c r="CI622" s="37">
        <v>0</v>
      </c>
      <c r="CJ622" s="37">
        <v>0</v>
      </c>
      <c r="CK622" s="37">
        <v>0</v>
      </c>
      <c r="CL622" s="37">
        <v>0</v>
      </c>
      <c r="CM622" s="37">
        <v>0</v>
      </c>
      <c r="CN622" s="59">
        <v>0</v>
      </c>
      <c r="CO622" s="59">
        <v>0</v>
      </c>
      <c r="CP622" s="58"/>
      <c r="CQ622" s="3">
        <v>0</v>
      </c>
    </row>
    <row r="623" spans="1:95" customFormat="1" x14ac:dyDescent="0.2">
      <c r="A623" s="33">
        <v>0</v>
      </c>
      <c r="B623" s="33">
        <v>0</v>
      </c>
      <c r="C623" s="33">
        <v>0</v>
      </c>
      <c r="D623" s="43">
        <v>0</v>
      </c>
      <c r="E623" s="43">
        <v>0</v>
      </c>
      <c r="F623" s="43">
        <v>0</v>
      </c>
      <c r="G623" s="43">
        <v>0</v>
      </c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7">
        <v>0</v>
      </c>
      <c r="R623" s="37">
        <v>0</v>
      </c>
      <c r="S623" s="37">
        <v>0</v>
      </c>
      <c r="T623" s="37">
        <v>0</v>
      </c>
      <c r="U623" s="37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v>0</v>
      </c>
      <c r="AD623" s="37">
        <v>0</v>
      </c>
      <c r="AE623" s="37">
        <v>0</v>
      </c>
      <c r="AF623" s="37">
        <v>0</v>
      </c>
      <c r="AG623" s="59">
        <v>0</v>
      </c>
      <c r="AH623" s="37">
        <v>0</v>
      </c>
      <c r="AI623" s="37">
        <v>0</v>
      </c>
      <c r="AJ623" s="37">
        <v>0</v>
      </c>
      <c r="AK623" s="37">
        <v>0</v>
      </c>
      <c r="AL623" s="37">
        <v>0</v>
      </c>
      <c r="AM623" s="37">
        <v>0</v>
      </c>
      <c r="AN623" s="37">
        <v>0</v>
      </c>
      <c r="AO623" s="37">
        <v>0</v>
      </c>
      <c r="AP623" s="37">
        <v>0</v>
      </c>
      <c r="AQ623" s="37">
        <v>0</v>
      </c>
      <c r="AR623" s="37">
        <v>0</v>
      </c>
      <c r="AS623" s="59">
        <v>0</v>
      </c>
      <c r="AT623" s="59">
        <v>0</v>
      </c>
      <c r="AU623" s="45"/>
      <c r="AV623" s="37">
        <v>0</v>
      </c>
      <c r="AW623" s="37">
        <v>0</v>
      </c>
      <c r="AX623" s="37">
        <v>0</v>
      </c>
      <c r="AY623" s="37">
        <v>0</v>
      </c>
      <c r="AZ623" s="37">
        <v>0</v>
      </c>
      <c r="BA623" s="37">
        <v>0</v>
      </c>
      <c r="BB623" s="37">
        <v>0</v>
      </c>
      <c r="BC623" s="37">
        <v>0</v>
      </c>
      <c r="BD623" s="37">
        <v>0</v>
      </c>
      <c r="BE623" s="37">
        <v>0</v>
      </c>
      <c r="BF623" s="37">
        <v>0</v>
      </c>
      <c r="BG623" s="37">
        <v>0</v>
      </c>
      <c r="BH623" s="37">
        <v>0</v>
      </c>
      <c r="BI623" s="37">
        <v>0</v>
      </c>
      <c r="BJ623" s="37">
        <v>0</v>
      </c>
      <c r="BK623" s="59">
        <v>0</v>
      </c>
      <c r="BL623" s="37">
        <v>0</v>
      </c>
      <c r="BM623" s="37">
        <v>0</v>
      </c>
      <c r="BN623" s="37">
        <v>0</v>
      </c>
      <c r="BO623" s="37">
        <v>0</v>
      </c>
      <c r="BP623" s="37">
        <v>0</v>
      </c>
      <c r="BQ623" s="37">
        <v>0</v>
      </c>
      <c r="BR623" s="37">
        <v>0</v>
      </c>
      <c r="BS623" s="37">
        <v>0</v>
      </c>
      <c r="BT623" s="37">
        <v>0</v>
      </c>
      <c r="BU623" s="37">
        <v>0</v>
      </c>
      <c r="BV623" s="37">
        <v>0</v>
      </c>
      <c r="BW623" s="59">
        <v>0</v>
      </c>
      <c r="BX623" s="59">
        <v>0</v>
      </c>
      <c r="BZ623" s="37">
        <v>0</v>
      </c>
      <c r="CA623" s="37">
        <v>0</v>
      </c>
      <c r="CB623" s="37">
        <v>0</v>
      </c>
      <c r="CC623" s="37">
        <v>0</v>
      </c>
      <c r="CD623" s="37">
        <v>0</v>
      </c>
      <c r="CE623" s="37">
        <v>0</v>
      </c>
      <c r="CF623" s="37">
        <v>0</v>
      </c>
      <c r="CG623" s="59">
        <v>0</v>
      </c>
      <c r="CH623" s="37">
        <v>0</v>
      </c>
      <c r="CI623" s="37">
        <v>0</v>
      </c>
      <c r="CJ623" s="37">
        <v>0</v>
      </c>
      <c r="CK623" s="37">
        <v>0</v>
      </c>
      <c r="CL623" s="37">
        <v>0</v>
      </c>
      <c r="CM623" s="37">
        <v>0</v>
      </c>
      <c r="CN623" s="59">
        <v>0</v>
      </c>
      <c r="CO623" s="59">
        <v>0</v>
      </c>
      <c r="CP623" s="58"/>
      <c r="CQ623" s="3">
        <v>0</v>
      </c>
    </row>
    <row r="624" spans="1:95" customFormat="1" x14ac:dyDescent="0.2">
      <c r="A624" s="33">
        <v>0</v>
      </c>
      <c r="B624" s="33">
        <v>0</v>
      </c>
      <c r="C624" s="33">
        <v>0</v>
      </c>
      <c r="D624" s="43">
        <v>0</v>
      </c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7">
        <v>0</v>
      </c>
      <c r="R624" s="37">
        <v>0</v>
      </c>
      <c r="S624" s="37">
        <v>0</v>
      </c>
      <c r="T624" s="37">
        <v>0</v>
      </c>
      <c r="U624" s="37">
        <v>0</v>
      </c>
      <c r="V624" s="37">
        <v>0</v>
      </c>
      <c r="W624" s="37">
        <v>0</v>
      </c>
      <c r="X624" s="37">
        <v>0</v>
      </c>
      <c r="Y624" s="37">
        <v>0</v>
      </c>
      <c r="Z624" s="37">
        <v>0</v>
      </c>
      <c r="AA624" s="37">
        <v>0</v>
      </c>
      <c r="AB624" s="37">
        <v>0</v>
      </c>
      <c r="AC624" s="37">
        <v>0</v>
      </c>
      <c r="AD624" s="37">
        <v>0</v>
      </c>
      <c r="AE624" s="37">
        <v>0</v>
      </c>
      <c r="AF624" s="37">
        <v>0</v>
      </c>
      <c r="AG624" s="59">
        <v>0</v>
      </c>
      <c r="AH624" s="37">
        <v>0</v>
      </c>
      <c r="AI624" s="37">
        <v>0</v>
      </c>
      <c r="AJ624" s="37">
        <v>0</v>
      </c>
      <c r="AK624" s="37">
        <v>0</v>
      </c>
      <c r="AL624" s="37">
        <v>0</v>
      </c>
      <c r="AM624" s="37">
        <v>0</v>
      </c>
      <c r="AN624" s="37">
        <v>0</v>
      </c>
      <c r="AO624" s="37">
        <v>0</v>
      </c>
      <c r="AP624" s="37">
        <v>0</v>
      </c>
      <c r="AQ624" s="37">
        <v>0</v>
      </c>
      <c r="AR624" s="37">
        <v>0</v>
      </c>
      <c r="AS624" s="59">
        <v>0</v>
      </c>
      <c r="AT624" s="59">
        <v>0</v>
      </c>
      <c r="AU624" s="45"/>
      <c r="AV624" s="37">
        <v>0</v>
      </c>
      <c r="AW624" s="37">
        <v>0</v>
      </c>
      <c r="AX624" s="37">
        <v>0</v>
      </c>
      <c r="AY624" s="37">
        <v>0</v>
      </c>
      <c r="AZ624" s="37">
        <v>0</v>
      </c>
      <c r="BA624" s="37">
        <v>0</v>
      </c>
      <c r="BB624" s="37">
        <v>0</v>
      </c>
      <c r="BC624" s="37">
        <v>0</v>
      </c>
      <c r="BD624" s="37">
        <v>0</v>
      </c>
      <c r="BE624" s="37">
        <v>0</v>
      </c>
      <c r="BF624" s="37">
        <v>0</v>
      </c>
      <c r="BG624" s="37">
        <v>0</v>
      </c>
      <c r="BH624" s="37">
        <v>0</v>
      </c>
      <c r="BI624" s="37">
        <v>0</v>
      </c>
      <c r="BJ624" s="37">
        <v>0</v>
      </c>
      <c r="BK624" s="59">
        <v>0</v>
      </c>
      <c r="BL624" s="37">
        <v>0</v>
      </c>
      <c r="BM624" s="37">
        <v>0</v>
      </c>
      <c r="BN624" s="37">
        <v>0</v>
      </c>
      <c r="BO624" s="37">
        <v>0</v>
      </c>
      <c r="BP624" s="37">
        <v>0</v>
      </c>
      <c r="BQ624" s="37">
        <v>0</v>
      </c>
      <c r="BR624" s="37">
        <v>0</v>
      </c>
      <c r="BS624" s="37">
        <v>0</v>
      </c>
      <c r="BT624" s="37">
        <v>0</v>
      </c>
      <c r="BU624" s="37">
        <v>0</v>
      </c>
      <c r="BV624" s="37">
        <v>0</v>
      </c>
      <c r="BW624" s="59">
        <v>0</v>
      </c>
      <c r="BX624" s="59">
        <v>0</v>
      </c>
      <c r="BZ624" s="37">
        <v>0</v>
      </c>
      <c r="CA624" s="37">
        <v>0</v>
      </c>
      <c r="CB624" s="37">
        <v>0</v>
      </c>
      <c r="CC624" s="37">
        <v>0</v>
      </c>
      <c r="CD624" s="37">
        <v>0</v>
      </c>
      <c r="CE624" s="37">
        <v>0</v>
      </c>
      <c r="CF624" s="37">
        <v>0</v>
      </c>
      <c r="CG624" s="59">
        <v>0</v>
      </c>
      <c r="CH624" s="37">
        <v>0</v>
      </c>
      <c r="CI624" s="37">
        <v>0</v>
      </c>
      <c r="CJ624" s="37">
        <v>0</v>
      </c>
      <c r="CK624" s="37">
        <v>0</v>
      </c>
      <c r="CL624" s="37">
        <v>0</v>
      </c>
      <c r="CM624" s="37">
        <v>0</v>
      </c>
      <c r="CN624" s="59">
        <v>0</v>
      </c>
      <c r="CO624" s="59">
        <v>0</v>
      </c>
      <c r="CP624" s="58"/>
      <c r="CQ624" s="3">
        <v>0</v>
      </c>
    </row>
    <row r="625" spans="1:95" customFormat="1" x14ac:dyDescent="0.2">
      <c r="A625" s="33">
        <v>0</v>
      </c>
      <c r="B625" s="33">
        <v>0</v>
      </c>
      <c r="C625" s="33">
        <v>0</v>
      </c>
      <c r="D625" s="43">
        <v>0</v>
      </c>
      <c r="E625" s="43">
        <v>0</v>
      </c>
      <c r="F625" s="43">
        <v>0</v>
      </c>
      <c r="G625" s="43">
        <v>0</v>
      </c>
      <c r="H625" s="43">
        <v>0</v>
      </c>
      <c r="I625" s="43">
        <v>0</v>
      </c>
      <c r="J625" s="43">
        <v>0</v>
      </c>
      <c r="K625" s="43">
        <v>0</v>
      </c>
      <c r="L625" s="43">
        <v>0</v>
      </c>
      <c r="M625" s="43">
        <v>0</v>
      </c>
      <c r="N625" s="43">
        <v>0</v>
      </c>
      <c r="O625" s="43">
        <v>0</v>
      </c>
      <c r="P625" s="47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v>0</v>
      </c>
      <c r="AD625" s="37">
        <v>0</v>
      </c>
      <c r="AE625" s="37">
        <v>0</v>
      </c>
      <c r="AF625" s="37">
        <v>0</v>
      </c>
      <c r="AG625" s="59">
        <v>0</v>
      </c>
      <c r="AH625" s="37">
        <v>0</v>
      </c>
      <c r="AI625" s="37">
        <v>0</v>
      </c>
      <c r="AJ625" s="37">
        <v>0</v>
      </c>
      <c r="AK625" s="37">
        <v>0</v>
      </c>
      <c r="AL625" s="37">
        <v>0</v>
      </c>
      <c r="AM625" s="37">
        <v>0</v>
      </c>
      <c r="AN625" s="37">
        <v>0</v>
      </c>
      <c r="AO625" s="37">
        <v>0</v>
      </c>
      <c r="AP625" s="37">
        <v>0</v>
      </c>
      <c r="AQ625" s="37">
        <v>0</v>
      </c>
      <c r="AR625" s="37">
        <v>0</v>
      </c>
      <c r="AS625" s="59">
        <v>0</v>
      </c>
      <c r="AT625" s="59">
        <v>0</v>
      </c>
      <c r="AU625" s="45"/>
      <c r="AV625" s="37">
        <v>0</v>
      </c>
      <c r="AW625" s="37">
        <v>0</v>
      </c>
      <c r="AX625" s="37">
        <v>0</v>
      </c>
      <c r="AY625" s="37">
        <v>0</v>
      </c>
      <c r="AZ625" s="37">
        <v>0</v>
      </c>
      <c r="BA625" s="37">
        <v>0</v>
      </c>
      <c r="BB625" s="37">
        <v>0</v>
      </c>
      <c r="BC625" s="37">
        <v>0</v>
      </c>
      <c r="BD625" s="37">
        <v>0</v>
      </c>
      <c r="BE625" s="37">
        <v>0</v>
      </c>
      <c r="BF625" s="37">
        <v>0</v>
      </c>
      <c r="BG625" s="37">
        <v>0</v>
      </c>
      <c r="BH625" s="37">
        <v>0</v>
      </c>
      <c r="BI625" s="37">
        <v>0</v>
      </c>
      <c r="BJ625" s="37">
        <v>0</v>
      </c>
      <c r="BK625" s="59">
        <v>0</v>
      </c>
      <c r="BL625" s="37">
        <v>0</v>
      </c>
      <c r="BM625" s="37">
        <v>0</v>
      </c>
      <c r="BN625" s="37">
        <v>0</v>
      </c>
      <c r="BO625" s="37">
        <v>0</v>
      </c>
      <c r="BP625" s="37">
        <v>0</v>
      </c>
      <c r="BQ625" s="37">
        <v>0</v>
      </c>
      <c r="BR625" s="37">
        <v>0</v>
      </c>
      <c r="BS625" s="37">
        <v>0</v>
      </c>
      <c r="BT625" s="37">
        <v>0</v>
      </c>
      <c r="BU625" s="37">
        <v>0</v>
      </c>
      <c r="BV625" s="37">
        <v>0</v>
      </c>
      <c r="BW625" s="59">
        <v>0</v>
      </c>
      <c r="BX625" s="59">
        <v>0</v>
      </c>
      <c r="BZ625" s="37">
        <v>0</v>
      </c>
      <c r="CA625" s="37">
        <v>0</v>
      </c>
      <c r="CB625" s="37">
        <v>0</v>
      </c>
      <c r="CC625" s="37">
        <v>0</v>
      </c>
      <c r="CD625" s="37">
        <v>0</v>
      </c>
      <c r="CE625" s="37">
        <v>0</v>
      </c>
      <c r="CF625" s="37">
        <v>0</v>
      </c>
      <c r="CG625" s="59">
        <v>0</v>
      </c>
      <c r="CH625" s="37">
        <v>0</v>
      </c>
      <c r="CI625" s="37">
        <v>0</v>
      </c>
      <c r="CJ625" s="37">
        <v>0</v>
      </c>
      <c r="CK625" s="37">
        <v>0</v>
      </c>
      <c r="CL625" s="37">
        <v>0</v>
      </c>
      <c r="CM625" s="37">
        <v>0</v>
      </c>
      <c r="CN625" s="59">
        <v>0</v>
      </c>
      <c r="CO625" s="59">
        <v>0</v>
      </c>
      <c r="CP625" s="58"/>
      <c r="CQ625" s="3">
        <v>0</v>
      </c>
    </row>
    <row r="626" spans="1:95" customFormat="1" x14ac:dyDescent="0.2">
      <c r="A626" s="33">
        <v>0</v>
      </c>
      <c r="B626" s="33">
        <v>0</v>
      </c>
      <c r="C626" s="33">
        <v>0</v>
      </c>
      <c r="D626" s="43">
        <v>0</v>
      </c>
      <c r="E626" s="43">
        <v>0</v>
      </c>
      <c r="F626" s="43">
        <v>0</v>
      </c>
      <c r="G626" s="43">
        <v>0</v>
      </c>
      <c r="H626" s="43">
        <v>0</v>
      </c>
      <c r="I626" s="43">
        <v>0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0</v>
      </c>
      <c r="P626" s="47">
        <v>0</v>
      </c>
      <c r="R626" s="37">
        <v>0</v>
      </c>
      <c r="S626" s="37">
        <v>0</v>
      </c>
      <c r="T626" s="37">
        <v>0</v>
      </c>
      <c r="U626" s="37">
        <v>0</v>
      </c>
      <c r="V626" s="37">
        <v>0</v>
      </c>
      <c r="W626" s="37">
        <v>0</v>
      </c>
      <c r="X626" s="37">
        <v>0</v>
      </c>
      <c r="Y626" s="37">
        <v>0</v>
      </c>
      <c r="Z626" s="37">
        <v>0</v>
      </c>
      <c r="AA626" s="37">
        <v>0</v>
      </c>
      <c r="AB626" s="37">
        <v>0</v>
      </c>
      <c r="AC626" s="37">
        <v>0</v>
      </c>
      <c r="AD626" s="37">
        <v>0</v>
      </c>
      <c r="AE626" s="37">
        <v>0</v>
      </c>
      <c r="AF626" s="37">
        <v>0</v>
      </c>
      <c r="AG626" s="59">
        <v>0</v>
      </c>
      <c r="AH626" s="37">
        <v>0</v>
      </c>
      <c r="AI626" s="37">
        <v>0</v>
      </c>
      <c r="AJ626" s="37">
        <v>0</v>
      </c>
      <c r="AK626" s="37">
        <v>0</v>
      </c>
      <c r="AL626" s="37">
        <v>0</v>
      </c>
      <c r="AM626" s="37">
        <v>0</v>
      </c>
      <c r="AN626" s="37">
        <v>0</v>
      </c>
      <c r="AO626" s="37">
        <v>0</v>
      </c>
      <c r="AP626" s="37">
        <v>0</v>
      </c>
      <c r="AQ626" s="37">
        <v>0</v>
      </c>
      <c r="AR626" s="37">
        <v>0</v>
      </c>
      <c r="AS626" s="59">
        <v>0</v>
      </c>
      <c r="AT626" s="59">
        <v>0</v>
      </c>
      <c r="AU626" s="45"/>
      <c r="AV626" s="37">
        <v>0</v>
      </c>
      <c r="AW626" s="37">
        <v>0</v>
      </c>
      <c r="AX626" s="37">
        <v>0</v>
      </c>
      <c r="AY626" s="37">
        <v>0</v>
      </c>
      <c r="AZ626" s="37">
        <v>0</v>
      </c>
      <c r="BA626" s="37">
        <v>0</v>
      </c>
      <c r="BB626" s="37">
        <v>0</v>
      </c>
      <c r="BC626" s="37">
        <v>0</v>
      </c>
      <c r="BD626" s="37">
        <v>0</v>
      </c>
      <c r="BE626" s="37">
        <v>0</v>
      </c>
      <c r="BF626" s="37">
        <v>0</v>
      </c>
      <c r="BG626" s="37">
        <v>0</v>
      </c>
      <c r="BH626" s="37">
        <v>0</v>
      </c>
      <c r="BI626" s="37">
        <v>0</v>
      </c>
      <c r="BJ626" s="37">
        <v>0</v>
      </c>
      <c r="BK626" s="59">
        <v>0</v>
      </c>
      <c r="BL626" s="37">
        <v>0</v>
      </c>
      <c r="BM626" s="37">
        <v>0</v>
      </c>
      <c r="BN626" s="37">
        <v>0</v>
      </c>
      <c r="BO626" s="37">
        <v>0</v>
      </c>
      <c r="BP626" s="37">
        <v>0</v>
      </c>
      <c r="BQ626" s="37">
        <v>0</v>
      </c>
      <c r="BR626" s="37">
        <v>0</v>
      </c>
      <c r="BS626" s="37">
        <v>0</v>
      </c>
      <c r="BT626" s="37">
        <v>0</v>
      </c>
      <c r="BU626" s="37">
        <v>0</v>
      </c>
      <c r="BV626" s="37">
        <v>0</v>
      </c>
      <c r="BW626" s="59">
        <v>0</v>
      </c>
      <c r="BX626" s="59">
        <v>0</v>
      </c>
      <c r="BZ626" s="37">
        <v>0</v>
      </c>
      <c r="CA626" s="37">
        <v>0</v>
      </c>
      <c r="CB626" s="37">
        <v>0</v>
      </c>
      <c r="CC626" s="37">
        <v>0</v>
      </c>
      <c r="CD626" s="37">
        <v>0</v>
      </c>
      <c r="CE626" s="37">
        <v>0</v>
      </c>
      <c r="CF626" s="37">
        <v>0</v>
      </c>
      <c r="CG626" s="59">
        <v>0</v>
      </c>
      <c r="CH626" s="37">
        <v>0</v>
      </c>
      <c r="CI626" s="37">
        <v>0</v>
      </c>
      <c r="CJ626" s="37">
        <v>0</v>
      </c>
      <c r="CK626" s="37">
        <v>0</v>
      </c>
      <c r="CL626" s="37">
        <v>0</v>
      </c>
      <c r="CM626" s="37">
        <v>0</v>
      </c>
      <c r="CN626" s="59">
        <v>0</v>
      </c>
      <c r="CO626" s="59">
        <v>0</v>
      </c>
      <c r="CP626" s="58"/>
      <c r="CQ626" s="3">
        <v>0</v>
      </c>
    </row>
    <row r="627" spans="1:95" customFormat="1" x14ac:dyDescent="0.2">
      <c r="A627" s="33">
        <v>0</v>
      </c>
      <c r="B627" s="33">
        <v>0</v>
      </c>
      <c r="C627" s="33">
        <v>0</v>
      </c>
      <c r="D627" s="43">
        <v>0</v>
      </c>
      <c r="E627" s="43">
        <v>0</v>
      </c>
      <c r="F627" s="43">
        <v>0</v>
      </c>
      <c r="G627" s="43">
        <v>0</v>
      </c>
      <c r="H627" s="43">
        <v>0</v>
      </c>
      <c r="I627" s="43">
        <v>0</v>
      </c>
      <c r="J627" s="43">
        <v>0</v>
      </c>
      <c r="K627" s="43">
        <v>0</v>
      </c>
      <c r="L627" s="43">
        <v>0</v>
      </c>
      <c r="M627" s="43">
        <v>0</v>
      </c>
      <c r="N627" s="43">
        <v>0</v>
      </c>
      <c r="O627" s="43">
        <v>0</v>
      </c>
      <c r="P627" s="47">
        <v>0</v>
      </c>
      <c r="R627" s="37">
        <v>0</v>
      </c>
      <c r="S627" s="37">
        <v>0</v>
      </c>
      <c r="T627" s="37">
        <v>0</v>
      </c>
      <c r="U627" s="37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v>0</v>
      </c>
      <c r="AD627" s="37">
        <v>0</v>
      </c>
      <c r="AE627" s="37">
        <v>0</v>
      </c>
      <c r="AF627" s="37">
        <v>0</v>
      </c>
      <c r="AG627" s="59">
        <v>0</v>
      </c>
      <c r="AH627" s="37">
        <v>0</v>
      </c>
      <c r="AI627" s="37">
        <v>0</v>
      </c>
      <c r="AJ627" s="37">
        <v>0</v>
      </c>
      <c r="AK627" s="37">
        <v>0</v>
      </c>
      <c r="AL627" s="37">
        <v>0</v>
      </c>
      <c r="AM627" s="37">
        <v>0</v>
      </c>
      <c r="AN627" s="37">
        <v>0</v>
      </c>
      <c r="AO627" s="37">
        <v>0</v>
      </c>
      <c r="AP627" s="37">
        <v>0</v>
      </c>
      <c r="AQ627" s="37">
        <v>0</v>
      </c>
      <c r="AR627" s="37">
        <v>0</v>
      </c>
      <c r="AS627" s="59">
        <v>0</v>
      </c>
      <c r="AT627" s="59">
        <v>0</v>
      </c>
      <c r="AU627" s="45"/>
      <c r="AV627" s="37">
        <v>0</v>
      </c>
      <c r="AW627" s="37">
        <v>0</v>
      </c>
      <c r="AX627" s="37">
        <v>0</v>
      </c>
      <c r="AY627" s="37">
        <v>0</v>
      </c>
      <c r="AZ627" s="37">
        <v>0</v>
      </c>
      <c r="BA627" s="37">
        <v>0</v>
      </c>
      <c r="BB627" s="37">
        <v>0</v>
      </c>
      <c r="BC627" s="37">
        <v>0</v>
      </c>
      <c r="BD627" s="37">
        <v>0</v>
      </c>
      <c r="BE627" s="37">
        <v>0</v>
      </c>
      <c r="BF627" s="37">
        <v>0</v>
      </c>
      <c r="BG627" s="37">
        <v>0</v>
      </c>
      <c r="BH627" s="37">
        <v>0</v>
      </c>
      <c r="BI627" s="37">
        <v>0</v>
      </c>
      <c r="BJ627" s="37">
        <v>0</v>
      </c>
      <c r="BK627" s="59">
        <v>0</v>
      </c>
      <c r="BL627" s="37">
        <v>0</v>
      </c>
      <c r="BM627" s="37">
        <v>0</v>
      </c>
      <c r="BN627" s="37">
        <v>0</v>
      </c>
      <c r="BO627" s="37">
        <v>0</v>
      </c>
      <c r="BP627" s="37">
        <v>0</v>
      </c>
      <c r="BQ627" s="37">
        <v>0</v>
      </c>
      <c r="BR627" s="37">
        <v>0</v>
      </c>
      <c r="BS627" s="37">
        <v>0</v>
      </c>
      <c r="BT627" s="37">
        <v>0</v>
      </c>
      <c r="BU627" s="37">
        <v>0</v>
      </c>
      <c r="BV627" s="37">
        <v>0</v>
      </c>
      <c r="BW627" s="59">
        <v>0</v>
      </c>
      <c r="BX627" s="59">
        <v>0</v>
      </c>
      <c r="BZ627" s="37">
        <v>0</v>
      </c>
      <c r="CA627" s="37">
        <v>0</v>
      </c>
      <c r="CB627" s="37">
        <v>0</v>
      </c>
      <c r="CC627" s="37">
        <v>0</v>
      </c>
      <c r="CD627" s="37">
        <v>0</v>
      </c>
      <c r="CE627" s="37">
        <v>0</v>
      </c>
      <c r="CF627" s="37">
        <v>0</v>
      </c>
      <c r="CG627" s="59">
        <v>0</v>
      </c>
      <c r="CH627" s="37">
        <v>0</v>
      </c>
      <c r="CI627" s="37">
        <v>0</v>
      </c>
      <c r="CJ627" s="37">
        <v>0</v>
      </c>
      <c r="CK627" s="37">
        <v>0</v>
      </c>
      <c r="CL627" s="37">
        <v>0</v>
      </c>
      <c r="CM627" s="37">
        <v>0</v>
      </c>
      <c r="CN627" s="59">
        <v>0</v>
      </c>
      <c r="CO627" s="59">
        <v>0</v>
      </c>
      <c r="CP627" s="58"/>
      <c r="CQ627" s="3">
        <v>0</v>
      </c>
    </row>
    <row r="628" spans="1:95" customFormat="1" x14ac:dyDescent="0.2">
      <c r="A628" s="33">
        <v>0</v>
      </c>
      <c r="B628" s="33">
        <v>0</v>
      </c>
      <c r="C628" s="33">
        <v>0</v>
      </c>
      <c r="D628" s="43">
        <v>0</v>
      </c>
      <c r="E628" s="43">
        <v>0</v>
      </c>
      <c r="F628" s="43">
        <v>0</v>
      </c>
      <c r="G628" s="43">
        <v>0</v>
      </c>
      <c r="H628" s="43">
        <v>0</v>
      </c>
      <c r="I628" s="43">
        <v>0</v>
      </c>
      <c r="J628" s="43">
        <v>0</v>
      </c>
      <c r="K628" s="43">
        <v>0</v>
      </c>
      <c r="L628" s="43">
        <v>0</v>
      </c>
      <c r="M628" s="43">
        <v>0</v>
      </c>
      <c r="N628" s="43">
        <v>0</v>
      </c>
      <c r="O628" s="43">
        <v>0</v>
      </c>
      <c r="P628" s="47">
        <v>0</v>
      </c>
      <c r="R628" s="37">
        <v>0</v>
      </c>
      <c r="S628" s="37">
        <v>0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0</v>
      </c>
      <c r="AB628" s="37">
        <v>0</v>
      </c>
      <c r="AC628" s="37">
        <v>0</v>
      </c>
      <c r="AD628" s="37">
        <v>0</v>
      </c>
      <c r="AE628" s="37">
        <v>0</v>
      </c>
      <c r="AF628" s="37">
        <v>0</v>
      </c>
      <c r="AG628" s="59">
        <v>0</v>
      </c>
      <c r="AH628" s="37">
        <v>0</v>
      </c>
      <c r="AI628" s="37">
        <v>0</v>
      </c>
      <c r="AJ628" s="37">
        <v>0</v>
      </c>
      <c r="AK628" s="37">
        <v>0</v>
      </c>
      <c r="AL628" s="37">
        <v>0</v>
      </c>
      <c r="AM628" s="37">
        <v>0</v>
      </c>
      <c r="AN628" s="37">
        <v>0</v>
      </c>
      <c r="AO628" s="37">
        <v>0</v>
      </c>
      <c r="AP628" s="37">
        <v>0</v>
      </c>
      <c r="AQ628" s="37">
        <v>0</v>
      </c>
      <c r="AR628" s="37">
        <v>0</v>
      </c>
      <c r="AS628" s="59">
        <v>0</v>
      </c>
      <c r="AT628" s="59">
        <v>0</v>
      </c>
      <c r="AU628" s="45"/>
      <c r="AV628" s="37">
        <v>0</v>
      </c>
      <c r="AW628" s="37">
        <v>0</v>
      </c>
      <c r="AX628" s="37">
        <v>0</v>
      </c>
      <c r="AY628" s="37">
        <v>0</v>
      </c>
      <c r="AZ628" s="37">
        <v>0</v>
      </c>
      <c r="BA628" s="37">
        <v>0</v>
      </c>
      <c r="BB628" s="37">
        <v>0</v>
      </c>
      <c r="BC628" s="37">
        <v>0</v>
      </c>
      <c r="BD628" s="37">
        <v>0</v>
      </c>
      <c r="BE628" s="37">
        <v>0</v>
      </c>
      <c r="BF628" s="37">
        <v>0</v>
      </c>
      <c r="BG628" s="37">
        <v>0</v>
      </c>
      <c r="BH628" s="37">
        <v>0</v>
      </c>
      <c r="BI628" s="37">
        <v>0</v>
      </c>
      <c r="BJ628" s="37">
        <v>0</v>
      </c>
      <c r="BK628" s="59">
        <v>0</v>
      </c>
      <c r="BL628" s="37">
        <v>0</v>
      </c>
      <c r="BM628" s="37">
        <v>0</v>
      </c>
      <c r="BN628" s="37">
        <v>0</v>
      </c>
      <c r="BO628" s="37">
        <v>0</v>
      </c>
      <c r="BP628" s="37">
        <v>0</v>
      </c>
      <c r="BQ628" s="37">
        <v>0</v>
      </c>
      <c r="BR628" s="37">
        <v>0</v>
      </c>
      <c r="BS628" s="37">
        <v>0</v>
      </c>
      <c r="BT628" s="37">
        <v>0</v>
      </c>
      <c r="BU628" s="37">
        <v>0</v>
      </c>
      <c r="BV628" s="37">
        <v>0</v>
      </c>
      <c r="BW628" s="59">
        <v>0</v>
      </c>
      <c r="BX628" s="59">
        <v>0</v>
      </c>
      <c r="BZ628" s="37">
        <v>0</v>
      </c>
      <c r="CA628" s="37">
        <v>0</v>
      </c>
      <c r="CB628" s="37">
        <v>0</v>
      </c>
      <c r="CC628" s="37">
        <v>0</v>
      </c>
      <c r="CD628" s="37">
        <v>0</v>
      </c>
      <c r="CE628" s="37">
        <v>0</v>
      </c>
      <c r="CF628" s="37">
        <v>0</v>
      </c>
      <c r="CG628" s="59">
        <v>0</v>
      </c>
      <c r="CH628" s="37">
        <v>0</v>
      </c>
      <c r="CI628" s="37">
        <v>0</v>
      </c>
      <c r="CJ628" s="37">
        <v>0</v>
      </c>
      <c r="CK628" s="37">
        <v>0</v>
      </c>
      <c r="CL628" s="37">
        <v>0</v>
      </c>
      <c r="CM628" s="37">
        <v>0</v>
      </c>
      <c r="CN628" s="59">
        <v>0</v>
      </c>
      <c r="CO628" s="59">
        <v>0</v>
      </c>
      <c r="CP628" s="58"/>
      <c r="CQ628" s="3">
        <v>0</v>
      </c>
    </row>
    <row r="629" spans="1:95" customFormat="1" x14ac:dyDescent="0.2">
      <c r="A629" s="33">
        <v>0</v>
      </c>
      <c r="B629" s="33">
        <v>0</v>
      </c>
      <c r="C629" s="33">
        <v>0</v>
      </c>
      <c r="D629" s="43">
        <v>0</v>
      </c>
      <c r="E629" s="43">
        <v>0</v>
      </c>
      <c r="F629" s="43">
        <v>0</v>
      </c>
      <c r="G629" s="43">
        <v>0</v>
      </c>
      <c r="H629" s="43">
        <v>0</v>
      </c>
      <c r="I629" s="43">
        <v>0</v>
      </c>
      <c r="J629" s="43">
        <v>0</v>
      </c>
      <c r="K629" s="43">
        <v>0</v>
      </c>
      <c r="L629" s="43">
        <v>0</v>
      </c>
      <c r="M629" s="43">
        <v>0</v>
      </c>
      <c r="N629" s="43">
        <v>0</v>
      </c>
      <c r="O629" s="43">
        <v>0</v>
      </c>
      <c r="P629" s="47">
        <v>0</v>
      </c>
      <c r="R629" s="37">
        <v>0</v>
      </c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v>0</v>
      </c>
      <c r="AD629" s="37">
        <v>0</v>
      </c>
      <c r="AE629" s="37">
        <v>0</v>
      </c>
      <c r="AF629" s="37">
        <v>0</v>
      </c>
      <c r="AG629" s="59">
        <v>0</v>
      </c>
      <c r="AH629" s="37">
        <v>0</v>
      </c>
      <c r="AI629" s="37">
        <v>0</v>
      </c>
      <c r="AJ629" s="37">
        <v>0</v>
      </c>
      <c r="AK629" s="37">
        <v>0</v>
      </c>
      <c r="AL629" s="37">
        <v>0</v>
      </c>
      <c r="AM629" s="37">
        <v>0</v>
      </c>
      <c r="AN629" s="37">
        <v>0</v>
      </c>
      <c r="AO629" s="37">
        <v>0</v>
      </c>
      <c r="AP629" s="37">
        <v>0</v>
      </c>
      <c r="AQ629" s="37">
        <v>0</v>
      </c>
      <c r="AR629" s="37">
        <v>0</v>
      </c>
      <c r="AS629" s="59">
        <v>0</v>
      </c>
      <c r="AT629" s="59">
        <v>0</v>
      </c>
      <c r="AU629" s="45"/>
      <c r="AV629" s="37">
        <v>0</v>
      </c>
      <c r="AW629" s="37">
        <v>0</v>
      </c>
      <c r="AX629" s="37">
        <v>0</v>
      </c>
      <c r="AY629" s="37">
        <v>0</v>
      </c>
      <c r="AZ629" s="37">
        <v>0</v>
      </c>
      <c r="BA629" s="37">
        <v>0</v>
      </c>
      <c r="BB629" s="37">
        <v>0</v>
      </c>
      <c r="BC629" s="37">
        <v>0</v>
      </c>
      <c r="BD629" s="37">
        <v>0</v>
      </c>
      <c r="BE629" s="37">
        <v>0</v>
      </c>
      <c r="BF629" s="37">
        <v>0</v>
      </c>
      <c r="BG629" s="37">
        <v>0</v>
      </c>
      <c r="BH629" s="37">
        <v>0</v>
      </c>
      <c r="BI629" s="37">
        <v>0</v>
      </c>
      <c r="BJ629" s="37">
        <v>0</v>
      </c>
      <c r="BK629" s="59">
        <v>0</v>
      </c>
      <c r="BL629" s="37">
        <v>0</v>
      </c>
      <c r="BM629" s="37">
        <v>0</v>
      </c>
      <c r="BN629" s="37">
        <v>0</v>
      </c>
      <c r="BO629" s="37">
        <v>0</v>
      </c>
      <c r="BP629" s="37">
        <v>0</v>
      </c>
      <c r="BQ629" s="37">
        <v>0</v>
      </c>
      <c r="BR629" s="37">
        <v>0</v>
      </c>
      <c r="BS629" s="37">
        <v>0</v>
      </c>
      <c r="BT629" s="37">
        <v>0</v>
      </c>
      <c r="BU629" s="37">
        <v>0</v>
      </c>
      <c r="BV629" s="37">
        <v>0</v>
      </c>
      <c r="BW629" s="59">
        <v>0</v>
      </c>
      <c r="BX629" s="59">
        <v>0</v>
      </c>
      <c r="BZ629" s="37">
        <v>0</v>
      </c>
      <c r="CA629" s="37">
        <v>0</v>
      </c>
      <c r="CB629" s="37">
        <v>0</v>
      </c>
      <c r="CC629" s="37">
        <v>0</v>
      </c>
      <c r="CD629" s="37">
        <v>0</v>
      </c>
      <c r="CE629" s="37">
        <v>0</v>
      </c>
      <c r="CF629" s="37">
        <v>0</v>
      </c>
      <c r="CG629" s="59">
        <v>0</v>
      </c>
      <c r="CH629" s="37">
        <v>0</v>
      </c>
      <c r="CI629" s="37">
        <v>0</v>
      </c>
      <c r="CJ629" s="37">
        <v>0</v>
      </c>
      <c r="CK629" s="37">
        <v>0</v>
      </c>
      <c r="CL629" s="37">
        <v>0</v>
      </c>
      <c r="CM629" s="37">
        <v>0</v>
      </c>
      <c r="CN629" s="59">
        <v>0</v>
      </c>
      <c r="CO629" s="59">
        <v>0</v>
      </c>
      <c r="CP629" s="58"/>
      <c r="CQ629" s="3">
        <v>0</v>
      </c>
    </row>
    <row r="630" spans="1:95" customFormat="1" x14ac:dyDescent="0.2">
      <c r="A630" s="33">
        <v>0</v>
      </c>
      <c r="B630" s="33">
        <v>0</v>
      </c>
      <c r="C630" s="33">
        <v>0</v>
      </c>
      <c r="D630" s="43">
        <v>0</v>
      </c>
      <c r="E630" s="43">
        <v>0</v>
      </c>
      <c r="F630" s="43">
        <v>0</v>
      </c>
      <c r="G630" s="43">
        <v>0</v>
      </c>
      <c r="H630" s="43">
        <v>0</v>
      </c>
      <c r="I630" s="43">
        <v>0</v>
      </c>
      <c r="J630" s="43">
        <v>0</v>
      </c>
      <c r="K630" s="43">
        <v>0</v>
      </c>
      <c r="L630" s="43">
        <v>0</v>
      </c>
      <c r="M630" s="43">
        <v>0</v>
      </c>
      <c r="N630" s="43">
        <v>0</v>
      </c>
      <c r="O630" s="43">
        <v>0</v>
      </c>
      <c r="P630" s="47">
        <v>0</v>
      </c>
      <c r="R630" s="37">
        <v>0</v>
      </c>
      <c r="S630" s="37">
        <v>0</v>
      </c>
      <c r="T630" s="37">
        <v>0</v>
      </c>
      <c r="U630" s="37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>
        <v>0</v>
      </c>
      <c r="AB630" s="37">
        <v>0</v>
      </c>
      <c r="AC630" s="37">
        <v>0</v>
      </c>
      <c r="AD630" s="37">
        <v>0</v>
      </c>
      <c r="AE630" s="37">
        <v>0</v>
      </c>
      <c r="AF630" s="37">
        <v>0</v>
      </c>
      <c r="AG630" s="59">
        <v>0</v>
      </c>
      <c r="AH630" s="37">
        <v>0</v>
      </c>
      <c r="AI630" s="37">
        <v>0</v>
      </c>
      <c r="AJ630" s="37">
        <v>0</v>
      </c>
      <c r="AK630" s="37">
        <v>0</v>
      </c>
      <c r="AL630" s="37">
        <v>0</v>
      </c>
      <c r="AM630" s="37">
        <v>0</v>
      </c>
      <c r="AN630" s="37">
        <v>0</v>
      </c>
      <c r="AO630" s="37">
        <v>0</v>
      </c>
      <c r="AP630" s="37">
        <v>0</v>
      </c>
      <c r="AQ630" s="37">
        <v>0</v>
      </c>
      <c r="AR630" s="37">
        <v>0</v>
      </c>
      <c r="AS630" s="59">
        <v>0</v>
      </c>
      <c r="AT630" s="59">
        <v>0</v>
      </c>
      <c r="AU630" s="45"/>
      <c r="AV630" s="37">
        <v>0</v>
      </c>
      <c r="AW630" s="37">
        <v>0</v>
      </c>
      <c r="AX630" s="37">
        <v>0</v>
      </c>
      <c r="AY630" s="37">
        <v>0</v>
      </c>
      <c r="AZ630" s="37">
        <v>0</v>
      </c>
      <c r="BA630" s="37">
        <v>0</v>
      </c>
      <c r="BB630" s="37">
        <v>0</v>
      </c>
      <c r="BC630" s="37">
        <v>0</v>
      </c>
      <c r="BD630" s="37">
        <v>0</v>
      </c>
      <c r="BE630" s="37">
        <v>0</v>
      </c>
      <c r="BF630" s="37">
        <v>0</v>
      </c>
      <c r="BG630" s="37">
        <v>0</v>
      </c>
      <c r="BH630" s="37">
        <v>0</v>
      </c>
      <c r="BI630" s="37">
        <v>0</v>
      </c>
      <c r="BJ630" s="37">
        <v>0</v>
      </c>
      <c r="BK630" s="59">
        <v>0</v>
      </c>
      <c r="BL630" s="37">
        <v>0</v>
      </c>
      <c r="BM630" s="37">
        <v>0</v>
      </c>
      <c r="BN630" s="37">
        <v>0</v>
      </c>
      <c r="BO630" s="37">
        <v>0</v>
      </c>
      <c r="BP630" s="37">
        <v>0</v>
      </c>
      <c r="BQ630" s="37">
        <v>0</v>
      </c>
      <c r="BR630" s="37">
        <v>0</v>
      </c>
      <c r="BS630" s="37">
        <v>0</v>
      </c>
      <c r="BT630" s="37">
        <v>0</v>
      </c>
      <c r="BU630" s="37">
        <v>0</v>
      </c>
      <c r="BV630" s="37">
        <v>0</v>
      </c>
      <c r="BW630" s="59">
        <v>0</v>
      </c>
      <c r="BX630" s="59">
        <v>0</v>
      </c>
      <c r="BZ630" s="37">
        <v>0</v>
      </c>
      <c r="CA630" s="37">
        <v>0</v>
      </c>
      <c r="CB630" s="37">
        <v>0</v>
      </c>
      <c r="CC630" s="37">
        <v>0</v>
      </c>
      <c r="CD630" s="37">
        <v>0</v>
      </c>
      <c r="CE630" s="37">
        <v>0</v>
      </c>
      <c r="CF630" s="37">
        <v>0</v>
      </c>
      <c r="CG630" s="59">
        <v>0</v>
      </c>
      <c r="CH630" s="37">
        <v>0</v>
      </c>
      <c r="CI630" s="37">
        <v>0</v>
      </c>
      <c r="CJ630" s="37">
        <v>0</v>
      </c>
      <c r="CK630" s="37">
        <v>0</v>
      </c>
      <c r="CL630" s="37">
        <v>0</v>
      </c>
      <c r="CM630" s="37">
        <v>0</v>
      </c>
      <c r="CN630" s="59">
        <v>0</v>
      </c>
      <c r="CO630" s="59">
        <v>0</v>
      </c>
      <c r="CP630" s="58"/>
      <c r="CQ630" s="3">
        <v>0</v>
      </c>
    </row>
    <row r="631" spans="1:95" customFormat="1" x14ac:dyDescent="0.2">
      <c r="A631" s="33">
        <v>0</v>
      </c>
      <c r="B631" s="33">
        <v>0</v>
      </c>
      <c r="C631" s="33">
        <v>0</v>
      </c>
      <c r="D631" s="43">
        <v>0</v>
      </c>
      <c r="E631" s="43">
        <v>0</v>
      </c>
      <c r="F631" s="43">
        <v>0</v>
      </c>
      <c r="G631" s="43">
        <v>0</v>
      </c>
      <c r="H631" s="43">
        <v>0</v>
      </c>
      <c r="I631" s="43">
        <v>0</v>
      </c>
      <c r="J631" s="43">
        <v>0</v>
      </c>
      <c r="K631" s="43">
        <v>0</v>
      </c>
      <c r="L631" s="43">
        <v>0</v>
      </c>
      <c r="M631" s="43">
        <v>0</v>
      </c>
      <c r="N631" s="43">
        <v>0</v>
      </c>
      <c r="O631" s="43">
        <v>0</v>
      </c>
      <c r="P631" s="47">
        <v>0</v>
      </c>
      <c r="R631" s="37">
        <v>0</v>
      </c>
      <c r="S631" s="37">
        <v>0</v>
      </c>
      <c r="T631" s="37">
        <v>0</v>
      </c>
      <c r="U631" s="37">
        <v>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7">
        <v>0</v>
      </c>
      <c r="AB631" s="37">
        <v>0</v>
      </c>
      <c r="AC631" s="37">
        <v>0</v>
      </c>
      <c r="AD631" s="37">
        <v>0</v>
      </c>
      <c r="AE631" s="37">
        <v>0</v>
      </c>
      <c r="AF631" s="37">
        <v>0</v>
      </c>
      <c r="AG631" s="59">
        <v>0</v>
      </c>
      <c r="AH631" s="37">
        <v>0</v>
      </c>
      <c r="AI631" s="37">
        <v>0</v>
      </c>
      <c r="AJ631" s="37">
        <v>0</v>
      </c>
      <c r="AK631" s="37">
        <v>0</v>
      </c>
      <c r="AL631" s="37">
        <v>0</v>
      </c>
      <c r="AM631" s="37">
        <v>0</v>
      </c>
      <c r="AN631" s="37">
        <v>0</v>
      </c>
      <c r="AO631" s="37">
        <v>0</v>
      </c>
      <c r="AP631" s="37">
        <v>0</v>
      </c>
      <c r="AQ631" s="37">
        <v>0</v>
      </c>
      <c r="AR631" s="37">
        <v>0</v>
      </c>
      <c r="AS631" s="59">
        <v>0</v>
      </c>
      <c r="AT631" s="59">
        <v>0</v>
      </c>
      <c r="AU631" s="45"/>
      <c r="AV631" s="37">
        <v>0</v>
      </c>
      <c r="AW631" s="37">
        <v>0</v>
      </c>
      <c r="AX631" s="37">
        <v>0</v>
      </c>
      <c r="AY631" s="37">
        <v>0</v>
      </c>
      <c r="AZ631" s="37">
        <v>0</v>
      </c>
      <c r="BA631" s="37">
        <v>0</v>
      </c>
      <c r="BB631" s="37">
        <v>0</v>
      </c>
      <c r="BC631" s="37">
        <v>0</v>
      </c>
      <c r="BD631" s="37">
        <v>0</v>
      </c>
      <c r="BE631" s="37">
        <v>0</v>
      </c>
      <c r="BF631" s="37">
        <v>0</v>
      </c>
      <c r="BG631" s="37">
        <v>0</v>
      </c>
      <c r="BH631" s="37">
        <v>0</v>
      </c>
      <c r="BI631" s="37">
        <v>0</v>
      </c>
      <c r="BJ631" s="37">
        <v>0</v>
      </c>
      <c r="BK631" s="59">
        <v>0</v>
      </c>
      <c r="BL631" s="37">
        <v>0</v>
      </c>
      <c r="BM631" s="37">
        <v>0</v>
      </c>
      <c r="BN631" s="37">
        <v>0</v>
      </c>
      <c r="BO631" s="37">
        <v>0</v>
      </c>
      <c r="BP631" s="37">
        <v>0</v>
      </c>
      <c r="BQ631" s="37">
        <v>0</v>
      </c>
      <c r="BR631" s="37">
        <v>0</v>
      </c>
      <c r="BS631" s="37">
        <v>0</v>
      </c>
      <c r="BT631" s="37">
        <v>0</v>
      </c>
      <c r="BU631" s="37">
        <v>0</v>
      </c>
      <c r="BV631" s="37">
        <v>0</v>
      </c>
      <c r="BW631" s="59">
        <v>0</v>
      </c>
      <c r="BX631" s="59">
        <v>0</v>
      </c>
      <c r="BZ631" s="37">
        <v>0</v>
      </c>
      <c r="CA631" s="37">
        <v>0</v>
      </c>
      <c r="CB631" s="37">
        <v>0</v>
      </c>
      <c r="CC631" s="37">
        <v>0</v>
      </c>
      <c r="CD631" s="37">
        <v>0</v>
      </c>
      <c r="CE631" s="37">
        <v>0</v>
      </c>
      <c r="CF631" s="37">
        <v>0</v>
      </c>
      <c r="CG631" s="59">
        <v>0</v>
      </c>
      <c r="CH631" s="37">
        <v>0</v>
      </c>
      <c r="CI631" s="37">
        <v>0</v>
      </c>
      <c r="CJ631" s="37">
        <v>0</v>
      </c>
      <c r="CK631" s="37">
        <v>0</v>
      </c>
      <c r="CL631" s="37">
        <v>0</v>
      </c>
      <c r="CM631" s="37">
        <v>0</v>
      </c>
      <c r="CN631" s="59">
        <v>0</v>
      </c>
      <c r="CO631" s="59">
        <v>0</v>
      </c>
      <c r="CP631" s="58"/>
      <c r="CQ631" s="3">
        <v>0</v>
      </c>
    </row>
    <row r="632" spans="1:95" customFormat="1" x14ac:dyDescent="0.2">
      <c r="A632" s="33">
        <v>0</v>
      </c>
      <c r="B632" s="33">
        <v>0</v>
      </c>
      <c r="C632" s="33">
        <v>0</v>
      </c>
      <c r="D632" s="43">
        <v>0</v>
      </c>
      <c r="E632" s="43">
        <v>0</v>
      </c>
      <c r="F632" s="43">
        <v>0</v>
      </c>
      <c r="G632" s="43">
        <v>0</v>
      </c>
      <c r="H632" s="43">
        <v>0</v>
      </c>
      <c r="I632" s="43">
        <v>0</v>
      </c>
      <c r="J632" s="43">
        <v>0</v>
      </c>
      <c r="K632" s="43">
        <v>0</v>
      </c>
      <c r="L632" s="43">
        <v>0</v>
      </c>
      <c r="M632" s="43">
        <v>0</v>
      </c>
      <c r="N632" s="43">
        <v>0</v>
      </c>
      <c r="O632" s="43">
        <v>0</v>
      </c>
      <c r="P632" s="47">
        <v>0</v>
      </c>
      <c r="R632" s="37">
        <v>0</v>
      </c>
      <c r="S632" s="37">
        <v>0</v>
      </c>
      <c r="T632" s="37">
        <v>0</v>
      </c>
      <c r="U632" s="37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7">
        <v>0</v>
      </c>
      <c r="AB632" s="37">
        <v>0</v>
      </c>
      <c r="AC632" s="37">
        <v>0</v>
      </c>
      <c r="AD632" s="37">
        <v>0</v>
      </c>
      <c r="AE632" s="37">
        <v>0</v>
      </c>
      <c r="AF632" s="37">
        <v>0</v>
      </c>
      <c r="AG632" s="59">
        <v>0</v>
      </c>
      <c r="AH632" s="37">
        <v>0</v>
      </c>
      <c r="AI632" s="37">
        <v>0</v>
      </c>
      <c r="AJ632" s="37">
        <v>0</v>
      </c>
      <c r="AK632" s="37">
        <v>0</v>
      </c>
      <c r="AL632" s="37">
        <v>0</v>
      </c>
      <c r="AM632" s="37">
        <v>0</v>
      </c>
      <c r="AN632" s="37">
        <v>0</v>
      </c>
      <c r="AO632" s="37">
        <v>0</v>
      </c>
      <c r="AP632" s="37">
        <v>0</v>
      </c>
      <c r="AQ632" s="37">
        <v>0</v>
      </c>
      <c r="AR632" s="37">
        <v>0</v>
      </c>
      <c r="AS632" s="59">
        <v>0</v>
      </c>
      <c r="AT632" s="59">
        <v>0</v>
      </c>
      <c r="AU632" s="45"/>
      <c r="AV632" s="37">
        <v>0</v>
      </c>
      <c r="AW632" s="37">
        <v>0</v>
      </c>
      <c r="AX632" s="37">
        <v>0</v>
      </c>
      <c r="AY632" s="37">
        <v>0</v>
      </c>
      <c r="AZ632" s="37">
        <v>0</v>
      </c>
      <c r="BA632" s="37">
        <v>0</v>
      </c>
      <c r="BB632" s="37">
        <v>0</v>
      </c>
      <c r="BC632" s="37">
        <v>0</v>
      </c>
      <c r="BD632" s="37">
        <v>0</v>
      </c>
      <c r="BE632" s="37">
        <v>0</v>
      </c>
      <c r="BF632" s="37">
        <v>0</v>
      </c>
      <c r="BG632" s="37">
        <v>0</v>
      </c>
      <c r="BH632" s="37">
        <v>0</v>
      </c>
      <c r="BI632" s="37">
        <v>0</v>
      </c>
      <c r="BJ632" s="37">
        <v>0</v>
      </c>
      <c r="BK632" s="59">
        <v>0</v>
      </c>
      <c r="BL632" s="37">
        <v>0</v>
      </c>
      <c r="BM632" s="37">
        <v>0</v>
      </c>
      <c r="BN632" s="37">
        <v>0</v>
      </c>
      <c r="BO632" s="37">
        <v>0</v>
      </c>
      <c r="BP632" s="37">
        <v>0</v>
      </c>
      <c r="BQ632" s="37">
        <v>0</v>
      </c>
      <c r="BR632" s="37">
        <v>0</v>
      </c>
      <c r="BS632" s="37">
        <v>0</v>
      </c>
      <c r="BT632" s="37">
        <v>0</v>
      </c>
      <c r="BU632" s="37">
        <v>0</v>
      </c>
      <c r="BV632" s="37">
        <v>0</v>
      </c>
      <c r="BW632" s="59">
        <v>0</v>
      </c>
      <c r="BX632" s="59">
        <v>0</v>
      </c>
      <c r="BZ632" s="37">
        <v>0</v>
      </c>
      <c r="CA632" s="37">
        <v>0</v>
      </c>
      <c r="CB632" s="37">
        <v>0</v>
      </c>
      <c r="CC632" s="37">
        <v>0</v>
      </c>
      <c r="CD632" s="37">
        <v>0</v>
      </c>
      <c r="CE632" s="37">
        <v>0</v>
      </c>
      <c r="CF632" s="37">
        <v>0</v>
      </c>
      <c r="CG632" s="59">
        <v>0</v>
      </c>
      <c r="CH632" s="37">
        <v>0</v>
      </c>
      <c r="CI632" s="37">
        <v>0</v>
      </c>
      <c r="CJ632" s="37">
        <v>0</v>
      </c>
      <c r="CK632" s="37">
        <v>0</v>
      </c>
      <c r="CL632" s="37">
        <v>0</v>
      </c>
      <c r="CM632" s="37">
        <v>0</v>
      </c>
      <c r="CN632" s="59">
        <v>0</v>
      </c>
      <c r="CO632" s="59">
        <v>0</v>
      </c>
      <c r="CP632" s="58"/>
      <c r="CQ632" s="3">
        <v>0</v>
      </c>
    </row>
    <row r="633" spans="1:95" customFormat="1" x14ac:dyDescent="0.2">
      <c r="A633" s="33">
        <v>0</v>
      </c>
      <c r="B633" s="33">
        <v>0</v>
      </c>
      <c r="C633" s="33">
        <v>0</v>
      </c>
      <c r="D633" s="43">
        <v>0</v>
      </c>
      <c r="E633" s="43">
        <v>0</v>
      </c>
      <c r="F633" s="43">
        <v>0</v>
      </c>
      <c r="G633" s="43">
        <v>0</v>
      </c>
      <c r="H633" s="43">
        <v>0</v>
      </c>
      <c r="I633" s="43">
        <v>0</v>
      </c>
      <c r="J633" s="43">
        <v>0</v>
      </c>
      <c r="K633" s="43">
        <v>0</v>
      </c>
      <c r="L633" s="43">
        <v>0</v>
      </c>
      <c r="M633" s="43">
        <v>0</v>
      </c>
      <c r="N633" s="43">
        <v>0</v>
      </c>
      <c r="O633" s="43">
        <v>0</v>
      </c>
      <c r="P633" s="4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59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59">
        <v>0</v>
      </c>
      <c r="AT633" s="59">
        <v>0</v>
      </c>
      <c r="AU633" s="45"/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>
        <v>0</v>
      </c>
      <c r="BB633" s="37">
        <v>0</v>
      </c>
      <c r="BC633" s="37">
        <v>0</v>
      </c>
      <c r="BD633" s="37">
        <v>0</v>
      </c>
      <c r="BE633" s="37">
        <v>0</v>
      </c>
      <c r="BF633" s="37">
        <v>0</v>
      </c>
      <c r="BG633" s="37">
        <v>0</v>
      </c>
      <c r="BH633" s="37">
        <v>0</v>
      </c>
      <c r="BI633" s="37">
        <v>0</v>
      </c>
      <c r="BJ633" s="37">
        <v>0</v>
      </c>
      <c r="BK633" s="59">
        <v>0</v>
      </c>
      <c r="BL633" s="37">
        <v>0</v>
      </c>
      <c r="BM633" s="37">
        <v>0</v>
      </c>
      <c r="BN633" s="37">
        <v>0</v>
      </c>
      <c r="BO633" s="37">
        <v>0</v>
      </c>
      <c r="BP633" s="37">
        <v>0</v>
      </c>
      <c r="BQ633" s="37">
        <v>0</v>
      </c>
      <c r="BR633" s="37">
        <v>0</v>
      </c>
      <c r="BS633" s="37">
        <v>0</v>
      </c>
      <c r="BT633" s="37">
        <v>0</v>
      </c>
      <c r="BU633" s="37">
        <v>0</v>
      </c>
      <c r="BV633" s="37">
        <v>0</v>
      </c>
      <c r="BW633" s="59">
        <v>0</v>
      </c>
      <c r="BX633" s="59">
        <v>0</v>
      </c>
      <c r="BZ633" s="37">
        <v>0</v>
      </c>
      <c r="CA633" s="37">
        <v>0</v>
      </c>
      <c r="CB633" s="37">
        <v>0</v>
      </c>
      <c r="CC633" s="37">
        <v>0</v>
      </c>
      <c r="CD633" s="37">
        <v>0</v>
      </c>
      <c r="CE633" s="37">
        <v>0</v>
      </c>
      <c r="CF633" s="37">
        <v>0</v>
      </c>
      <c r="CG633" s="59">
        <v>0</v>
      </c>
      <c r="CH633" s="37">
        <v>0</v>
      </c>
      <c r="CI633" s="37">
        <v>0</v>
      </c>
      <c r="CJ633" s="37">
        <v>0</v>
      </c>
      <c r="CK633" s="37">
        <v>0</v>
      </c>
      <c r="CL633" s="37">
        <v>0</v>
      </c>
      <c r="CM633" s="37">
        <v>0</v>
      </c>
      <c r="CN633" s="59">
        <v>0</v>
      </c>
      <c r="CO633" s="59">
        <v>0</v>
      </c>
      <c r="CP633" s="58"/>
      <c r="CQ633" s="3">
        <v>0</v>
      </c>
    </row>
    <row r="634" spans="1:95" customFormat="1" x14ac:dyDescent="0.2">
      <c r="A634" s="33">
        <v>0</v>
      </c>
      <c r="B634" s="33">
        <v>0</v>
      </c>
      <c r="C634" s="33">
        <v>0</v>
      </c>
      <c r="D634" s="43">
        <v>0</v>
      </c>
      <c r="E634" s="43">
        <v>0</v>
      </c>
      <c r="F634" s="43">
        <v>0</v>
      </c>
      <c r="G634" s="43">
        <v>0</v>
      </c>
      <c r="H634" s="43">
        <v>0</v>
      </c>
      <c r="I634" s="43">
        <v>0</v>
      </c>
      <c r="J634" s="43">
        <v>0</v>
      </c>
      <c r="K634" s="43">
        <v>0</v>
      </c>
      <c r="L634" s="43">
        <v>0</v>
      </c>
      <c r="M634" s="43">
        <v>0</v>
      </c>
      <c r="N634" s="43">
        <v>0</v>
      </c>
      <c r="O634" s="43">
        <v>0</v>
      </c>
      <c r="P634" s="47">
        <v>0</v>
      </c>
      <c r="R634" s="37">
        <v>0</v>
      </c>
      <c r="S634" s="37">
        <v>0</v>
      </c>
      <c r="T634" s="37">
        <v>0</v>
      </c>
      <c r="U634" s="37">
        <v>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7">
        <v>0</v>
      </c>
      <c r="AB634" s="37">
        <v>0</v>
      </c>
      <c r="AC634" s="37">
        <v>0</v>
      </c>
      <c r="AD634" s="37">
        <v>0</v>
      </c>
      <c r="AE634" s="37">
        <v>0</v>
      </c>
      <c r="AF634" s="37">
        <v>0</v>
      </c>
      <c r="AG634" s="59">
        <v>0</v>
      </c>
      <c r="AH634" s="37">
        <v>0</v>
      </c>
      <c r="AI634" s="37">
        <v>0</v>
      </c>
      <c r="AJ634" s="37">
        <v>0</v>
      </c>
      <c r="AK634" s="37">
        <v>0</v>
      </c>
      <c r="AL634" s="37">
        <v>0</v>
      </c>
      <c r="AM634" s="37">
        <v>0</v>
      </c>
      <c r="AN634" s="37">
        <v>0</v>
      </c>
      <c r="AO634" s="37">
        <v>0</v>
      </c>
      <c r="AP634" s="37">
        <v>0</v>
      </c>
      <c r="AQ634" s="37">
        <v>0</v>
      </c>
      <c r="AR634" s="37">
        <v>0</v>
      </c>
      <c r="AS634" s="59">
        <v>0</v>
      </c>
      <c r="AT634" s="59">
        <v>0</v>
      </c>
      <c r="AU634" s="45"/>
      <c r="AV634" s="37">
        <v>0</v>
      </c>
      <c r="AW634" s="37">
        <v>0</v>
      </c>
      <c r="AX634" s="37">
        <v>0</v>
      </c>
      <c r="AY634" s="37">
        <v>0</v>
      </c>
      <c r="AZ634" s="37">
        <v>0</v>
      </c>
      <c r="BA634" s="37">
        <v>0</v>
      </c>
      <c r="BB634" s="37">
        <v>0</v>
      </c>
      <c r="BC634" s="37">
        <v>0</v>
      </c>
      <c r="BD634" s="37">
        <v>0</v>
      </c>
      <c r="BE634" s="37">
        <v>0</v>
      </c>
      <c r="BF634" s="37">
        <v>0</v>
      </c>
      <c r="BG634" s="37">
        <v>0</v>
      </c>
      <c r="BH634" s="37">
        <v>0</v>
      </c>
      <c r="BI634" s="37">
        <v>0</v>
      </c>
      <c r="BJ634" s="37">
        <v>0</v>
      </c>
      <c r="BK634" s="59">
        <v>0</v>
      </c>
      <c r="BL634" s="37">
        <v>0</v>
      </c>
      <c r="BM634" s="37">
        <v>0</v>
      </c>
      <c r="BN634" s="37">
        <v>0</v>
      </c>
      <c r="BO634" s="37">
        <v>0</v>
      </c>
      <c r="BP634" s="37">
        <v>0</v>
      </c>
      <c r="BQ634" s="37">
        <v>0</v>
      </c>
      <c r="BR634" s="37">
        <v>0</v>
      </c>
      <c r="BS634" s="37">
        <v>0</v>
      </c>
      <c r="BT634" s="37">
        <v>0</v>
      </c>
      <c r="BU634" s="37">
        <v>0</v>
      </c>
      <c r="BV634" s="37">
        <v>0</v>
      </c>
      <c r="BW634" s="59">
        <v>0</v>
      </c>
      <c r="BX634" s="59">
        <v>0</v>
      </c>
      <c r="BZ634" s="37">
        <v>0</v>
      </c>
      <c r="CA634" s="37">
        <v>0</v>
      </c>
      <c r="CB634" s="37">
        <v>0</v>
      </c>
      <c r="CC634" s="37">
        <v>0</v>
      </c>
      <c r="CD634" s="37">
        <v>0</v>
      </c>
      <c r="CE634" s="37">
        <v>0</v>
      </c>
      <c r="CF634" s="37">
        <v>0</v>
      </c>
      <c r="CG634" s="59">
        <v>0</v>
      </c>
      <c r="CH634" s="37">
        <v>0</v>
      </c>
      <c r="CI634" s="37">
        <v>0</v>
      </c>
      <c r="CJ634" s="37">
        <v>0</v>
      </c>
      <c r="CK634" s="37">
        <v>0</v>
      </c>
      <c r="CL634" s="37">
        <v>0</v>
      </c>
      <c r="CM634" s="37">
        <v>0</v>
      </c>
      <c r="CN634" s="59">
        <v>0</v>
      </c>
      <c r="CO634" s="59">
        <v>0</v>
      </c>
      <c r="CP634" s="58"/>
      <c r="CQ634" s="3">
        <v>0</v>
      </c>
    </row>
    <row r="635" spans="1:95" customFormat="1" x14ac:dyDescent="0.2">
      <c r="A635" s="33">
        <v>0</v>
      </c>
      <c r="B635" s="33">
        <v>0</v>
      </c>
      <c r="C635" s="33">
        <v>0</v>
      </c>
      <c r="D635" s="43">
        <v>0</v>
      </c>
      <c r="E635" s="43">
        <v>0</v>
      </c>
      <c r="F635" s="43">
        <v>0</v>
      </c>
      <c r="G635" s="43">
        <v>0</v>
      </c>
      <c r="H635" s="43">
        <v>0</v>
      </c>
      <c r="I635" s="43">
        <v>0</v>
      </c>
      <c r="J635" s="43">
        <v>0</v>
      </c>
      <c r="K635" s="43">
        <v>0</v>
      </c>
      <c r="L635" s="43">
        <v>0</v>
      </c>
      <c r="M635" s="43">
        <v>0</v>
      </c>
      <c r="N635" s="43">
        <v>0</v>
      </c>
      <c r="O635" s="43">
        <v>0</v>
      </c>
      <c r="P635" s="47">
        <v>0</v>
      </c>
      <c r="R635" s="37">
        <v>0</v>
      </c>
      <c r="S635" s="37">
        <v>0</v>
      </c>
      <c r="T635" s="37">
        <v>0</v>
      </c>
      <c r="U635" s="37">
        <v>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7">
        <v>0</v>
      </c>
      <c r="AB635" s="37">
        <v>0</v>
      </c>
      <c r="AC635" s="37">
        <v>0</v>
      </c>
      <c r="AD635" s="37">
        <v>0</v>
      </c>
      <c r="AE635" s="37">
        <v>0</v>
      </c>
      <c r="AF635" s="37">
        <v>0</v>
      </c>
      <c r="AG635" s="59">
        <v>0</v>
      </c>
      <c r="AH635" s="37">
        <v>0</v>
      </c>
      <c r="AI635" s="37">
        <v>0</v>
      </c>
      <c r="AJ635" s="37">
        <v>0</v>
      </c>
      <c r="AK635" s="37">
        <v>0</v>
      </c>
      <c r="AL635" s="37">
        <v>0</v>
      </c>
      <c r="AM635" s="37">
        <v>0</v>
      </c>
      <c r="AN635" s="37">
        <v>0</v>
      </c>
      <c r="AO635" s="37">
        <v>0</v>
      </c>
      <c r="AP635" s="37">
        <v>0</v>
      </c>
      <c r="AQ635" s="37">
        <v>0</v>
      </c>
      <c r="AR635" s="37">
        <v>0</v>
      </c>
      <c r="AS635" s="59">
        <v>0</v>
      </c>
      <c r="AT635" s="59">
        <v>0</v>
      </c>
      <c r="AU635" s="45"/>
      <c r="AV635" s="37">
        <v>0</v>
      </c>
      <c r="AW635" s="37">
        <v>0</v>
      </c>
      <c r="AX635" s="37">
        <v>0</v>
      </c>
      <c r="AY635" s="37">
        <v>0</v>
      </c>
      <c r="AZ635" s="37">
        <v>0</v>
      </c>
      <c r="BA635" s="37">
        <v>0</v>
      </c>
      <c r="BB635" s="37">
        <v>0</v>
      </c>
      <c r="BC635" s="37">
        <v>0</v>
      </c>
      <c r="BD635" s="37">
        <v>0</v>
      </c>
      <c r="BE635" s="37">
        <v>0</v>
      </c>
      <c r="BF635" s="37">
        <v>0</v>
      </c>
      <c r="BG635" s="37">
        <v>0</v>
      </c>
      <c r="BH635" s="37">
        <v>0</v>
      </c>
      <c r="BI635" s="37">
        <v>0</v>
      </c>
      <c r="BJ635" s="37">
        <v>0</v>
      </c>
      <c r="BK635" s="59">
        <v>0</v>
      </c>
      <c r="BL635" s="37">
        <v>0</v>
      </c>
      <c r="BM635" s="37">
        <v>0</v>
      </c>
      <c r="BN635" s="37">
        <v>0</v>
      </c>
      <c r="BO635" s="37">
        <v>0</v>
      </c>
      <c r="BP635" s="37">
        <v>0</v>
      </c>
      <c r="BQ635" s="37">
        <v>0</v>
      </c>
      <c r="BR635" s="37">
        <v>0</v>
      </c>
      <c r="BS635" s="37">
        <v>0</v>
      </c>
      <c r="BT635" s="37">
        <v>0</v>
      </c>
      <c r="BU635" s="37">
        <v>0</v>
      </c>
      <c r="BV635" s="37">
        <v>0</v>
      </c>
      <c r="BW635" s="59">
        <v>0</v>
      </c>
      <c r="BX635" s="59">
        <v>0</v>
      </c>
      <c r="BZ635" s="37">
        <v>0</v>
      </c>
      <c r="CA635" s="37">
        <v>0</v>
      </c>
      <c r="CB635" s="37">
        <v>0</v>
      </c>
      <c r="CC635" s="37">
        <v>0</v>
      </c>
      <c r="CD635" s="37">
        <v>0</v>
      </c>
      <c r="CE635" s="37">
        <v>0</v>
      </c>
      <c r="CF635" s="37">
        <v>0</v>
      </c>
      <c r="CG635" s="59">
        <v>0</v>
      </c>
      <c r="CH635" s="37">
        <v>0</v>
      </c>
      <c r="CI635" s="37">
        <v>0</v>
      </c>
      <c r="CJ635" s="37">
        <v>0</v>
      </c>
      <c r="CK635" s="37">
        <v>0</v>
      </c>
      <c r="CL635" s="37">
        <v>0</v>
      </c>
      <c r="CM635" s="37">
        <v>0</v>
      </c>
      <c r="CN635" s="59">
        <v>0</v>
      </c>
      <c r="CO635" s="59">
        <v>0</v>
      </c>
      <c r="CP635" s="58"/>
      <c r="CQ635" s="3">
        <v>0</v>
      </c>
    </row>
    <row r="636" spans="1:95" customFormat="1" x14ac:dyDescent="0.2">
      <c r="A636" s="33">
        <v>0</v>
      </c>
      <c r="B636" s="33">
        <v>0</v>
      </c>
      <c r="C636" s="33">
        <v>0</v>
      </c>
      <c r="D636" s="43">
        <v>0</v>
      </c>
      <c r="E636" s="43">
        <v>0</v>
      </c>
      <c r="F636" s="43">
        <v>0</v>
      </c>
      <c r="G636" s="43">
        <v>0</v>
      </c>
      <c r="H636" s="43">
        <v>0</v>
      </c>
      <c r="I636" s="43">
        <v>0</v>
      </c>
      <c r="J636" s="43">
        <v>0</v>
      </c>
      <c r="K636" s="43">
        <v>0</v>
      </c>
      <c r="L636" s="43">
        <v>0</v>
      </c>
      <c r="M636" s="43">
        <v>0</v>
      </c>
      <c r="N636" s="43">
        <v>0</v>
      </c>
      <c r="O636" s="43">
        <v>0</v>
      </c>
      <c r="P636" s="47">
        <v>0</v>
      </c>
      <c r="R636" s="37">
        <v>0</v>
      </c>
      <c r="S636" s="37">
        <v>0</v>
      </c>
      <c r="T636" s="37">
        <v>0</v>
      </c>
      <c r="U636" s="37">
        <v>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7">
        <v>0</v>
      </c>
      <c r="AB636" s="37">
        <v>0</v>
      </c>
      <c r="AC636" s="37">
        <v>0</v>
      </c>
      <c r="AD636" s="37">
        <v>0</v>
      </c>
      <c r="AE636" s="37">
        <v>0</v>
      </c>
      <c r="AF636" s="37">
        <v>0</v>
      </c>
      <c r="AG636" s="59">
        <v>0</v>
      </c>
      <c r="AH636" s="37">
        <v>0</v>
      </c>
      <c r="AI636" s="37">
        <v>0</v>
      </c>
      <c r="AJ636" s="37">
        <v>0</v>
      </c>
      <c r="AK636" s="37">
        <v>0</v>
      </c>
      <c r="AL636" s="37">
        <v>0</v>
      </c>
      <c r="AM636" s="37">
        <v>0</v>
      </c>
      <c r="AN636" s="37">
        <v>0</v>
      </c>
      <c r="AO636" s="37">
        <v>0</v>
      </c>
      <c r="AP636" s="37">
        <v>0</v>
      </c>
      <c r="AQ636" s="37">
        <v>0</v>
      </c>
      <c r="AR636" s="37">
        <v>0</v>
      </c>
      <c r="AS636" s="59">
        <v>0</v>
      </c>
      <c r="AT636" s="59">
        <v>0</v>
      </c>
      <c r="AU636" s="45"/>
      <c r="AV636" s="37">
        <v>0</v>
      </c>
      <c r="AW636" s="37">
        <v>0</v>
      </c>
      <c r="AX636" s="37">
        <v>0</v>
      </c>
      <c r="AY636" s="37">
        <v>0</v>
      </c>
      <c r="AZ636" s="37">
        <v>0</v>
      </c>
      <c r="BA636" s="37">
        <v>0</v>
      </c>
      <c r="BB636" s="37">
        <v>0</v>
      </c>
      <c r="BC636" s="37">
        <v>0</v>
      </c>
      <c r="BD636" s="37">
        <v>0</v>
      </c>
      <c r="BE636" s="37">
        <v>0</v>
      </c>
      <c r="BF636" s="37">
        <v>0</v>
      </c>
      <c r="BG636" s="37">
        <v>0</v>
      </c>
      <c r="BH636" s="37">
        <v>0</v>
      </c>
      <c r="BI636" s="37">
        <v>0</v>
      </c>
      <c r="BJ636" s="37">
        <v>0</v>
      </c>
      <c r="BK636" s="59">
        <v>0</v>
      </c>
      <c r="BL636" s="37">
        <v>0</v>
      </c>
      <c r="BM636" s="37">
        <v>0</v>
      </c>
      <c r="BN636" s="37">
        <v>0</v>
      </c>
      <c r="BO636" s="37">
        <v>0</v>
      </c>
      <c r="BP636" s="37">
        <v>0</v>
      </c>
      <c r="BQ636" s="37">
        <v>0</v>
      </c>
      <c r="BR636" s="37">
        <v>0</v>
      </c>
      <c r="BS636" s="37">
        <v>0</v>
      </c>
      <c r="BT636" s="37">
        <v>0</v>
      </c>
      <c r="BU636" s="37">
        <v>0</v>
      </c>
      <c r="BV636" s="37">
        <v>0</v>
      </c>
      <c r="BW636" s="59">
        <v>0</v>
      </c>
      <c r="BX636" s="59">
        <v>0</v>
      </c>
      <c r="BZ636" s="37">
        <v>0</v>
      </c>
      <c r="CA636" s="37">
        <v>0</v>
      </c>
      <c r="CB636" s="37">
        <v>0</v>
      </c>
      <c r="CC636" s="37">
        <v>0</v>
      </c>
      <c r="CD636" s="37">
        <v>0</v>
      </c>
      <c r="CE636" s="37">
        <v>0</v>
      </c>
      <c r="CF636" s="37">
        <v>0</v>
      </c>
      <c r="CG636" s="59">
        <v>0</v>
      </c>
      <c r="CH636" s="37">
        <v>0</v>
      </c>
      <c r="CI636" s="37">
        <v>0</v>
      </c>
      <c r="CJ636" s="37">
        <v>0</v>
      </c>
      <c r="CK636" s="37">
        <v>0</v>
      </c>
      <c r="CL636" s="37">
        <v>0</v>
      </c>
      <c r="CM636" s="37">
        <v>0</v>
      </c>
      <c r="CN636" s="59">
        <v>0</v>
      </c>
      <c r="CO636" s="59">
        <v>0</v>
      </c>
      <c r="CP636" s="58"/>
      <c r="CQ636" s="3">
        <v>0</v>
      </c>
    </row>
    <row r="637" spans="1:95" customFormat="1" x14ac:dyDescent="0.2">
      <c r="A637" s="33">
        <v>0</v>
      </c>
      <c r="B637" s="33">
        <v>0</v>
      </c>
      <c r="C637" s="33">
        <v>0</v>
      </c>
      <c r="D637" s="43">
        <v>0</v>
      </c>
      <c r="E637" s="43">
        <v>0</v>
      </c>
      <c r="F637" s="43">
        <v>0</v>
      </c>
      <c r="G637" s="43">
        <v>0</v>
      </c>
      <c r="H637" s="43">
        <v>0</v>
      </c>
      <c r="I637" s="43">
        <v>0</v>
      </c>
      <c r="J637" s="43">
        <v>0</v>
      </c>
      <c r="K637" s="43">
        <v>0</v>
      </c>
      <c r="L637" s="43">
        <v>0</v>
      </c>
      <c r="M637" s="43">
        <v>0</v>
      </c>
      <c r="N637" s="43">
        <v>0</v>
      </c>
      <c r="O637" s="43">
        <v>0</v>
      </c>
      <c r="P637" s="47">
        <v>0</v>
      </c>
      <c r="R637" s="37">
        <v>0</v>
      </c>
      <c r="S637" s="37">
        <v>0</v>
      </c>
      <c r="T637" s="37">
        <v>0</v>
      </c>
      <c r="U637" s="37">
        <v>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7">
        <v>0</v>
      </c>
      <c r="AB637" s="37">
        <v>0</v>
      </c>
      <c r="AC637" s="37">
        <v>0</v>
      </c>
      <c r="AD637" s="37">
        <v>0</v>
      </c>
      <c r="AE637" s="37">
        <v>0</v>
      </c>
      <c r="AF637" s="37">
        <v>0</v>
      </c>
      <c r="AG637" s="59">
        <v>0</v>
      </c>
      <c r="AH637" s="37">
        <v>0</v>
      </c>
      <c r="AI637" s="37">
        <v>0</v>
      </c>
      <c r="AJ637" s="37">
        <v>0</v>
      </c>
      <c r="AK637" s="37">
        <v>0</v>
      </c>
      <c r="AL637" s="37">
        <v>0</v>
      </c>
      <c r="AM637" s="37">
        <v>0</v>
      </c>
      <c r="AN637" s="37">
        <v>0</v>
      </c>
      <c r="AO637" s="37">
        <v>0</v>
      </c>
      <c r="AP637" s="37">
        <v>0</v>
      </c>
      <c r="AQ637" s="37">
        <v>0</v>
      </c>
      <c r="AR637" s="37">
        <v>0</v>
      </c>
      <c r="AS637" s="59">
        <v>0</v>
      </c>
      <c r="AT637" s="59">
        <v>0</v>
      </c>
      <c r="AU637" s="45"/>
      <c r="AV637" s="37">
        <v>0</v>
      </c>
      <c r="AW637" s="37">
        <v>0</v>
      </c>
      <c r="AX637" s="37">
        <v>0</v>
      </c>
      <c r="AY637" s="37">
        <v>0</v>
      </c>
      <c r="AZ637" s="37">
        <v>0</v>
      </c>
      <c r="BA637" s="37">
        <v>0</v>
      </c>
      <c r="BB637" s="37">
        <v>0</v>
      </c>
      <c r="BC637" s="37">
        <v>0</v>
      </c>
      <c r="BD637" s="37">
        <v>0</v>
      </c>
      <c r="BE637" s="37">
        <v>0</v>
      </c>
      <c r="BF637" s="37">
        <v>0</v>
      </c>
      <c r="BG637" s="37">
        <v>0</v>
      </c>
      <c r="BH637" s="37">
        <v>0</v>
      </c>
      <c r="BI637" s="37">
        <v>0</v>
      </c>
      <c r="BJ637" s="37">
        <v>0</v>
      </c>
      <c r="BK637" s="59">
        <v>0</v>
      </c>
      <c r="BL637" s="37">
        <v>0</v>
      </c>
      <c r="BM637" s="37">
        <v>0</v>
      </c>
      <c r="BN637" s="37">
        <v>0</v>
      </c>
      <c r="BO637" s="37">
        <v>0</v>
      </c>
      <c r="BP637" s="37">
        <v>0</v>
      </c>
      <c r="BQ637" s="37">
        <v>0</v>
      </c>
      <c r="BR637" s="37">
        <v>0</v>
      </c>
      <c r="BS637" s="37">
        <v>0</v>
      </c>
      <c r="BT637" s="37">
        <v>0</v>
      </c>
      <c r="BU637" s="37">
        <v>0</v>
      </c>
      <c r="BV637" s="37">
        <v>0</v>
      </c>
      <c r="BW637" s="59">
        <v>0</v>
      </c>
      <c r="BX637" s="59">
        <v>0</v>
      </c>
      <c r="BZ637" s="37">
        <v>0</v>
      </c>
      <c r="CA637" s="37">
        <v>0</v>
      </c>
      <c r="CB637" s="37">
        <v>0</v>
      </c>
      <c r="CC637" s="37">
        <v>0</v>
      </c>
      <c r="CD637" s="37">
        <v>0</v>
      </c>
      <c r="CE637" s="37">
        <v>0</v>
      </c>
      <c r="CF637" s="37">
        <v>0</v>
      </c>
      <c r="CG637" s="59">
        <v>0</v>
      </c>
      <c r="CH637" s="37">
        <v>0</v>
      </c>
      <c r="CI637" s="37">
        <v>0</v>
      </c>
      <c r="CJ637" s="37">
        <v>0</v>
      </c>
      <c r="CK637" s="37">
        <v>0</v>
      </c>
      <c r="CL637" s="37">
        <v>0</v>
      </c>
      <c r="CM637" s="37">
        <v>0</v>
      </c>
      <c r="CN637" s="59">
        <v>0</v>
      </c>
      <c r="CO637" s="59">
        <v>0</v>
      </c>
      <c r="CP637" s="58"/>
      <c r="CQ637" s="3">
        <v>0</v>
      </c>
    </row>
    <row r="638" spans="1:95" customFormat="1" x14ac:dyDescent="0.2">
      <c r="A638" s="33">
        <v>0</v>
      </c>
      <c r="B638" s="33">
        <v>0</v>
      </c>
      <c r="C638" s="33">
        <v>0</v>
      </c>
      <c r="D638" s="43">
        <v>0</v>
      </c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0</v>
      </c>
      <c r="L638" s="43">
        <v>0</v>
      </c>
      <c r="M638" s="43">
        <v>0</v>
      </c>
      <c r="N638" s="43">
        <v>0</v>
      </c>
      <c r="O638" s="43">
        <v>0</v>
      </c>
      <c r="P638" s="47">
        <v>0</v>
      </c>
      <c r="R638" s="37">
        <v>0</v>
      </c>
      <c r="S638" s="37">
        <v>0</v>
      </c>
      <c r="T638" s="37">
        <v>0</v>
      </c>
      <c r="U638" s="37">
        <v>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7">
        <v>0</v>
      </c>
      <c r="AB638" s="37">
        <v>0</v>
      </c>
      <c r="AC638" s="37">
        <v>0</v>
      </c>
      <c r="AD638" s="37">
        <v>0</v>
      </c>
      <c r="AE638" s="37">
        <v>0</v>
      </c>
      <c r="AF638" s="37">
        <v>0</v>
      </c>
      <c r="AG638" s="59">
        <v>0</v>
      </c>
      <c r="AH638" s="37">
        <v>0</v>
      </c>
      <c r="AI638" s="37">
        <v>0</v>
      </c>
      <c r="AJ638" s="37">
        <v>0</v>
      </c>
      <c r="AK638" s="37">
        <v>0</v>
      </c>
      <c r="AL638" s="37">
        <v>0</v>
      </c>
      <c r="AM638" s="37">
        <v>0</v>
      </c>
      <c r="AN638" s="37">
        <v>0</v>
      </c>
      <c r="AO638" s="37">
        <v>0</v>
      </c>
      <c r="AP638" s="37">
        <v>0</v>
      </c>
      <c r="AQ638" s="37">
        <v>0</v>
      </c>
      <c r="AR638" s="37">
        <v>0</v>
      </c>
      <c r="AS638" s="59">
        <v>0</v>
      </c>
      <c r="AT638" s="59">
        <v>0</v>
      </c>
      <c r="AU638" s="45"/>
      <c r="AV638" s="37">
        <v>0</v>
      </c>
      <c r="AW638" s="37">
        <v>0</v>
      </c>
      <c r="AX638" s="37">
        <v>0</v>
      </c>
      <c r="AY638" s="37">
        <v>0</v>
      </c>
      <c r="AZ638" s="37">
        <v>0</v>
      </c>
      <c r="BA638" s="37">
        <v>0</v>
      </c>
      <c r="BB638" s="37">
        <v>0</v>
      </c>
      <c r="BC638" s="37">
        <v>0</v>
      </c>
      <c r="BD638" s="37">
        <v>0</v>
      </c>
      <c r="BE638" s="37">
        <v>0</v>
      </c>
      <c r="BF638" s="37">
        <v>0</v>
      </c>
      <c r="BG638" s="37">
        <v>0</v>
      </c>
      <c r="BH638" s="37">
        <v>0</v>
      </c>
      <c r="BI638" s="37">
        <v>0</v>
      </c>
      <c r="BJ638" s="37">
        <v>0</v>
      </c>
      <c r="BK638" s="59">
        <v>0</v>
      </c>
      <c r="BL638" s="37">
        <v>0</v>
      </c>
      <c r="BM638" s="37">
        <v>0</v>
      </c>
      <c r="BN638" s="37">
        <v>0</v>
      </c>
      <c r="BO638" s="37">
        <v>0</v>
      </c>
      <c r="BP638" s="37">
        <v>0</v>
      </c>
      <c r="BQ638" s="37">
        <v>0</v>
      </c>
      <c r="BR638" s="37">
        <v>0</v>
      </c>
      <c r="BS638" s="37">
        <v>0</v>
      </c>
      <c r="BT638" s="37">
        <v>0</v>
      </c>
      <c r="BU638" s="37">
        <v>0</v>
      </c>
      <c r="BV638" s="37">
        <v>0</v>
      </c>
      <c r="BW638" s="59">
        <v>0</v>
      </c>
      <c r="BX638" s="59">
        <v>0</v>
      </c>
      <c r="BZ638" s="37">
        <v>0</v>
      </c>
      <c r="CA638" s="37">
        <v>0</v>
      </c>
      <c r="CB638" s="37">
        <v>0</v>
      </c>
      <c r="CC638" s="37">
        <v>0</v>
      </c>
      <c r="CD638" s="37">
        <v>0</v>
      </c>
      <c r="CE638" s="37">
        <v>0</v>
      </c>
      <c r="CF638" s="37">
        <v>0</v>
      </c>
      <c r="CG638" s="59">
        <v>0</v>
      </c>
      <c r="CH638" s="37">
        <v>0</v>
      </c>
      <c r="CI638" s="37">
        <v>0</v>
      </c>
      <c r="CJ638" s="37">
        <v>0</v>
      </c>
      <c r="CK638" s="37">
        <v>0</v>
      </c>
      <c r="CL638" s="37">
        <v>0</v>
      </c>
      <c r="CM638" s="37">
        <v>0</v>
      </c>
      <c r="CN638" s="59">
        <v>0</v>
      </c>
      <c r="CO638" s="59">
        <v>0</v>
      </c>
      <c r="CP638" s="58"/>
      <c r="CQ638" s="3">
        <v>0</v>
      </c>
    </row>
    <row r="639" spans="1:95" customFormat="1" x14ac:dyDescent="0.2">
      <c r="A639" s="33">
        <v>0</v>
      </c>
      <c r="B639" s="33">
        <v>0</v>
      </c>
      <c r="C639" s="33">
        <v>0</v>
      </c>
      <c r="D639" s="43">
        <v>0</v>
      </c>
      <c r="E639" s="43">
        <v>0</v>
      </c>
      <c r="F639" s="43">
        <v>0</v>
      </c>
      <c r="G639" s="43">
        <v>0</v>
      </c>
      <c r="H639" s="43">
        <v>0</v>
      </c>
      <c r="I639" s="43">
        <v>0</v>
      </c>
      <c r="J639" s="43">
        <v>0</v>
      </c>
      <c r="K639" s="43">
        <v>0</v>
      </c>
      <c r="L639" s="43">
        <v>0</v>
      </c>
      <c r="M639" s="43">
        <v>0</v>
      </c>
      <c r="N639" s="43">
        <v>0</v>
      </c>
      <c r="O639" s="43">
        <v>0</v>
      </c>
      <c r="P639" s="47">
        <v>0</v>
      </c>
      <c r="R639" s="37">
        <v>0</v>
      </c>
      <c r="S639" s="37">
        <v>0</v>
      </c>
      <c r="T639" s="37">
        <v>0</v>
      </c>
      <c r="U639" s="37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7">
        <v>0</v>
      </c>
      <c r="AB639" s="37">
        <v>0</v>
      </c>
      <c r="AC639" s="37">
        <v>0</v>
      </c>
      <c r="AD639" s="37">
        <v>0</v>
      </c>
      <c r="AE639" s="37">
        <v>0</v>
      </c>
      <c r="AF639" s="37">
        <v>0</v>
      </c>
      <c r="AG639" s="59">
        <v>0</v>
      </c>
      <c r="AH639" s="37">
        <v>0</v>
      </c>
      <c r="AI639" s="37">
        <v>0</v>
      </c>
      <c r="AJ639" s="37">
        <v>0</v>
      </c>
      <c r="AK639" s="37">
        <v>0</v>
      </c>
      <c r="AL639" s="37">
        <v>0</v>
      </c>
      <c r="AM639" s="37">
        <v>0</v>
      </c>
      <c r="AN639" s="37">
        <v>0</v>
      </c>
      <c r="AO639" s="37">
        <v>0</v>
      </c>
      <c r="AP639" s="37">
        <v>0</v>
      </c>
      <c r="AQ639" s="37">
        <v>0</v>
      </c>
      <c r="AR639" s="37">
        <v>0</v>
      </c>
      <c r="AS639" s="59">
        <v>0</v>
      </c>
      <c r="AT639" s="59">
        <v>0</v>
      </c>
      <c r="AU639" s="45"/>
      <c r="AV639" s="37">
        <v>0</v>
      </c>
      <c r="AW639" s="37">
        <v>0</v>
      </c>
      <c r="AX639" s="37">
        <v>0</v>
      </c>
      <c r="AY639" s="37">
        <v>0</v>
      </c>
      <c r="AZ639" s="37">
        <v>0</v>
      </c>
      <c r="BA639" s="37">
        <v>0</v>
      </c>
      <c r="BB639" s="37">
        <v>0</v>
      </c>
      <c r="BC639" s="37">
        <v>0</v>
      </c>
      <c r="BD639" s="37">
        <v>0</v>
      </c>
      <c r="BE639" s="37">
        <v>0</v>
      </c>
      <c r="BF639" s="37">
        <v>0</v>
      </c>
      <c r="BG639" s="37">
        <v>0</v>
      </c>
      <c r="BH639" s="37">
        <v>0</v>
      </c>
      <c r="BI639" s="37">
        <v>0</v>
      </c>
      <c r="BJ639" s="37">
        <v>0</v>
      </c>
      <c r="BK639" s="59">
        <v>0</v>
      </c>
      <c r="BL639" s="37">
        <v>0</v>
      </c>
      <c r="BM639" s="37">
        <v>0</v>
      </c>
      <c r="BN639" s="37">
        <v>0</v>
      </c>
      <c r="BO639" s="37">
        <v>0</v>
      </c>
      <c r="BP639" s="37">
        <v>0</v>
      </c>
      <c r="BQ639" s="37">
        <v>0</v>
      </c>
      <c r="BR639" s="37">
        <v>0</v>
      </c>
      <c r="BS639" s="37">
        <v>0</v>
      </c>
      <c r="BT639" s="37">
        <v>0</v>
      </c>
      <c r="BU639" s="37">
        <v>0</v>
      </c>
      <c r="BV639" s="37">
        <v>0</v>
      </c>
      <c r="BW639" s="59">
        <v>0</v>
      </c>
      <c r="BX639" s="59">
        <v>0</v>
      </c>
      <c r="BZ639" s="37">
        <v>0</v>
      </c>
      <c r="CA639" s="37">
        <v>0</v>
      </c>
      <c r="CB639" s="37">
        <v>0</v>
      </c>
      <c r="CC639" s="37">
        <v>0</v>
      </c>
      <c r="CD639" s="37">
        <v>0</v>
      </c>
      <c r="CE639" s="37">
        <v>0</v>
      </c>
      <c r="CF639" s="37">
        <v>0</v>
      </c>
      <c r="CG639" s="59">
        <v>0</v>
      </c>
      <c r="CH639" s="37">
        <v>0</v>
      </c>
      <c r="CI639" s="37">
        <v>0</v>
      </c>
      <c r="CJ639" s="37">
        <v>0</v>
      </c>
      <c r="CK639" s="37">
        <v>0</v>
      </c>
      <c r="CL639" s="37">
        <v>0</v>
      </c>
      <c r="CM639" s="37">
        <v>0</v>
      </c>
      <c r="CN639" s="59">
        <v>0</v>
      </c>
      <c r="CO639" s="59">
        <v>0</v>
      </c>
      <c r="CP639" s="58"/>
      <c r="CQ639" s="3">
        <v>0</v>
      </c>
    </row>
    <row r="640" spans="1:95" customFormat="1" x14ac:dyDescent="0.2">
      <c r="A640" s="33">
        <v>0</v>
      </c>
      <c r="B640" s="33">
        <v>0</v>
      </c>
      <c r="C640" s="33">
        <v>0</v>
      </c>
      <c r="D640" s="43">
        <v>0</v>
      </c>
      <c r="E640" s="43">
        <v>0</v>
      </c>
      <c r="F640" s="43">
        <v>0</v>
      </c>
      <c r="G640" s="43">
        <v>0</v>
      </c>
      <c r="H640" s="43">
        <v>0</v>
      </c>
      <c r="I640" s="43">
        <v>0</v>
      </c>
      <c r="J640" s="43">
        <v>0</v>
      </c>
      <c r="K640" s="43">
        <v>0</v>
      </c>
      <c r="L640" s="43">
        <v>0</v>
      </c>
      <c r="M640" s="43">
        <v>0</v>
      </c>
      <c r="N640" s="43">
        <v>0</v>
      </c>
      <c r="O640" s="43">
        <v>0</v>
      </c>
      <c r="P640" s="47">
        <v>0</v>
      </c>
      <c r="R640" s="37">
        <v>0</v>
      </c>
      <c r="S640" s="37">
        <v>0</v>
      </c>
      <c r="T640" s="37">
        <v>0</v>
      </c>
      <c r="U640" s="37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7">
        <v>0</v>
      </c>
      <c r="AB640" s="37">
        <v>0</v>
      </c>
      <c r="AC640" s="37">
        <v>0</v>
      </c>
      <c r="AD640" s="37">
        <v>0</v>
      </c>
      <c r="AE640" s="37">
        <v>0</v>
      </c>
      <c r="AF640" s="37">
        <v>0</v>
      </c>
      <c r="AG640" s="59">
        <v>0</v>
      </c>
      <c r="AH640" s="37">
        <v>0</v>
      </c>
      <c r="AI640" s="37">
        <v>0</v>
      </c>
      <c r="AJ640" s="37">
        <v>0</v>
      </c>
      <c r="AK640" s="37">
        <v>0</v>
      </c>
      <c r="AL640" s="37">
        <v>0</v>
      </c>
      <c r="AM640" s="37">
        <v>0</v>
      </c>
      <c r="AN640" s="37">
        <v>0</v>
      </c>
      <c r="AO640" s="37">
        <v>0</v>
      </c>
      <c r="AP640" s="37">
        <v>0</v>
      </c>
      <c r="AQ640" s="37">
        <v>0</v>
      </c>
      <c r="AR640" s="37">
        <v>0</v>
      </c>
      <c r="AS640" s="59">
        <v>0</v>
      </c>
      <c r="AT640" s="59">
        <v>0</v>
      </c>
      <c r="AU640" s="45"/>
      <c r="AV640" s="37">
        <v>0</v>
      </c>
      <c r="AW640" s="37">
        <v>0</v>
      </c>
      <c r="AX640" s="37">
        <v>0</v>
      </c>
      <c r="AY640" s="37">
        <v>0</v>
      </c>
      <c r="AZ640" s="37">
        <v>0</v>
      </c>
      <c r="BA640" s="37">
        <v>0</v>
      </c>
      <c r="BB640" s="37">
        <v>0</v>
      </c>
      <c r="BC640" s="37">
        <v>0</v>
      </c>
      <c r="BD640" s="37">
        <v>0</v>
      </c>
      <c r="BE640" s="37">
        <v>0</v>
      </c>
      <c r="BF640" s="37">
        <v>0</v>
      </c>
      <c r="BG640" s="37">
        <v>0</v>
      </c>
      <c r="BH640" s="37">
        <v>0</v>
      </c>
      <c r="BI640" s="37">
        <v>0</v>
      </c>
      <c r="BJ640" s="37">
        <v>0</v>
      </c>
      <c r="BK640" s="59">
        <v>0</v>
      </c>
      <c r="BL640" s="37">
        <v>0</v>
      </c>
      <c r="BM640" s="37">
        <v>0</v>
      </c>
      <c r="BN640" s="37">
        <v>0</v>
      </c>
      <c r="BO640" s="37">
        <v>0</v>
      </c>
      <c r="BP640" s="37">
        <v>0</v>
      </c>
      <c r="BQ640" s="37">
        <v>0</v>
      </c>
      <c r="BR640" s="37">
        <v>0</v>
      </c>
      <c r="BS640" s="37">
        <v>0</v>
      </c>
      <c r="BT640" s="37">
        <v>0</v>
      </c>
      <c r="BU640" s="37">
        <v>0</v>
      </c>
      <c r="BV640" s="37">
        <v>0</v>
      </c>
      <c r="BW640" s="59">
        <v>0</v>
      </c>
      <c r="BX640" s="59">
        <v>0</v>
      </c>
      <c r="BZ640" s="37">
        <v>0</v>
      </c>
      <c r="CA640" s="37">
        <v>0</v>
      </c>
      <c r="CB640" s="37">
        <v>0</v>
      </c>
      <c r="CC640" s="37">
        <v>0</v>
      </c>
      <c r="CD640" s="37">
        <v>0</v>
      </c>
      <c r="CE640" s="37">
        <v>0</v>
      </c>
      <c r="CF640" s="37">
        <v>0</v>
      </c>
      <c r="CG640" s="59">
        <v>0</v>
      </c>
      <c r="CH640" s="37">
        <v>0</v>
      </c>
      <c r="CI640" s="37">
        <v>0</v>
      </c>
      <c r="CJ640" s="37">
        <v>0</v>
      </c>
      <c r="CK640" s="37">
        <v>0</v>
      </c>
      <c r="CL640" s="37">
        <v>0</v>
      </c>
      <c r="CM640" s="37">
        <v>0</v>
      </c>
      <c r="CN640" s="59">
        <v>0</v>
      </c>
      <c r="CO640" s="59">
        <v>0</v>
      </c>
      <c r="CP640" s="58"/>
      <c r="CQ640" s="3">
        <v>0</v>
      </c>
    </row>
    <row r="641" spans="1:95" customFormat="1" x14ac:dyDescent="0.2">
      <c r="A641" s="33">
        <v>0</v>
      </c>
      <c r="B641" s="33">
        <v>0</v>
      </c>
      <c r="C641" s="33">
        <v>0</v>
      </c>
      <c r="D641" s="43">
        <v>0</v>
      </c>
      <c r="E641" s="43">
        <v>0</v>
      </c>
      <c r="F641" s="43">
        <v>0</v>
      </c>
      <c r="G641" s="43">
        <v>0</v>
      </c>
      <c r="H641" s="43">
        <v>0</v>
      </c>
      <c r="I641" s="43">
        <v>0</v>
      </c>
      <c r="J641" s="43">
        <v>0</v>
      </c>
      <c r="K641" s="43">
        <v>0</v>
      </c>
      <c r="L641" s="43">
        <v>0</v>
      </c>
      <c r="M641" s="43">
        <v>0</v>
      </c>
      <c r="N641" s="43">
        <v>0</v>
      </c>
      <c r="O641" s="43">
        <v>0</v>
      </c>
      <c r="P641" s="47">
        <v>0</v>
      </c>
      <c r="R641" s="37">
        <v>0</v>
      </c>
      <c r="S641" s="37">
        <v>0</v>
      </c>
      <c r="T641" s="37">
        <v>0</v>
      </c>
      <c r="U641" s="37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7">
        <v>0</v>
      </c>
      <c r="AB641" s="37">
        <v>0</v>
      </c>
      <c r="AC641" s="37">
        <v>0</v>
      </c>
      <c r="AD641" s="37">
        <v>0</v>
      </c>
      <c r="AE641" s="37">
        <v>0</v>
      </c>
      <c r="AF641" s="37">
        <v>0</v>
      </c>
      <c r="AG641" s="59">
        <v>0</v>
      </c>
      <c r="AH641" s="37">
        <v>0</v>
      </c>
      <c r="AI641" s="37">
        <v>0</v>
      </c>
      <c r="AJ641" s="37">
        <v>0</v>
      </c>
      <c r="AK641" s="37">
        <v>0</v>
      </c>
      <c r="AL641" s="37">
        <v>0</v>
      </c>
      <c r="AM641" s="37">
        <v>0</v>
      </c>
      <c r="AN641" s="37">
        <v>0</v>
      </c>
      <c r="AO641" s="37">
        <v>0</v>
      </c>
      <c r="AP641" s="37">
        <v>0</v>
      </c>
      <c r="AQ641" s="37">
        <v>0</v>
      </c>
      <c r="AR641" s="37">
        <v>0</v>
      </c>
      <c r="AS641" s="59">
        <v>0</v>
      </c>
      <c r="AT641" s="59">
        <v>0</v>
      </c>
      <c r="AU641" s="45"/>
      <c r="AV641" s="37">
        <v>0</v>
      </c>
      <c r="AW641" s="37">
        <v>0</v>
      </c>
      <c r="AX641" s="37">
        <v>0</v>
      </c>
      <c r="AY641" s="37">
        <v>0</v>
      </c>
      <c r="AZ641" s="37">
        <v>0</v>
      </c>
      <c r="BA641" s="37">
        <v>0</v>
      </c>
      <c r="BB641" s="37">
        <v>0</v>
      </c>
      <c r="BC641" s="37">
        <v>0</v>
      </c>
      <c r="BD641" s="37">
        <v>0</v>
      </c>
      <c r="BE641" s="37">
        <v>0</v>
      </c>
      <c r="BF641" s="37">
        <v>0</v>
      </c>
      <c r="BG641" s="37">
        <v>0</v>
      </c>
      <c r="BH641" s="37">
        <v>0</v>
      </c>
      <c r="BI641" s="37">
        <v>0</v>
      </c>
      <c r="BJ641" s="37">
        <v>0</v>
      </c>
      <c r="BK641" s="59">
        <v>0</v>
      </c>
      <c r="BL641" s="37">
        <v>0</v>
      </c>
      <c r="BM641" s="37">
        <v>0</v>
      </c>
      <c r="BN641" s="37">
        <v>0</v>
      </c>
      <c r="BO641" s="37">
        <v>0</v>
      </c>
      <c r="BP641" s="37">
        <v>0</v>
      </c>
      <c r="BQ641" s="37">
        <v>0</v>
      </c>
      <c r="BR641" s="37">
        <v>0</v>
      </c>
      <c r="BS641" s="37">
        <v>0</v>
      </c>
      <c r="BT641" s="37">
        <v>0</v>
      </c>
      <c r="BU641" s="37">
        <v>0</v>
      </c>
      <c r="BV641" s="37">
        <v>0</v>
      </c>
      <c r="BW641" s="59">
        <v>0</v>
      </c>
      <c r="BX641" s="59">
        <v>0</v>
      </c>
      <c r="BZ641" s="37">
        <v>0</v>
      </c>
      <c r="CA641" s="37">
        <v>0</v>
      </c>
      <c r="CB641" s="37">
        <v>0</v>
      </c>
      <c r="CC641" s="37">
        <v>0</v>
      </c>
      <c r="CD641" s="37">
        <v>0</v>
      </c>
      <c r="CE641" s="37">
        <v>0</v>
      </c>
      <c r="CF641" s="37">
        <v>0</v>
      </c>
      <c r="CG641" s="59">
        <v>0</v>
      </c>
      <c r="CH641" s="37">
        <v>0</v>
      </c>
      <c r="CI641" s="37">
        <v>0</v>
      </c>
      <c r="CJ641" s="37">
        <v>0</v>
      </c>
      <c r="CK641" s="37">
        <v>0</v>
      </c>
      <c r="CL641" s="37">
        <v>0</v>
      </c>
      <c r="CM641" s="37">
        <v>0</v>
      </c>
      <c r="CN641" s="59">
        <v>0</v>
      </c>
      <c r="CO641" s="59">
        <v>0</v>
      </c>
      <c r="CP641" s="58"/>
      <c r="CQ641" s="3">
        <v>0</v>
      </c>
    </row>
    <row r="642" spans="1:95" customFormat="1" x14ac:dyDescent="0.2">
      <c r="A642" s="33">
        <v>0</v>
      </c>
      <c r="B642" s="33">
        <v>0</v>
      </c>
      <c r="C642" s="33">
        <v>0</v>
      </c>
      <c r="D642" s="43">
        <v>0</v>
      </c>
      <c r="E642" s="43">
        <v>0</v>
      </c>
      <c r="F642" s="43">
        <v>0</v>
      </c>
      <c r="G642" s="43">
        <v>0</v>
      </c>
      <c r="H642" s="43">
        <v>0</v>
      </c>
      <c r="I642" s="43">
        <v>0</v>
      </c>
      <c r="J642" s="43">
        <v>0</v>
      </c>
      <c r="K642" s="43">
        <v>0</v>
      </c>
      <c r="L642" s="43">
        <v>0</v>
      </c>
      <c r="M642" s="43">
        <v>0</v>
      </c>
      <c r="N642" s="43">
        <v>0</v>
      </c>
      <c r="O642" s="43">
        <v>0</v>
      </c>
      <c r="P642" s="47">
        <v>0</v>
      </c>
      <c r="R642" s="37">
        <v>0</v>
      </c>
      <c r="S642" s="37">
        <v>0</v>
      </c>
      <c r="T642" s="37">
        <v>0</v>
      </c>
      <c r="U642" s="37">
        <v>0</v>
      </c>
      <c r="V642" s="37">
        <v>0</v>
      </c>
      <c r="W642" s="37">
        <v>0</v>
      </c>
      <c r="X642" s="37">
        <v>0</v>
      </c>
      <c r="Y642" s="37">
        <v>0</v>
      </c>
      <c r="Z642" s="37">
        <v>0</v>
      </c>
      <c r="AA642" s="37">
        <v>0</v>
      </c>
      <c r="AB642" s="37">
        <v>0</v>
      </c>
      <c r="AC642" s="37">
        <v>0</v>
      </c>
      <c r="AD642" s="37">
        <v>0</v>
      </c>
      <c r="AE642" s="37">
        <v>0</v>
      </c>
      <c r="AF642" s="37">
        <v>0</v>
      </c>
      <c r="AG642" s="59">
        <v>0</v>
      </c>
      <c r="AH642" s="37">
        <v>0</v>
      </c>
      <c r="AI642" s="37">
        <v>0</v>
      </c>
      <c r="AJ642" s="37">
        <v>0</v>
      </c>
      <c r="AK642" s="37">
        <v>0</v>
      </c>
      <c r="AL642" s="37">
        <v>0</v>
      </c>
      <c r="AM642" s="37">
        <v>0</v>
      </c>
      <c r="AN642" s="37">
        <v>0</v>
      </c>
      <c r="AO642" s="37">
        <v>0</v>
      </c>
      <c r="AP642" s="37">
        <v>0</v>
      </c>
      <c r="AQ642" s="37">
        <v>0</v>
      </c>
      <c r="AR642" s="37">
        <v>0</v>
      </c>
      <c r="AS642" s="59">
        <v>0</v>
      </c>
      <c r="AT642" s="59">
        <v>0</v>
      </c>
      <c r="AU642" s="45"/>
      <c r="AV642" s="37">
        <v>0</v>
      </c>
      <c r="AW642" s="37">
        <v>0</v>
      </c>
      <c r="AX642" s="37">
        <v>0</v>
      </c>
      <c r="AY642" s="37">
        <v>0</v>
      </c>
      <c r="AZ642" s="37">
        <v>0</v>
      </c>
      <c r="BA642" s="37">
        <v>0</v>
      </c>
      <c r="BB642" s="37">
        <v>0</v>
      </c>
      <c r="BC642" s="37">
        <v>0</v>
      </c>
      <c r="BD642" s="37">
        <v>0</v>
      </c>
      <c r="BE642" s="37">
        <v>0</v>
      </c>
      <c r="BF642" s="37">
        <v>0</v>
      </c>
      <c r="BG642" s="37">
        <v>0</v>
      </c>
      <c r="BH642" s="37">
        <v>0</v>
      </c>
      <c r="BI642" s="37">
        <v>0</v>
      </c>
      <c r="BJ642" s="37">
        <v>0</v>
      </c>
      <c r="BK642" s="59">
        <v>0</v>
      </c>
      <c r="BL642" s="37">
        <v>0</v>
      </c>
      <c r="BM642" s="37">
        <v>0</v>
      </c>
      <c r="BN642" s="37">
        <v>0</v>
      </c>
      <c r="BO642" s="37">
        <v>0</v>
      </c>
      <c r="BP642" s="37">
        <v>0</v>
      </c>
      <c r="BQ642" s="37">
        <v>0</v>
      </c>
      <c r="BR642" s="37">
        <v>0</v>
      </c>
      <c r="BS642" s="37">
        <v>0</v>
      </c>
      <c r="BT642" s="37">
        <v>0</v>
      </c>
      <c r="BU642" s="37">
        <v>0</v>
      </c>
      <c r="BV642" s="37">
        <v>0</v>
      </c>
      <c r="BW642" s="59">
        <v>0</v>
      </c>
      <c r="BX642" s="59">
        <v>0</v>
      </c>
      <c r="BZ642" s="37">
        <v>0</v>
      </c>
      <c r="CA642" s="37">
        <v>0</v>
      </c>
      <c r="CB642" s="37">
        <v>0</v>
      </c>
      <c r="CC642" s="37">
        <v>0</v>
      </c>
      <c r="CD642" s="37">
        <v>0</v>
      </c>
      <c r="CE642" s="37">
        <v>0</v>
      </c>
      <c r="CF642" s="37">
        <v>0</v>
      </c>
      <c r="CG642" s="59">
        <v>0</v>
      </c>
      <c r="CH642" s="37">
        <v>0</v>
      </c>
      <c r="CI642" s="37">
        <v>0</v>
      </c>
      <c r="CJ642" s="37">
        <v>0</v>
      </c>
      <c r="CK642" s="37">
        <v>0</v>
      </c>
      <c r="CL642" s="37">
        <v>0</v>
      </c>
      <c r="CM642" s="37">
        <v>0</v>
      </c>
      <c r="CN642" s="59">
        <v>0</v>
      </c>
      <c r="CO642" s="59">
        <v>0</v>
      </c>
      <c r="CP642" s="58"/>
      <c r="CQ642" s="3">
        <v>0</v>
      </c>
    </row>
    <row r="643" spans="1:95" customFormat="1" x14ac:dyDescent="0.2">
      <c r="A643" s="33">
        <v>0</v>
      </c>
      <c r="B643" s="33">
        <v>0</v>
      </c>
      <c r="C643" s="33">
        <v>0</v>
      </c>
      <c r="D643" s="43">
        <v>0</v>
      </c>
      <c r="E643" s="43">
        <v>0</v>
      </c>
      <c r="F643" s="43">
        <v>0</v>
      </c>
      <c r="G643" s="43">
        <v>0</v>
      </c>
      <c r="H643" s="43">
        <v>0</v>
      </c>
      <c r="I643" s="43">
        <v>0</v>
      </c>
      <c r="J643" s="43">
        <v>0</v>
      </c>
      <c r="K643" s="43">
        <v>0</v>
      </c>
      <c r="L643" s="43">
        <v>0</v>
      </c>
      <c r="M643" s="43">
        <v>0</v>
      </c>
      <c r="N643" s="43">
        <v>0</v>
      </c>
      <c r="O643" s="43">
        <v>0</v>
      </c>
      <c r="P643" s="47">
        <v>0</v>
      </c>
      <c r="R643" s="37">
        <v>0</v>
      </c>
      <c r="S643" s="37">
        <v>0</v>
      </c>
      <c r="T643" s="37">
        <v>0</v>
      </c>
      <c r="U643" s="37">
        <v>0</v>
      </c>
      <c r="V643" s="37">
        <v>0</v>
      </c>
      <c r="W643" s="37">
        <v>0</v>
      </c>
      <c r="X643" s="37">
        <v>0</v>
      </c>
      <c r="Y643" s="37">
        <v>0</v>
      </c>
      <c r="Z643" s="37">
        <v>0</v>
      </c>
      <c r="AA643" s="37">
        <v>0</v>
      </c>
      <c r="AB643" s="37">
        <v>0</v>
      </c>
      <c r="AC643" s="37">
        <v>0</v>
      </c>
      <c r="AD643" s="37">
        <v>0</v>
      </c>
      <c r="AE643" s="37">
        <v>0</v>
      </c>
      <c r="AF643" s="37">
        <v>0</v>
      </c>
      <c r="AG643" s="59">
        <v>0</v>
      </c>
      <c r="AH643" s="37">
        <v>0</v>
      </c>
      <c r="AI643" s="37">
        <v>0</v>
      </c>
      <c r="AJ643" s="37">
        <v>0</v>
      </c>
      <c r="AK643" s="37">
        <v>0</v>
      </c>
      <c r="AL643" s="37">
        <v>0</v>
      </c>
      <c r="AM643" s="37">
        <v>0</v>
      </c>
      <c r="AN643" s="37">
        <v>0</v>
      </c>
      <c r="AO643" s="37">
        <v>0</v>
      </c>
      <c r="AP643" s="37">
        <v>0</v>
      </c>
      <c r="AQ643" s="37">
        <v>0</v>
      </c>
      <c r="AR643" s="37">
        <v>0</v>
      </c>
      <c r="AS643" s="59">
        <v>0</v>
      </c>
      <c r="AT643" s="59">
        <v>0</v>
      </c>
      <c r="AU643" s="45"/>
      <c r="AV643" s="37">
        <v>0</v>
      </c>
      <c r="AW643" s="37">
        <v>0</v>
      </c>
      <c r="AX643" s="37">
        <v>0</v>
      </c>
      <c r="AY643" s="37">
        <v>0</v>
      </c>
      <c r="AZ643" s="37">
        <v>0</v>
      </c>
      <c r="BA643" s="37">
        <v>0</v>
      </c>
      <c r="BB643" s="37">
        <v>0</v>
      </c>
      <c r="BC643" s="37">
        <v>0</v>
      </c>
      <c r="BD643" s="37">
        <v>0</v>
      </c>
      <c r="BE643" s="37">
        <v>0</v>
      </c>
      <c r="BF643" s="37">
        <v>0</v>
      </c>
      <c r="BG643" s="37">
        <v>0</v>
      </c>
      <c r="BH643" s="37">
        <v>0</v>
      </c>
      <c r="BI643" s="37">
        <v>0</v>
      </c>
      <c r="BJ643" s="37">
        <v>0</v>
      </c>
      <c r="BK643" s="59">
        <v>0</v>
      </c>
      <c r="BL643" s="37">
        <v>0</v>
      </c>
      <c r="BM643" s="37">
        <v>0</v>
      </c>
      <c r="BN643" s="37">
        <v>0</v>
      </c>
      <c r="BO643" s="37">
        <v>0</v>
      </c>
      <c r="BP643" s="37">
        <v>0</v>
      </c>
      <c r="BQ643" s="37">
        <v>0</v>
      </c>
      <c r="BR643" s="37">
        <v>0</v>
      </c>
      <c r="BS643" s="37">
        <v>0</v>
      </c>
      <c r="BT643" s="37">
        <v>0</v>
      </c>
      <c r="BU643" s="37">
        <v>0</v>
      </c>
      <c r="BV643" s="37">
        <v>0</v>
      </c>
      <c r="BW643" s="59">
        <v>0</v>
      </c>
      <c r="BX643" s="59">
        <v>0</v>
      </c>
      <c r="BZ643" s="37">
        <v>0</v>
      </c>
      <c r="CA643" s="37">
        <v>0</v>
      </c>
      <c r="CB643" s="37">
        <v>0</v>
      </c>
      <c r="CC643" s="37">
        <v>0</v>
      </c>
      <c r="CD643" s="37">
        <v>0</v>
      </c>
      <c r="CE643" s="37">
        <v>0</v>
      </c>
      <c r="CF643" s="37">
        <v>0</v>
      </c>
      <c r="CG643" s="59">
        <v>0</v>
      </c>
      <c r="CH643" s="37">
        <v>0</v>
      </c>
      <c r="CI643" s="37">
        <v>0</v>
      </c>
      <c r="CJ643" s="37">
        <v>0</v>
      </c>
      <c r="CK643" s="37">
        <v>0</v>
      </c>
      <c r="CL643" s="37">
        <v>0</v>
      </c>
      <c r="CM643" s="37">
        <v>0</v>
      </c>
      <c r="CN643" s="59">
        <v>0</v>
      </c>
      <c r="CO643" s="59">
        <v>0</v>
      </c>
      <c r="CP643" s="58"/>
      <c r="CQ643" s="3">
        <v>0</v>
      </c>
    </row>
    <row r="644" spans="1:95" customFormat="1" x14ac:dyDescent="0.2">
      <c r="A644" s="33">
        <v>0</v>
      </c>
      <c r="B644" s="33">
        <v>0</v>
      </c>
      <c r="C644" s="33">
        <v>0</v>
      </c>
      <c r="D644" s="43">
        <v>0</v>
      </c>
      <c r="E644" s="43">
        <v>0</v>
      </c>
      <c r="F644" s="43">
        <v>0</v>
      </c>
      <c r="G644" s="43">
        <v>0</v>
      </c>
      <c r="H644" s="43">
        <v>0</v>
      </c>
      <c r="I644" s="43">
        <v>0</v>
      </c>
      <c r="J644" s="43">
        <v>0</v>
      </c>
      <c r="K644" s="43">
        <v>0</v>
      </c>
      <c r="L644" s="43">
        <v>0</v>
      </c>
      <c r="M644" s="43">
        <v>0</v>
      </c>
      <c r="N644" s="43">
        <v>0</v>
      </c>
      <c r="O644" s="43">
        <v>0</v>
      </c>
      <c r="P644" s="47">
        <v>0</v>
      </c>
      <c r="R644" s="37">
        <v>0</v>
      </c>
      <c r="S644" s="37">
        <v>0</v>
      </c>
      <c r="T644" s="37">
        <v>0</v>
      </c>
      <c r="U644" s="37">
        <v>0</v>
      </c>
      <c r="V644" s="37">
        <v>0</v>
      </c>
      <c r="W644" s="37">
        <v>0</v>
      </c>
      <c r="X644" s="37">
        <v>0</v>
      </c>
      <c r="Y644" s="37">
        <v>0</v>
      </c>
      <c r="Z644" s="37">
        <v>0</v>
      </c>
      <c r="AA644" s="37">
        <v>0</v>
      </c>
      <c r="AB644" s="37">
        <v>0</v>
      </c>
      <c r="AC644" s="37">
        <v>0</v>
      </c>
      <c r="AD644" s="37">
        <v>0</v>
      </c>
      <c r="AE644" s="37">
        <v>0</v>
      </c>
      <c r="AF644" s="37">
        <v>0</v>
      </c>
      <c r="AG644" s="59">
        <v>0</v>
      </c>
      <c r="AH644" s="37">
        <v>0</v>
      </c>
      <c r="AI644" s="37">
        <v>0</v>
      </c>
      <c r="AJ644" s="37">
        <v>0</v>
      </c>
      <c r="AK644" s="37">
        <v>0</v>
      </c>
      <c r="AL644" s="37">
        <v>0</v>
      </c>
      <c r="AM644" s="37">
        <v>0</v>
      </c>
      <c r="AN644" s="37">
        <v>0</v>
      </c>
      <c r="AO644" s="37">
        <v>0</v>
      </c>
      <c r="AP644" s="37">
        <v>0</v>
      </c>
      <c r="AQ644" s="37">
        <v>0</v>
      </c>
      <c r="AR644" s="37">
        <v>0</v>
      </c>
      <c r="AS644" s="59">
        <v>0</v>
      </c>
      <c r="AT644" s="59">
        <v>0</v>
      </c>
      <c r="AU644" s="45"/>
      <c r="AV644" s="37">
        <v>0</v>
      </c>
      <c r="AW644" s="37">
        <v>0</v>
      </c>
      <c r="AX644" s="37">
        <v>0</v>
      </c>
      <c r="AY644" s="37">
        <v>0</v>
      </c>
      <c r="AZ644" s="37">
        <v>0</v>
      </c>
      <c r="BA644" s="37">
        <v>0</v>
      </c>
      <c r="BB644" s="37">
        <v>0</v>
      </c>
      <c r="BC644" s="37">
        <v>0</v>
      </c>
      <c r="BD644" s="37">
        <v>0</v>
      </c>
      <c r="BE644" s="37">
        <v>0</v>
      </c>
      <c r="BF644" s="37">
        <v>0</v>
      </c>
      <c r="BG644" s="37">
        <v>0</v>
      </c>
      <c r="BH644" s="37">
        <v>0</v>
      </c>
      <c r="BI644" s="37">
        <v>0</v>
      </c>
      <c r="BJ644" s="37">
        <v>0</v>
      </c>
      <c r="BK644" s="59">
        <v>0</v>
      </c>
      <c r="BL644" s="37">
        <v>0</v>
      </c>
      <c r="BM644" s="37">
        <v>0</v>
      </c>
      <c r="BN644" s="37">
        <v>0</v>
      </c>
      <c r="BO644" s="37">
        <v>0</v>
      </c>
      <c r="BP644" s="37">
        <v>0</v>
      </c>
      <c r="BQ644" s="37">
        <v>0</v>
      </c>
      <c r="BR644" s="37">
        <v>0</v>
      </c>
      <c r="BS644" s="37">
        <v>0</v>
      </c>
      <c r="BT644" s="37">
        <v>0</v>
      </c>
      <c r="BU644" s="37">
        <v>0</v>
      </c>
      <c r="BV644" s="37">
        <v>0</v>
      </c>
      <c r="BW644" s="59">
        <v>0</v>
      </c>
      <c r="BX644" s="59">
        <v>0</v>
      </c>
      <c r="BZ644" s="37">
        <v>0</v>
      </c>
      <c r="CA644" s="37">
        <v>0</v>
      </c>
      <c r="CB644" s="37">
        <v>0</v>
      </c>
      <c r="CC644" s="37">
        <v>0</v>
      </c>
      <c r="CD644" s="37">
        <v>0</v>
      </c>
      <c r="CE644" s="37">
        <v>0</v>
      </c>
      <c r="CF644" s="37">
        <v>0</v>
      </c>
      <c r="CG644" s="59">
        <v>0</v>
      </c>
      <c r="CH644" s="37">
        <v>0</v>
      </c>
      <c r="CI644" s="37">
        <v>0</v>
      </c>
      <c r="CJ644" s="37">
        <v>0</v>
      </c>
      <c r="CK644" s="37">
        <v>0</v>
      </c>
      <c r="CL644" s="37">
        <v>0</v>
      </c>
      <c r="CM644" s="37">
        <v>0</v>
      </c>
      <c r="CN644" s="59">
        <v>0</v>
      </c>
      <c r="CO644" s="59">
        <v>0</v>
      </c>
      <c r="CP644" s="58"/>
      <c r="CQ644" s="3">
        <v>0</v>
      </c>
    </row>
    <row r="645" spans="1:95" customFormat="1" x14ac:dyDescent="0.2">
      <c r="A645" s="33">
        <v>0</v>
      </c>
      <c r="B645" s="33">
        <v>0</v>
      </c>
      <c r="C645" s="33">
        <v>0</v>
      </c>
      <c r="D645" s="43">
        <v>0</v>
      </c>
      <c r="E645" s="43">
        <v>0</v>
      </c>
      <c r="F645" s="43">
        <v>0</v>
      </c>
      <c r="G645" s="43">
        <v>0</v>
      </c>
      <c r="H645" s="43">
        <v>0</v>
      </c>
      <c r="I645" s="43">
        <v>0</v>
      </c>
      <c r="J645" s="43">
        <v>0</v>
      </c>
      <c r="K645" s="43">
        <v>0</v>
      </c>
      <c r="L645" s="43">
        <v>0</v>
      </c>
      <c r="M645" s="43">
        <v>0</v>
      </c>
      <c r="N645" s="43">
        <v>0</v>
      </c>
      <c r="O645" s="43">
        <v>0</v>
      </c>
      <c r="P645" s="4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59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59">
        <v>0</v>
      </c>
      <c r="AT645" s="59">
        <v>0</v>
      </c>
      <c r="AU645" s="45"/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>
        <v>0</v>
      </c>
      <c r="BB645" s="37">
        <v>0</v>
      </c>
      <c r="BC645" s="37">
        <v>0</v>
      </c>
      <c r="BD645" s="37">
        <v>0</v>
      </c>
      <c r="BE645" s="37">
        <v>0</v>
      </c>
      <c r="BF645" s="37">
        <v>0</v>
      </c>
      <c r="BG645" s="37">
        <v>0</v>
      </c>
      <c r="BH645" s="37">
        <v>0</v>
      </c>
      <c r="BI645" s="37">
        <v>0</v>
      </c>
      <c r="BJ645" s="37">
        <v>0</v>
      </c>
      <c r="BK645" s="59">
        <v>0</v>
      </c>
      <c r="BL645" s="37">
        <v>0</v>
      </c>
      <c r="BM645" s="37">
        <v>0</v>
      </c>
      <c r="BN645" s="37">
        <v>0</v>
      </c>
      <c r="BO645" s="37">
        <v>0</v>
      </c>
      <c r="BP645" s="37">
        <v>0</v>
      </c>
      <c r="BQ645" s="37">
        <v>0</v>
      </c>
      <c r="BR645" s="37">
        <v>0</v>
      </c>
      <c r="BS645" s="37">
        <v>0</v>
      </c>
      <c r="BT645" s="37">
        <v>0</v>
      </c>
      <c r="BU645" s="37">
        <v>0</v>
      </c>
      <c r="BV645" s="37">
        <v>0</v>
      </c>
      <c r="BW645" s="59">
        <v>0</v>
      </c>
      <c r="BX645" s="59">
        <v>0</v>
      </c>
      <c r="BZ645" s="37">
        <v>0</v>
      </c>
      <c r="CA645" s="37">
        <v>0</v>
      </c>
      <c r="CB645" s="37">
        <v>0</v>
      </c>
      <c r="CC645" s="37">
        <v>0</v>
      </c>
      <c r="CD645" s="37">
        <v>0</v>
      </c>
      <c r="CE645" s="37">
        <v>0</v>
      </c>
      <c r="CF645" s="37">
        <v>0</v>
      </c>
      <c r="CG645" s="59">
        <v>0</v>
      </c>
      <c r="CH645" s="37">
        <v>0</v>
      </c>
      <c r="CI645" s="37">
        <v>0</v>
      </c>
      <c r="CJ645" s="37">
        <v>0</v>
      </c>
      <c r="CK645" s="37">
        <v>0</v>
      </c>
      <c r="CL645" s="37">
        <v>0</v>
      </c>
      <c r="CM645" s="37">
        <v>0</v>
      </c>
      <c r="CN645" s="59">
        <v>0</v>
      </c>
      <c r="CO645" s="59">
        <v>0</v>
      </c>
      <c r="CP645" s="58"/>
      <c r="CQ645" s="3">
        <v>0</v>
      </c>
    </row>
    <row r="646" spans="1:95" customFormat="1" x14ac:dyDescent="0.2">
      <c r="A646" s="33">
        <v>0</v>
      </c>
      <c r="B646" s="33">
        <v>0</v>
      </c>
      <c r="C646" s="33">
        <v>0</v>
      </c>
      <c r="D646" s="43">
        <v>0</v>
      </c>
      <c r="E646" s="43">
        <v>0</v>
      </c>
      <c r="F646" s="43">
        <v>0</v>
      </c>
      <c r="G646" s="43">
        <v>0</v>
      </c>
      <c r="H646" s="43">
        <v>0</v>
      </c>
      <c r="I646" s="43">
        <v>0</v>
      </c>
      <c r="J646" s="43">
        <v>0</v>
      </c>
      <c r="K646" s="43">
        <v>0</v>
      </c>
      <c r="L646" s="43">
        <v>0</v>
      </c>
      <c r="M646" s="43">
        <v>0</v>
      </c>
      <c r="N646" s="43">
        <v>0</v>
      </c>
      <c r="O646" s="43">
        <v>0</v>
      </c>
      <c r="P646" s="47">
        <v>0</v>
      </c>
      <c r="R646" s="37">
        <v>0</v>
      </c>
      <c r="S646" s="37">
        <v>0</v>
      </c>
      <c r="T646" s="37">
        <v>0</v>
      </c>
      <c r="U646" s="37">
        <v>0</v>
      </c>
      <c r="V646" s="37">
        <v>0</v>
      </c>
      <c r="W646" s="37">
        <v>0</v>
      </c>
      <c r="X646" s="37">
        <v>0</v>
      </c>
      <c r="Y646" s="37">
        <v>0</v>
      </c>
      <c r="Z646" s="37">
        <v>0</v>
      </c>
      <c r="AA646" s="37">
        <v>0</v>
      </c>
      <c r="AB646" s="37">
        <v>0</v>
      </c>
      <c r="AC646" s="37">
        <v>0</v>
      </c>
      <c r="AD646" s="37">
        <v>0</v>
      </c>
      <c r="AE646" s="37">
        <v>0</v>
      </c>
      <c r="AF646" s="37">
        <v>0</v>
      </c>
      <c r="AG646" s="59">
        <v>0</v>
      </c>
      <c r="AH646" s="37">
        <v>0</v>
      </c>
      <c r="AI646" s="37">
        <v>0</v>
      </c>
      <c r="AJ646" s="37">
        <v>0</v>
      </c>
      <c r="AK646" s="37">
        <v>0</v>
      </c>
      <c r="AL646" s="37">
        <v>0</v>
      </c>
      <c r="AM646" s="37">
        <v>0</v>
      </c>
      <c r="AN646" s="37">
        <v>0</v>
      </c>
      <c r="AO646" s="37">
        <v>0</v>
      </c>
      <c r="AP646" s="37">
        <v>0</v>
      </c>
      <c r="AQ646" s="37">
        <v>0</v>
      </c>
      <c r="AR646" s="37">
        <v>0</v>
      </c>
      <c r="AS646" s="59">
        <v>0</v>
      </c>
      <c r="AT646" s="59">
        <v>0</v>
      </c>
      <c r="AU646" s="45"/>
      <c r="AV646" s="37">
        <v>0</v>
      </c>
      <c r="AW646" s="37">
        <v>0</v>
      </c>
      <c r="AX646" s="37">
        <v>0</v>
      </c>
      <c r="AY646" s="37">
        <v>0</v>
      </c>
      <c r="AZ646" s="37">
        <v>0</v>
      </c>
      <c r="BA646" s="37">
        <v>0</v>
      </c>
      <c r="BB646" s="37">
        <v>0</v>
      </c>
      <c r="BC646" s="37">
        <v>0</v>
      </c>
      <c r="BD646" s="37">
        <v>0</v>
      </c>
      <c r="BE646" s="37">
        <v>0</v>
      </c>
      <c r="BF646" s="37">
        <v>0</v>
      </c>
      <c r="BG646" s="37">
        <v>0</v>
      </c>
      <c r="BH646" s="37">
        <v>0</v>
      </c>
      <c r="BI646" s="37">
        <v>0</v>
      </c>
      <c r="BJ646" s="37">
        <v>0</v>
      </c>
      <c r="BK646" s="59">
        <v>0</v>
      </c>
      <c r="BL646" s="37">
        <v>0</v>
      </c>
      <c r="BM646" s="37">
        <v>0</v>
      </c>
      <c r="BN646" s="37">
        <v>0</v>
      </c>
      <c r="BO646" s="37">
        <v>0</v>
      </c>
      <c r="BP646" s="37">
        <v>0</v>
      </c>
      <c r="BQ646" s="37">
        <v>0</v>
      </c>
      <c r="BR646" s="37">
        <v>0</v>
      </c>
      <c r="BS646" s="37">
        <v>0</v>
      </c>
      <c r="BT646" s="37">
        <v>0</v>
      </c>
      <c r="BU646" s="37">
        <v>0</v>
      </c>
      <c r="BV646" s="37">
        <v>0</v>
      </c>
      <c r="BW646" s="59">
        <v>0</v>
      </c>
      <c r="BX646" s="59">
        <v>0</v>
      </c>
      <c r="BZ646" s="37">
        <v>0</v>
      </c>
      <c r="CA646" s="37">
        <v>0</v>
      </c>
      <c r="CB646" s="37">
        <v>0</v>
      </c>
      <c r="CC646" s="37">
        <v>0</v>
      </c>
      <c r="CD646" s="37">
        <v>0</v>
      </c>
      <c r="CE646" s="37">
        <v>0</v>
      </c>
      <c r="CF646" s="37">
        <v>0</v>
      </c>
      <c r="CG646" s="59">
        <v>0</v>
      </c>
      <c r="CH646" s="37">
        <v>0</v>
      </c>
      <c r="CI646" s="37">
        <v>0</v>
      </c>
      <c r="CJ646" s="37">
        <v>0</v>
      </c>
      <c r="CK646" s="37">
        <v>0</v>
      </c>
      <c r="CL646" s="37">
        <v>0</v>
      </c>
      <c r="CM646" s="37">
        <v>0</v>
      </c>
      <c r="CN646" s="59">
        <v>0</v>
      </c>
      <c r="CO646" s="59">
        <v>0</v>
      </c>
      <c r="CP646" s="58"/>
      <c r="CQ646" s="3">
        <v>0</v>
      </c>
    </row>
    <row r="647" spans="1:95" customFormat="1" x14ac:dyDescent="0.2">
      <c r="A647" s="33">
        <v>0</v>
      </c>
      <c r="B647" s="33">
        <v>0</v>
      </c>
      <c r="C647" s="33">
        <v>0</v>
      </c>
      <c r="D647" s="43">
        <v>0</v>
      </c>
      <c r="E647" s="43">
        <v>0</v>
      </c>
      <c r="F647" s="43">
        <v>0</v>
      </c>
      <c r="G647" s="43">
        <v>0</v>
      </c>
      <c r="H647" s="43">
        <v>0</v>
      </c>
      <c r="I647" s="43">
        <v>0</v>
      </c>
      <c r="J647" s="43">
        <v>0</v>
      </c>
      <c r="K647" s="43">
        <v>0</v>
      </c>
      <c r="L647" s="43">
        <v>0</v>
      </c>
      <c r="M647" s="43">
        <v>0</v>
      </c>
      <c r="N647" s="43">
        <v>0</v>
      </c>
      <c r="O647" s="43">
        <v>0</v>
      </c>
      <c r="P647" s="47">
        <v>0</v>
      </c>
      <c r="R647" s="37">
        <v>0</v>
      </c>
      <c r="S647" s="37">
        <v>0</v>
      </c>
      <c r="T647" s="37">
        <v>0</v>
      </c>
      <c r="U647" s="37">
        <v>0</v>
      </c>
      <c r="V647" s="37">
        <v>0</v>
      </c>
      <c r="W647" s="37">
        <v>0</v>
      </c>
      <c r="X647" s="37">
        <v>0</v>
      </c>
      <c r="Y647" s="37">
        <v>0</v>
      </c>
      <c r="Z647" s="37">
        <v>0</v>
      </c>
      <c r="AA647" s="37">
        <v>0</v>
      </c>
      <c r="AB647" s="37">
        <v>0</v>
      </c>
      <c r="AC647" s="37">
        <v>0</v>
      </c>
      <c r="AD647" s="37">
        <v>0</v>
      </c>
      <c r="AE647" s="37">
        <v>0</v>
      </c>
      <c r="AF647" s="37">
        <v>0</v>
      </c>
      <c r="AG647" s="59">
        <v>0</v>
      </c>
      <c r="AH647" s="37">
        <v>0</v>
      </c>
      <c r="AI647" s="37">
        <v>0</v>
      </c>
      <c r="AJ647" s="37">
        <v>0</v>
      </c>
      <c r="AK647" s="37">
        <v>0</v>
      </c>
      <c r="AL647" s="37">
        <v>0</v>
      </c>
      <c r="AM647" s="37">
        <v>0</v>
      </c>
      <c r="AN647" s="37">
        <v>0</v>
      </c>
      <c r="AO647" s="37">
        <v>0</v>
      </c>
      <c r="AP647" s="37">
        <v>0</v>
      </c>
      <c r="AQ647" s="37">
        <v>0</v>
      </c>
      <c r="AR647" s="37">
        <v>0</v>
      </c>
      <c r="AS647" s="59">
        <v>0</v>
      </c>
      <c r="AT647" s="59">
        <v>0</v>
      </c>
      <c r="AU647" s="45"/>
      <c r="AV647" s="37">
        <v>0</v>
      </c>
      <c r="AW647" s="37">
        <v>0</v>
      </c>
      <c r="AX647" s="37">
        <v>0</v>
      </c>
      <c r="AY647" s="37">
        <v>0</v>
      </c>
      <c r="AZ647" s="37">
        <v>0</v>
      </c>
      <c r="BA647" s="37">
        <v>0</v>
      </c>
      <c r="BB647" s="37">
        <v>0</v>
      </c>
      <c r="BC647" s="37">
        <v>0</v>
      </c>
      <c r="BD647" s="37">
        <v>0</v>
      </c>
      <c r="BE647" s="37">
        <v>0</v>
      </c>
      <c r="BF647" s="37">
        <v>0</v>
      </c>
      <c r="BG647" s="37">
        <v>0</v>
      </c>
      <c r="BH647" s="37">
        <v>0</v>
      </c>
      <c r="BI647" s="37">
        <v>0</v>
      </c>
      <c r="BJ647" s="37">
        <v>0</v>
      </c>
      <c r="BK647" s="59">
        <v>0</v>
      </c>
      <c r="BL647" s="37">
        <v>0</v>
      </c>
      <c r="BM647" s="37">
        <v>0</v>
      </c>
      <c r="BN647" s="37">
        <v>0</v>
      </c>
      <c r="BO647" s="37">
        <v>0</v>
      </c>
      <c r="BP647" s="37">
        <v>0</v>
      </c>
      <c r="BQ647" s="37">
        <v>0</v>
      </c>
      <c r="BR647" s="37">
        <v>0</v>
      </c>
      <c r="BS647" s="37">
        <v>0</v>
      </c>
      <c r="BT647" s="37">
        <v>0</v>
      </c>
      <c r="BU647" s="37">
        <v>0</v>
      </c>
      <c r="BV647" s="37">
        <v>0</v>
      </c>
      <c r="BW647" s="59">
        <v>0</v>
      </c>
      <c r="BX647" s="59">
        <v>0</v>
      </c>
      <c r="BZ647" s="37">
        <v>0</v>
      </c>
      <c r="CA647" s="37">
        <v>0</v>
      </c>
      <c r="CB647" s="37">
        <v>0</v>
      </c>
      <c r="CC647" s="37">
        <v>0</v>
      </c>
      <c r="CD647" s="37">
        <v>0</v>
      </c>
      <c r="CE647" s="37">
        <v>0</v>
      </c>
      <c r="CF647" s="37">
        <v>0</v>
      </c>
      <c r="CG647" s="59">
        <v>0</v>
      </c>
      <c r="CH647" s="37">
        <v>0</v>
      </c>
      <c r="CI647" s="37">
        <v>0</v>
      </c>
      <c r="CJ647" s="37">
        <v>0</v>
      </c>
      <c r="CK647" s="37">
        <v>0</v>
      </c>
      <c r="CL647" s="37">
        <v>0</v>
      </c>
      <c r="CM647" s="37">
        <v>0</v>
      </c>
      <c r="CN647" s="59">
        <v>0</v>
      </c>
      <c r="CO647" s="59">
        <v>0</v>
      </c>
      <c r="CP647" s="58"/>
      <c r="CQ647" s="3">
        <v>0</v>
      </c>
    </row>
    <row r="648" spans="1:95" customFormat="1" x14ac:dyDescent="0.2">
      <c r="A648" s="33">
        <v>0</v>
      </c>
      <c r="B648" s="33">
        <v>0</v>
      </c>
      <c r="C648" s="33">
        <v>0</v>
      </c>
      <c r="D648" s="43">
        <v>0</v>
      </c>
      <c r="E648" s="43">
        <v>0</v>
      </c>
      <c r="F648" s="43">
        <v>0</v>
      </c>
      <c r="G648" s="43">
        <v>0</v>
      </c>
      <c r="H648" s="43">
        <v>0</v>
      </c>
      <c r="I648" s="43">
        <v>0</v>
      </c>
      <c r="J648" s="43">
        <v>0</v>
      </c>
      <c r="K648" s="43">
        <v>0</v>
      </c>
      <c r="L648" s="43">
        <v>0</v>
      </c>
      <c r="M648" s="43">
        <v>0</v>
      </c>
      <c r="N648" s="43">
        <v>0</v>
      </c>
      <c r="O648" s="43">
        <v>0</v>
      </c>
      <c r="P648" s="47">
        <v>0</v>
      </c>
      <c r="R648" s="37">
        <v>0</v>
      </c>
      <c r="S648" s="37">
        <v>0</v>
      </c>
      <c r="T648" s="37">
        <v>0</v>
      </c>
      <c r="U648" s="37">
        <v>0</v>
      </c>
      <c r="V648" s="37">
        <v>0</v>
      </c>
      <c r="W648" s="37">
        <v>0</v>
      </c>
      <c r="X648" s="37">
        <v>0</v>
      </c>
      <c r="Y648" s="37">
        <v>0</v>
      </c>
      <c r="Z648" s="37">
        <v>0</v>
      </c>
      <c r="AA648" s="37">
        <v>0</v>
      </c>
      <c r="AB648" s="37">
        <v>0</v>
      </c>
      <c r="AC648" s="37">
        <v>0</v>
      </c>
      <c r="AD648" s="37">
        <v>0</v>
      </c>
      <c r="AE648" s="37">
        <v>0</v>
      </c>
      <c r="AF648" s="37">
        <v>0</v>
      </c>
      <c r="AG648" s="59">
        <v>0</v>
      </c>
      <c r="AH648" s="37">
        <v>0</v>
      </c>
      <c r="AI648" s="37">
        <v>0</v>
      </c>
      <c r="AJ648" s="37">
        <v>0</v>
      </c>
      <c r="AK648" s="37">
        <v>0</v>
      </c>
      <c r="AL648" s="37">
        <v>0</v>
      </c>
      <c r="AM648" s="37">
        <v>0</v>
      </c>
      <c r="AN648" s="37">
        <v>0</v>
      </c>
      <c r="AO648" s="37">
        <v>0</v>
      </c>
      <c r="AP648" s="37">
        <v>0</v>
      </c>
      <c r="AQ648" s="37">
        <v>0</v>
      </c>
      <c r="AR648" s="37">
        <v>0</v>
      </c>
      <c r="AS648" s="59">
        <v>0</v>
      </c>
      <c r="AT648" s="59">
        <v>0</v>
      </c>
      <c r="AU648" s="45"/>
      <c r="AV648" s="37">
        <v>0</v>
      </c>
      <c r="AW648" s="37">
        <v>0</v>
      </c>
      <c r="AX648" s="37">
        <v>0</v>
      </c>
      <c r="AY648" s="37">
        <v>0</v>
      </c>
      <c r="AZ648" s="37">
        <v>0</v>
      </c>
      <c r="BA648" s="37">
        <v>0</v>
      </c>
      <c r="BB648" s="37">
        <v>0</v>
      </c>
      <c r="BC648" s="37">
        <v>0</v>
      </c>
      <c r="BD648" s="37">
        <v>0</v>
      </c>
      <c r="BE648" s="37">
        <v>0</v>
      </c>
      <c r="BF648" s="37">
        <v>0</v>
      </c>
      <c r="BG648" s="37">
        <v>0</v>
      </c>
      <c r="BH648" s="37">
        <v>0</v>
      </c>
      <c r="BI648" s="37">
        <v>0</v>
      </c>
      <c r="BJ648" s="37">
        <v>0</v>
      </c>
      <c r="BK648" s="59">
        <v>0</v>
      </c>
      <c r="BL648" s="37">
        <v>0</v>
      </c>
      <c r="BM648" s="37">
        <v>0</v>
      </c>
      <c r="BN648" s="37">
        <v>0</v>
      </c>
      <c r="BO648" s="37">
        <v>0</v>
      </c>
      <c r="BP648" s="37">
        <v>0</v>
      </c>
      <c r="BQ648" s="37">
        <v>0</v>
      </c>
      <c r="BR648" s="37">
        <v>0</v>
      </c>
      <c r="BS648" s="37">
        <v>0</v>
      </c>
      <c r="BT648" s="37">
        <v>0</v>
      </c>
      <c r="BU648" s="37">
        <v>0</v>
      </c>
      <c r="BV648" s="37">
        <v>0</v>
      </c>
      <c r="BW648" s="59">
        <v>0</v>
      </c>
      <c r="BX648" s="59">
        <v>0</v>
      </c>
      <c r="BZ648" s="37">
        <v>0</v>
      </c>
      <c r="CA648" s="37">
        <v>0</v>
      </c>
      <c r="CB648" s="37">
        <v>0</v>
      </c>
      <c r="CC648" s="37">
        <v>0</v>
      </c>
      <c r="CD648" s="37">
        <v>0</v>
      </c>
      <c r="CE648" s="37">
        <v>0</v>
      </c>
      <c r="CF648" s="37">
        <v>0</v>
      </c>
      <c r="CG648" s="59">
        <v>0</v>
      </c>
      <c r="CH648" s="37">
        <v>0</v>
      </c>
      <c r="CI648" s="37">
        <v>0</v>
      </c>
      <c r="CJ648" s="37">
        <v>0</v>
      </c>
      <c r="CK648" s="37">
        <v>0</v>
      </c>
      <c r="CL648" s="37">
        <v>0</v>
      </c>
      <c r="CM648" s="37">
        <v>0</v>
      </c>
      <c r="CN648" s="59">
        <v>0</v>
      </c>
      <c r="CO648" s="59">
        <v>0</v>
      </c>
      <c r="CP648" s="58"/>
      <c r="CQ648" s="3">
        <v>0</v>
      </c>
    </row>
    <row r="649" spans="1:95" customFormat="1" x14ac:dyDescent="0.2">
      <c r="A649" s="33">
        <v>0</v>
      </c>
      <c r="B649" s="33">
        <v>0</v>
      </c>
      <c r="C649" s="33">
        <v>0</v>
      </c>
      <c r="D649" s="43">
        <v>0</v>
      </c>
      <c r="E649" s="43">
        <v>0</v>
      </c>
      <c r="F649" s="43">
        <v>0</v>
      </c>
      <c r="G649" s="43">
        <v>0</v>
      </c>
      <c r="H649" s="43">
        <v>0</v>
      </c>
      <c r="I649" s="43">
        <v>0</v>
      </c>
      <c r="J649" s="43">
        <v>0</v>
      </c>
      <c r="K649" s="43">
        <v>0</v>
      </c>
      <c r="L649" s="43">
        <v>0</v>
      </c>
      <c r="M649" s="43">
        <v>0</v>
      </c>
      <c r="N649" s="43">
        <v>0</v>
      </c>
      <c r="O649" s="43">
        <v>0</v>
      </c>
      <c r="P649" s="47">
        <v>0</v>
      </c>
      <c r="R649" s="37">
        <v>0</v>
      </c>
      <c r="S649" s="37">
        <v>0</v>
      </c>
      <c r="T649" s="37">
        <v>0</v>
      </c>
      <c r="U649" s="37">
        <v>0</v>
      </c>
      <c r="V649" s="37">
        <v>0</v>
      </c>
      <c r="W649" s="37">
        <v>0</v>
      </c>
      <c r="X649" s="37">
        <v>0</v>
      </c>
      <c r="Y649" s="37">
        <v>0</v>
      </c>
      <c r="Z649" s="37">
        <v>0</v>
      </c>
      <c r="AA649" s="37">
        <v>0</v>
      </c>
      <c r="AB649" s="37">
        <v>0</v>
      </c>
      <c r="AC649" s="37">
        <v>0</v>
      </c>
      <c r="AD649" s="37">
        <v>0</v>
      </c>
      <c r="AE649" s="37">
        <v>0</v>
      </c>
      <c r="AF649" s="37">
        <v>0</v>
      </c>
      <c r="AG649" s="59">
        <v>0</v>
      </c>
      <c r="AH649" s="37">
        <v>0</v>
      </c>
      <c r="AI649" s="37">
        <v>0</v>
      </c>
      <c r="AJ649" s="37">
        <v>0</v>
      </c>
      <c r="AK649" s="37">
        <v>0</v>
      </c>
      <c r="AL649" s="37">
        <v>0</v>
      </c>
      <c r="AM649" s="37">
        <v>0</v>
      </c>
      <c r="AN649" s="37">
        <v>0</v>
      </c>
      <c r="AO649" s="37">
        <v>0</v>
      </c>
      <c r="AP649" s="37">
        <v>0</v>
      </c>
      <c r="AQ649" s="37">
        <v>0</v>
      </c>
      <c r="AR649" s="37">
        <v>0</v>
      </c>
      <c r="AS649" s="59">
        <v>0</v>
      </c>
      <c r="AT649" s="59">
        <v>0</v>
      </c>
      <c r="AU649" s="45"/>
      <c r="AV649" s="37">
        <v>0</v>
      </c>
      <c r="AW649" s="37">
        <v>0</v>
      </c>
      <c r="AX649" s="37">
        <v>0</v>
      </c>
      <c r="AY649" s="37">
        <v>0</v>
      </c>
      <c r="AZ649" s="37">
        <v>0</v>
      </c>
      <c r="BA649" s="37">
        <v>0</v>
      </c>
      <c r="BB649" s="37">
        <v>0</v>
      </c>
      <c r="BC649" s="37">
        <v>0</v>
      </c>
      <c r="BD649" s="37">
        <v>0</v>
      </c>
      <c r="BE649" s="37">
        <v>0</v>
      </c>
      <c r="BF649" s="37">
        <v>0</v>
      </c>
      <c r="BG649" s="37">
        <v>0</v>
      </c>
      <c r="BH649" s="37">
        <v>0</v>
      </c>
      <c r="BI649" s="37">
        <v>0</v>
      </c>
      <c r="BJ649" s="37">
        <v>0</v>
      </c>
      <c r="BK649" s="59">
        <v>0</v>
      </c>
      <c r="BL649" s="37">
        <v>0</v>
      </c>
      <c r="BM649" s="37">
        <v>0</v>
      </c>
      <c r="BN649" s="37">
        <v>0</v>
      </c>
      <c r="BO649" s="37">
        <v>0</v>
      </c>
      <c r="BP649" s="37">
        <v>0</v>
      </c>
      <c r="BQ649" s="37">
        <v>0</v>
      </c>
      <c r="BR649" s="37">
        <v>0</v>
      </c>
      <c r="BS649" s="37">
        <v>0</v>
      </c>
      <c r="BT649" s="37">
        <v>0</v>
      </c>
      <c r="BU649" s="37">
        <v>0</v>
      </c>
      <c r="BV649" s="37">
        <v>0</v>
      </c>
      <c r="BW649" s="59">
        <v>0</v>
      </c>
      <c r="BX649" s="59">
        <v>0</v>
      </c>
      <c r="BZ649" s="37">
        <v>0</v>
      </c>
      <c r="CA649" s="37">
        <v>0</v>
      </c>
      <c r="CB649" s="37">
        <v>0</v>
      </c>
      <c r="CC649" s="37">
        <v>0</v>
      </c>
      <c r="CD649" s="37">
        <v>0</v>
      </c>
      <c r="CE649" s="37">
        <v>0</v>
      </c>
      <c r="CF649" s="37">
        <v>0</v>
      </c>
      <c r="CG649" s="59">
        <v>0</v>
      </c>
      <c r="CH649" s="37">
        <v>0</v>
      </c>
      <c r="CI649" s="37">
        <v>0</v>
      </c>
      <c r="CJ649" s="37">
        <v>0</v>
      </c>
      <c r="CK649" s="37">
        <v>0</v>
      </c>
      <c r="CL649" s="37">
        <v>0</v>
      </c>
      <c r="CM649" s="37">
        <v>0</v>
      </c>
      <c r="CN649" s="59">
        <v>0</v>
      </c>
      <c r="CO649" s="59">
        <v>0</v>
      </c>
      <c r="CP649" s="58"/>
      <c r="CQ649" s="3">
        <v>0</v>
      </c>
    </row>
    <row r="650" spans="1:95" customFormat="1" x14ac:dyDescent="0.2">
      <c r="A650" s="33">
        <v>0</v>
      </c>
      <c r="B650" s="33">
        <v>0</v>
      </c>
      <c r="C650" s="33">
        <v>0</v>
      </c>
      <c r="D650" s="43">
        <v>0</v>
      </c>
      <c r="E650" s="43">
        <v>0</v>
      </c>
      <c r="F650" s="43">
        <v>0</v>
      </c>
      <c r="G650" s="43">
        <v>0</v>
      </c>
      <c r="H650" s="43">
        <v>0</v>
      </c>
      <c r="I650" s="43">
        <v>0</v>
      </c>
      <c r="J650" s="43">
        <v>0</v>
      </c>
      <c r="K650" s="43">
        <v>0</v>
      </c>
      <c r="L650" s="43">
        <v>0</v>
      </c>
      <c r="M650" s="43">
        <v>0</v>
      </c>
      <c r="N650" s="43">
        <v>0</v>
      </c>
      <c r="O650" s="43">
        <v>0</v>
      </c>
      <c r="P650" s="47">
        <v>0</v>
      </c>
      <c r="R650" s="37">
        <v>0</v>
      </c>
      <c r="S650" s="37">
        <v>0</v>
      </c>
      <c r="T650" s="37">
        <v>0</v>
      </c>
      <c r="U650" s="37">
        <v>0</v>
      </c>
      <c r="V650" s="37">
        <v>0</v>
      </c>
      <c r="W650" s="37">
        <v>0</v>
      </c>
      <c r="X650" s="37">
        <v>0</v>
      </c>
      <c r="Y650" s="37">
        <v>0</v>
      </c>
      <c r="Z650" s="37">
        <v>0</v>
      </c>
      <c r="AA650" s="37">
        <v>0</v>
      </c>
      <c r="AB650" s="37">
        <v>0</v>
      </c>
      <c r="AC650" s="37">
        <v>0</v>
      </c>
      <c r="AD650" s="37">
        <v>0</v>
      </c>
      <c r="AE650" s="37">
        <v>0</v>
      </c>
      <c r="AF650" s="37">
        <v>0</v>
      </c>
      <c r="AG650" s="59">
        <v>0</v>
      </c>
      <c r="AH650" s="37">
        <v>0</v>
      </c>
      <c r="AI650" s="37">
        <v>0</v>
      </c>
      <c r="AJ650" s="37">
        <v>0</v>
      </c>
      <c r="AK650" s="37">
        <v>0</v>
      </c>
      <c r="AL650" s="37">
        <v>0</v>
      </c>
      <c r="AM650" s="37">
        <v>0</v>
      </c>
      <c r="AN650" s="37">
        <v>0</v>
      </c>
      <c r="AO650" s="37">
        <v>0</v>
      </c>
      <c r="AP650" s="37">
        <v>0</v>
      </c>
      <c r="AQ650" s="37">
        <v>0</v>
      </c>
      <c r="AR650" s="37">
        <v>0</v>
      </c>
      <c r="AS650" s="59">
        <v>0</v>
      </c>
      <c r="AT650" s="59">
        <v>0</v>
      </c>
      <c r="AU650" s="45"/>
      <c r="AV650" s="37">
        <v>0</v>
      </c>
      <c r="AW650" s="37">
        <v>0</v>
      </c>
      <c r="AX650" s="37">
        <v>0</v>
      </c>
      <c r="AY650" s="37">
        <v>0</v>
      </c>
      <c r="AZ650" s="37">
        <v>0</v>
      </c>
      <c r="BA650" s="37">
        <v>0</v>
      </c>
      <c r="BB650" s="37">
        <v>0</v>
      </c>
      <c r="BC650" s="37">
        <v>0</v>
      </c>
      <c r="BD650" s="37">
        <v>0</v>
      </c>
      <c r="BE650" s="37">
        <v>0</v>
      </c>
      <c r="BF650" s="37">
        <v>0</v>
      </c>
      <c r="BG650" s="37">
        <v>0</v>
      </c>
      <c r="BH650" s="37">
        <v>0</v>
      </c>
      <c r="BI650" s="37">
        <v>0</v>
      </c>
      <c r="BJ650" s="37">
        <v>0</v>
      </c>
      <c r="BK650" s="59">
        <v>0</v>
      </c>
      <c r="BL650" s="37">
        <v>0</v>
      </c>
      <c r="BM650" s="37">
        <v>0</v>
      </c>
      <c r="BN650" s="37">
        <v>0</v>
      </c>
      <c r="BO650" s="37">
        <v>0</v>
      </c>
      <c r="BP650" s="37">
        <v>0</v>
      </c>
      <c r="BQ650" s="37">
        <v>0</v>
      </c>
      <c r="BR650" s="37">
        <v>0</v>
      </c>
      <c r="BS650" s="37">
        <v>0</v>
      </c>
      <c r="BT650" s="37">
        <v>0</v>
      </c>
      <c r="BU650" s="37">
        <v>0</v>
      </c>
      <c r="BV650" s="37">
        <v>0</v>
      </c>
      <c r="BW650" s="59">
        <v>0</v>
      </c>
      <c r="BX650" s="59">
        <v>0</v>
      </c>
      <c r="BZ650" s="37">
        <v>0</v>
      </c>
      <c r="CA650" s="37">
        <v>0</v>
      </c>
      <c r="CB650" s="37">
        <v>0</v>
      </c>
      <c r="CC650" s="37">
        <v>0</v>
      </c>
      <c r="CD650" s="37">
        <v>0</v>
      </c>
      <c r="CE650" s="37">
        <v>0</v>
      </c>
      <c r="CF650" s="37">
        <v>0</v>
      </c>
      <c r="CG650" s="59">
        <v>0</v>
      </c>
      <c r="CH650" s="37">
        <v>0</v>
      </c>
      <c r="CI650" s="37">
        <v>0</v>
      </c>
      <c r="CJ650" s="37">
        <v>0</v>
      </c>
      <c r="CK650" s="37">
        <v>0</v>
      </c>
      <c r="CL650" s="37">
        <v>0</v>
      </c>
      <c r="CM650" s="37">
        <v>0</v>
      </c>
      <c r="CN650" s="59">
        <v>0</v>
      </c>
      <c r="CO650" s="59">
        <v>0</v>
      </c>
      <c r="CP650" s="58"/>
      <c r="CQ650" s="3">
        <v>0</v>
      </c>
    </row>
    <row r="651" spans="1:95" customFormat="1" x14ac:dyDescent="0.2">
      <c r="A651" s="33">
        <v>0</v>
      </c>
      <c r="B651" s="33">
        <v>0</v>
      </c>
      <c r="C651" s="33">
        <v>0</v>
      </c>
      <c r="D651" s="43">
        <v>0</v>
      </c>
      <c r="E651" s="43">
        <v>0</v>
      </c>
      <c r="F651" s="43">
        <v>0</v>
      </c>
      <c r="G651" s="43">
        <v>0</v>
      </c>
      <c r="H651" s="43">
        <v>0</v>
      </c>
      <c r="I651" s="43">
        <v>0</v>
      </c>
      <c r="J651" s="43">
        <v>0</v>
      </c>
      <c r="K651" s="43">
        <v>0</v>
      </c>
      <c r="L651" s="43">
        <v>0</v>
      </c>
      <c r="M651" s="43">
        <v>0</v>
      </c>
      <c r="N651" s="43">
        <v>0</v>
      </c>
      <c r="O651" s="43">
        <v>0</v>
      </c>
      <c r="P651" s="47">
        <v>0</v>
      </c>
      <c r="R651" s="37">
        <v>0</v>
      </c>
      <c r="S651" s="37">
        <v>0</v>
      </c>
      <c r="T651" s="37">
        <v>0</v>
      </c>
      <c r="U651" s="37">
        <v>0</v>
      </c>
      <c r="V651" s="37">
        <v>0</v>
      </c>
      <c r="W651" s="37">
        <v>0</v>
      </c>
      <c r="X651" s="37">
        <v>0</v>
      </c>
      <c r="Y651" s="37">
        <v>0</v>
      </c>
      <c r="Z651" s="37">
        <v>0</v>
      </c>
      <c r="AA651" s="37">
        <v>0</v>
      </c>
      <c r="AB651" s="37">
        <v>0</v>
      </c>
      <c r="AC651" s="37">
        <v>0</v>
      </c>
      <c r="AD651" s="37">
        <v>0</v>
      </c>
      <c r="AE651" s="37">
        <v>0</v>
      </c>
      <c r="AF651" s="37">
        <v>0</v>
      </c>
      <c r="AG651" s="59">
        <v>0</v>
      </c>
      <c r="AH651" s="37">
        <v>0</v>
      </c>
      <c r="AI651" s="37">
        <v>0</v>
      </c>
      <c r="AJ651" s="37">
        <v>0</v>
      </c>
      <c r="AK651" s="37">
        <v>0</v>
      </c>
      <c r="AL651" s="37">
        <v>0</v>
      </c>
      <c r="AM651" s="37">
        <v>0</v>
      </c>
      <c r="AN651" s="37">
        <v>0</v>
      </c>
      <c r="AO651" s="37">
        <v>0</v>
      </c>
      <c r="AP651" s="37">
        <v>0</v>
      </c>
      <c r="AQ651" s="37">
        <v>0</v>
      </c>
      <c r="AR651" s="37">
        <v>0</v>
      </c>
      <c r="AS651" s="59">
        <v>0</v>
      </c>
      <c r="AT651" s="59">
        <v>0</v>
      </c>
      <c r="AU651" s="45"/>
      <c r="AV651" s="37">
        <v>0</v>
      </c>
      <c r="AW651" s="37">
        <v>0</v>
      </c>
      <c r="AX651" s="37">
        <v>0</v>
      </c>
      <c r="AY651" s="37">
        <v>0</v>
      </c>
      <c r="AZ651" s="37">
        <v>0</v>
      </c>
      <c r="BA651" s="37">
        <v>0</v>
      </c>
      <c r="BB651" s="37">
        <v>0</v>
      </c>
      <c r="BC651" s="37">
        <v>0</v>
      </c>
      <c r="BD651" s="37">
        <v>0</v>
      </c>
      <c r="BE651" s="37">
        <v>0</v>
      </c>
      <c r="BF651" s="37">
        <v>0</v>
      </c>
      <c r="BG651" s="37">
        <v>0</v>
      </c>
      <c r="BH651" s="37">
        <v>0</v>
      </c>
      <c r="BI651" s="37">
        <v>0</v>
      </c>
      <c r="BJ651" s="37">
        <v>0</v>
      </c>
      <c r="BK651" s="59">
        <v>0</v>
      </c>
      <c r="BL651" s="37">
        <v>0</v>
      </c>
      <c r="BM651" s="37">
        <v>0</v>
      </c>
      <c r="BN651" s="37">
        <v>0</v>
      </c>
      <c r="BO651" s="37">
        <v>0</v>
      </c>
      <c r="BP651" s="37">
        <v>0</v>
      </c>
      <c r="BQ651" s="37">
        <v>0</v>
      </c>
      <c r="BR651" s="37">
        <v>0</v>
      </c>
      <c r="BS651" s="37">
        <v>0</v>
      </c>
      <c r="BT651" s="37">
        <v>0</v>
      </c>
      <c r="BU651" s="37">
        <v>0</v>
      </c>
      <c r="BV651" s="37">
        <v>0</v>
      </c>
      <c r="BW651" s="59">
        <v>0</v>
      </c>
      <c r="BX651" s="59">
        <v>0</v>
      </c>
      <c r="BZ651" s="37">
        <v>0</v>
      </c>
      <c r="CA651" s="37">
        <v>0</v>
      </c>
      <c r="CB651" s="37">
        <v>0</v>
      </c>
      <c r="CC651" s="37">
        <v>0</v>
      </c>
      <c r="CD651" s="37">
        <v>0</v>
      </c>
      <c r="CE651" s="37">
        <v>0</v>
      </c>
      <c r="CF651" s="37">
        <v>0</v>
      </c>
      <c r="CG651" s="59">
        <v>0</v>
      </c>
      <c r="CH651" s="37">
        <v>0</v>
      </c>
      <c r="CI651" s="37">
        <v>0</v>
      </c>
      <c r="CJ651" s="37">
        <v>0</v>
      </c>
      <c r="CK651" s="37">
        <v>0</v>
      </c>
      <c r="CL651" s="37">
        <v>0</v>
      </c>
      <c r="CM651" s="37">
        <v>0</v>
      </c>
      <c r="CN651" s="59">
        <v>0</v>
      </c>
      <c r="CO651" s="59">
        <v>0</v>
      </c>
      <c r="CP651" s="58"/>
      <c r="CQ651" s="3">
        <v>0</v>
      </c>
    </row>
    <row r="652" spans="1:95" customFormat="1" x14ac:dyDescent="0.2">
      <c r="A652" s="33">
        <v>0</v>
      </c>
      <c r="B652" s="33">
        <v>0</v>
      </c>
      <c r="C652" s="33">
        <v>0</v>
      </c>
      <c r="D652" s="43">
        <v>0</v>
      </c>
      <c r="E652" s="43">
        <v>0</v>
      </c>
      <c r="F652" s="43">
        <v>0</v>
      </c>
      <c r="G652" s="43">
        <v>0</v>
      </c>
      <c r="H652" s="43">
        <v>0</v>
      </c>
      <c r="I652" s="43">
        <v>0</v>
      </c>
      <c r="J652" s="43">
        <v>0</v>
      </c>
      <c r="K652" s="43">
        <v>0</v>
      </c>
      <c r="L652" s="43">
        <v>0</v>
      </c>
      <c r="M652" s="43">
        <v>0</v>
      </c>
      <c r="N652" s="43">
        <v>0</v>
      </c>
      <c r="O652" s="43">
        <v>0</v>
      </c>
      <c r="P652" s="47">
        <v>0</v>
      </c>
      <c r="R652" s="37">
        <v>0</v>
      </c>
      <c r="S652" s="37">
        <v>0</v>
      </c>
      <c r="T652" s="37">
        <v>0</v>
      </c>
      <c r="U652" s="37">
        <v>0</v>
      </c>
      <c r="V652" s="37">
        <v>0</v>
      </c>
      <c r="W652" s="37">
        <v>0</v>
      </c>
      <c r="X652" s="37">
        <v>0</v>
      </c>
      <c r="Y652" s="37">
        <v>0</v>
      </c>
      <c r="Z652" s="37">
        <v>0</v>
      </c>
      <c r="AA652" s="37">
        <v>0</v>
      </c>
      <c r="AB652" s="37">
        <v>0</v>
      </c>
      <c r="AC652" s="37">
        <v>0</v>
      </c>
      <c r="AD652" s="37">
        <v>0</v>
      </c>
      <c r="AE652" s="37">
        <v>0</v>
      </c>
      <c r="AF652" s="37">
        <v>0</v>
      </c>
      <c r="AG652" s="59">
        <v>0</v>
      </c>
      <c r="AH652" s="37">
        <v>0</v>
      </c>
      <c r="AI652" s="37">
        <v>0</v>
      </c>
      <c r="AJ652" s="37">
        <v>0</v>
      </c>
      <c r="AK652" s="37">
        <v>0</v>
      </c>
      <c r="AL652" s="37">
        <v>0</v>
      </c>
      <c r="AM652" s="37">
        <v>0</v>
      </c>
      <c r="AN652" s="37">
        <v>0</v>
      </c>
      <c r="AO652" s="37">
        <v>0</v>
      </c>
      <c r="AP652" s="37">
        <v>0</v>
      </c>
      <c r="AQ652" s="37">
        <v>0</v>
      </c>
      <c r="AR652" s="37">
        <v>0</v>
      </c>
      <c r="AS652" s="59">
        <v>0</v>
      </c>
      <c r="AT652" s="59">
        <v>0</v>
      </c>
      <c r="AU652" s="45"/>
      <c r="AV652" s="37">
        <v>0</v>
      </c>
      <c r="AW652" s="37">
        <v>0</v>
      </c>
      <c r="AX652" s="37">
        <v>0</v>
      </c>
      <c r="AY652" s="37">
        <v>0</v>
      </c>
      <c r="AZ652" s="37">
        <v>0</v>
      </c>
      <c r="BA652" s="37">
        <v>0</v>
      </c>
      <c r="BB652" s="37">
        <v>0</v>
      </c>
      <c r="BC652" s="37">
        <v>0</v>
      </c>
      <c r="BD652" s="37">
        <v>0</v>
      </c>
      <c r="BE652" s="37">
        <v>0</v>
      </c>
      <c r="BF652" s="37">
        <v>0</v>
      </c>
      <c r="BG652" s="37">
        <v>0</v>
      </c>
      <c r="BH652" s="37">
        <v>0</v>
      </c>
      <c r="BI652" s="37">
        <v>0</v>
      </c>
      <c r="BJ652" s="37">
        <v>0</v>
      </c>
      <c r="BK652" s="59">
        <v>0</v>
      </c>
      <c r="BL652" s="37">
        <v>0</v>
      </c>
      <c r="BM652" s="37">
        <v>0</v>
      </c>
      <c r="BN652" s="37">
        <v>0</v>
      </c>
      <c r="BO652" s="37">
        <v>0</v>
      </c>
      <c r="BP652" s="37">
        <v>0</v>
      </c>
      <c r="BQ652" s="37">
        <v>0</v>
      </c>
      <c r="BR652" s="37">
        <v>0</v>
      </c>
      <c r="BS652" s="37">
        <v>0</v>
      </c>
      <c r="BT652" s="37">
        <v>0</v>
      </c>
      <c r="BU652" s="37">
        <v>0</v>
      </c>
      <c r="BV652" s="37">
        <v>0</v>
      </c>
      <c r="BW652" s="59">
        <v>0</v>
      </c>
      <c r="BX652" s="59">
        <v>0</v>
      </c>
      <c r="BZ652" s="37">
        <v>0</v>
      </c>
      <c r="CA652" s="37">
        <v>0</v>
      </c>
      <c r="CB652" s="37">
        <v>0</v>
      </c>
      <c r="CC652" s="37">
        <v>0</v>
      </c>
      <c r="CD652" s="37">
        <v>0</v>
      </c>
      <c r="CE652" s="37">
        <v>0</v>
      </c>
      <c r="CF652" s="37">
        <v>0</v>
      </c>
      <c r="CG652" s="59">
        <v>0</v>
      </c>
      <c r="CH652" s="37">
        <v>0</v>
      </c>
      <c r="CI652" s="37">
        <v>0</v>
      </c>
      <c r="CJ652" s="37">
        <v>0</v>
      </c>
      <c r="CK652" s="37">
        <v>0</v>
      </c>
      <c r="CL652" s="37">
        <v>0</v>
      </c>
      <c r="CM652" s="37">
        <v>0</v>
      </c>
      <c r="CN652" s="59">
        <v>0</v>
      </c>
      <c r="CO652" s="59">
        <v>0</v>
      </c>
      <c r="CP652" s="58"/>
      <c r="CQ652" s="3">
        <v>0</v>
      </c>
    </row>
    <row r="653" spans="1:95" customFormat="1" x14ac:dyDescent="0.2">
      <c r="A653" s="33">
        <v>0</v>
      </c>
      <c r="B653" s="33">
        <v>0</v>
      </c>
      <c r="C653" s="33">
        <v>0</v>
      </c>
      <c r="D653" s="43">
        <v>0</v>
      </c>
      <c r="E653" s="43">
        <v>0</v>
      </c>
      <c r="F653" s="43">
        <v>0</v>
      </c>
      <c r="G653" s="43">
        <v>0</v>
      </c>
      <c r="H653" s="43">
        <v>0</v>
      </c>
      <c r="I653" s="43">
        <v>0</v>
      </c>
      <c r="J653" s="43">
        <v>0</v>
      </c>
      <c r="K653" s="43">
        <v>0</v>
      </c>
      <c r="L653" s="43">
        <v>0</v>
      </c>
      <c r="M653" s="43">
        <v>0</v>
      </c>
      <c r="N653" s="43">
        <v>0</v>
      </c>
      <c r="O653" s="43">
        <v>0</v>
      </c>
      <c r="P653" s="47">
        <v>0</v>
      </c>
      <c r="R653" s="37">
        <v>0</v>
      </c>
      <c r="S653" s="37">
        <v>0</v>
      </c>
      <c r="T653" s="37">
        <v>0</v>
      </c>
      <c r="U653" s="37">
        <v>0</v>
      </c>
      <c r="V653" s="37">
        <v>0</v>
      </c>
      <c r="W653" s="37">
        <v>0</v>
      </c>
      <c r="X653" s="37">
        <v>0</v>
      </c>
      <c r="Y653" s="37">
        <v>0</v>
      </c>
      <c r="Z653" s="37">
        <v>0</v>
      </c>
      <c r="AA653" s="37">
        <v>0</v>
      </c>
      <c r="AB653" s="37">
        <v>0</v>
      </c>
      <c r="AC653" s="37">
        <v>0</v>
      </c>
      <c r="AD653" s="37">
        <v>0</v>
      </c>
      <c r="AE653" s="37">
        <v>0</v>
      </c>
      <c r="AF653" s="37">
        <v>0</v>
      </c>
      <c r="AG653" s="59">
        <v>0</v>
      </c>
      <c r="AH653" s="37">
        <v>0</v>
      </c>
      <c r="AI653" s="37">
        <v>0</v>
      </c>
      <c r="AJ653" s="37">
        <v>0</v>
      </c>
      <c r="AK653" s="37">
        <v>0</v>
      </c>
      <c r="AL653" s="37">
        <v>0</v>
      </c>
      <c r="AM653" s="37">
        <v>0</v>
      </c>
      <c r="AN653" s="37">
        <v>0</v>
      </c>
      <c r="AO653" s="37">
        <v>0</v>
      </c>
      <c r="AP653" s="37">
        <v>0</v>
      </c>
      <c r="AQ653" s="37">
        <v>0</v>
      </c>
      <c r="AR653" s="37">
        <v>0</v>
      </c>
      <c r="AS653" s="59">
        <v>0</v>
      </c>
      <c r="AT653" s="59">
        <v>0</v>
      </c>
      <c r="AU653" s="45"/>
      <c r="AV653" s="37">
        <v>0</v>
      </c>
      <c r="AW653" s="37">
        <v>0</v>
      </c>
      <c r="AX653" s="37">
        <v>0</v>
      </c>
      <c r="AY653" s="37">
        <v>0</v>
      </c>
      <c r="AZ653" s="37">
        <v>0</v>
      </c>
      <c r="BA653" s="37">
        <v>0</v>
      </c>
      <c r="BB653" s="37">
        <v>0</v>
      </c>
      <c r="BC653" s="37">
        <v>0</v>
      </c>
      <c r="BD653" s="37">
        <v>0</v>
      </c>
      <c r="BE653" s="37">
        <v>0</v>
      </c>
      <c r="BF653" s="37">
        <v>0</v>
      </c>
      <c r="BG653" s="37">
        <v>0</v>
      </c>
      <c r="BH653" s="37">
        <v>0</v>
      </c>
      <c r="BI653" s="37">
        <v>0</v>
      </c>
      <c r="BJ653" s="37">
        <v>0</v>
      </c>
      <c r="BK653" s="59">
        <v>0</v>
      </c>
      <c r="BL653" s="37">
        <v>0</v>
      </c>
      <c r="BM653" s="37">
        <v>0</v>
      </c>
      <c r="BN653" s="37">
        <v>0</v>
      </c>
      <c r="BO653" s="37">
        <v>0</v>
      </c>
      <c r="BP653" s="37">
        <v>0</v>
      </c>
      <c r="BQ653" s="37">
        <v>0</v>
      </c>
      <c r="BR653" s="37">
        <v>0</v>
      </c>
      <c r="BS653" s="37">
        <v>0</v>
      </c>
      <c r="BT653" s="37">
        <v>0</v>
      </c>
      <c r="BU653" s="37">
        <v>0</v>
      </c>
      <c r="BV653" s="37">
        <v>0</v>
      </c>
      <c r="BW653" s="59">
        <v>0</v>
      </c>
      <c r="BX653" s="59">
        <v>0</v>
      </c>
      <c r="BZ653" s="37">
        <v>0</v>
      </c>
      <c r="CA653" s="37">
        <v>0</v>
      </c>
      <c r="CB653" s="37">
        <v>0</v>
      </c>
      <c r="CC653" s="37">
        <v>0</v>
      </c>
      <c r="CD653" s="37">
        <v>0</v>
      </c>
      <c r="CE653" s="37">
        <v>0</v>
      </c>
      <c r="CF653" s="37">
        <v>0</v>
      </c>
      <c r="CG653" s="59">
        <v>0</v>
      </c>
      <c r="CH653" s="37">
        <v>0</v>
      </c>
      <c r="CI653" s="37">
        <v>0</v>
      </c>
      <c r="CJ653" s="37">
        <v>0</v>
      </c>
      <c r="CK653" s="37">
        <v>0</v>
      </c>
      <c r="CL653" s="37">
        <v>0</v>
      </c>
      <c r="CM653" s="37">
        <v>0</v>
      </c>
      <c r="CN653" s="59">
        <v>0</v>
      </c>
      <c r="CO653" s="59">
        <v>0</v>
      </c>
      <c r="CP653" s="58"/>
      <c r="CQ653" s="3">
        <v>0</v>
      </c>
    </row>
    <row r="654" spans="1:95" customFormat="1" x14ac:dyDescent="0.2">
      <c r="A654" s="33">
        <v>0</v>
      </c>
      <c r="B654" s="33">
        <v>0</v>
      </c>
      <c r="C654" s="33">
        <v>0</v>
      </c>
      <c r="D654" s="43">
        <v>0</v>
      </c>
      <c r="E654" s="43">
        <v>0</v>
      </c>
      <c r="F654" s="43">
        <v>0</v>
      </c>
      <c r="G654" s="43">
        <v>0</v>
      </c>
      <c r="H654" s="43">
        <v>0</v>
      </c>
      <c r="I654" s="43">
        <v>0</v>
      </c>
      <c r="J654" s="43">
        <v>0</v>
      </c>
      <c r="K654" s="43">
        <v>0</v>
      </c>
      <c r="L654" s="43">
        <v>0</v>
      </c>
      <c r="M654" s="43">
        <v>0</v>
      </c>
      <c r="N654" s="43">
        <v>0</v>
      </c>
      <c r="O654" s="43">
        <v>0</v>
      </c>
      <c r="P654" s="47">
        <v>0</v>
      </c>
      <c r="R654" s="37">
        <v>0</v>
      </c>
      <c r="S654" s="37">
        <v>0</v>
      </c>
      <c r="T654" s="37">
        <v>0</v>
      </c>
      <c r="U654" s="37">
        <v>0</v>
      </c>
      <c r="V654" s="37">
        <v>0</v>
      </c>
      <c r="W654" s="37">
        <v>0</v>
      </c>
      <c r="X654" s="37">
        <v>0</v>
      </c>
      <c r="Y654" s="37">
        <v>0</v>
      </c>
      <c r="Z654" s="37">
        <v>0</v>
      </c>
      <c r="AA654" s="37">
        <v>0</v>
      </c>
      <c r="AB654" s="37">
        <v>0</v>
      </c>
      <c r="AC654" s="37">
        <v>0</v>
      </c>
      <c r="AD654" s="37">
        <v>0</v>
      </c>
      <c r="AE654" s="37">
        <v>0</v>
      </c>
      <c r="AF654" s="37">
        <v>0</v>
      </c>
      <c r="AG654" s="59">
        <v>0</v>
      </c>
      <c r="AH654" s="37">
        <v>0</v>
      </c>
      <c r="AI654" s="37">
        <v>0</v>
      </c>
      <c r="AJ654" s="37">
        <v>0</v>
      </c>
      <c r="AK654" s="37">
        <v>0</v>
      </c>
      <c r="AL654" s="37">
        <v>0</v>
      </c>
      <c r="AM654" s="37">
        <v>0</v>
      </c>
      <c r="AN654" s="37">
        <v>0</v>
      </c>
      <c r="AO654" s="37">
        <v>0</v>
      </c>
      <c r="AP654" s="37">
        <v>0</v>
      </c>
      <c r="AQ654" s="37">
        <v>0</v>
      </c>
      <c r="AR654" s="37">
        <v>0</v>
      </c>
      <c r="AS654" s="59">
        <v>0</v>
      </c>
      <c r="AT654" s="59">
        <v>0</v>
      </c>
      <c r="AU654" s="45"/>
      <c r="AV654" s="37">
        <v>0</v>
      </c>
      <c r="AW654" s="37">
        <v>0</v>
      </c>
      <c r="AX654" s="37">
        <v>0</v>
      </c>
      <c r="AY654" s="37">
        <v>0</v>
      </c>
      <c r="AZ654" s="37">
        <v>0</v>
      </c>
      <c r="BA654" s="37">
        <v>0</v>
      </c>
      <c r="BB654" s="37">
        <v>0</v>
      </c>
      <c r="BC654" s="37">
        <v>0</v>
      </c>
      <c r="BD654" s="37">
        <v>0</v>
      </c>
      <c r="BE654" s="37">
        <v>0</v>
      </c>
      <c r="BF654" s="37">
        <v>0</v>
      </c>
      <c r="BG654" s="37">
        <v>0</v>
      </c>
      <c r="BH654" s="37">
        <v>0</v>
      </c>
      <c r="BI654" s="37">
        <v>0</v>
      </c>
      <c r="BJ654" s="37">
        <v>0</v>
      </c>
      <c r="BK654" s="59">
        <v>0</v>
      </c>
      <c r="BL654" s="37">
        <v>0</v>
      </c>
      <c r="BM654" s="37">
        <v>0</v>
      </c>
      <c r="BN654" s="37">
        <v>0</v>
      </c>
      <c r="BO654" s="37">
        <v>0</v>
      </c>
      <c r="BP654" s="37">
        <v>0</v>
      </c>
      <c r="BQ654" s="37">
        <v>0</v>
      </c>
      <c r="BR654" s="37">
        <v>0</v>
      </c>
      <c r="BS654" s="37">
        <v>0</v>
      </c>
      <c r="BT654" s="37">
        <v>0</v>
      </c>
      <c r="BU654" s="37">
        <v>0</v>
      </c>
      <c r="BV654" s="37">
        <v>0</v>
      </c>
      <c r="BW654" s="59">
        <v>0</v>
      </c>
      <c r="BX654" s="59">
        <v>0</v>
      </c>
      <c r="BZ654" s="37">
        <v>0</v>
      </c>
      <c r="CA654" s="37">
        <v>0</v>
      </c>
      <c r="CB654" s="37">
        <v>0</v>
      </c>
      <c r="CC654" s="37">
        <v>0</v>
      </c>
      <c r="CD654" s="37">
        <v>0</v>
      </c>
      <c r="CE654" s="37">
        <v>0</v>
      </c>
      <c r="CF654" s="37">
        <v>0</v>
      </c>
      <c r="CG654" s="59">
        <v>0</v>
      </c>
      <c r="CH654" s="37">
        <v>0</v>
      </c>
      <c r="CI654" s="37">
        <v>0</v>
      </c>
      <c r="CJ654" s="37">
        <v>0</v>
      </c>
      <c r="CK654" s="37">
        <v>0</v>
      </c>
      <c r="CL654" s="37">
        <v>0</v>
      </c>
      <c r="CM654" s="37">
        <v>0</v>
      </c>
      <c r="CN654" s="59">
        <v>0</v>
      </c>
      <c r="CO654" s="59">
        <v>0</v>
      </c>
      <c r="CP654" s="58"/>
      <c r="CQ654" s="3">
        <v>0</v>
      </c>
    </row>
    <row r="655" spans="1:95" customFormat="1" x14ac:dyDescent="0.2">
      <c r="A655" s="33">
        <v>0</v>
      </c>
      <c r="B655" s="33">
        <v>0</v>
      </c>
      <c r="C655" s="33">
        <v>0</v>
      </c>
      <c r="D655" s="43">
        <v>0</v>
      </c>
      <c r="E655" s="43">
        <v>0</v>
      </c>
      <c r="F655" s="43">
        <v>0</v>
      </c>
      <c r="G655" s="43">
        <v>0</v>
      </c>
      <c r="H655" s="43">
        <v>0</v>
      </c>
      <c r="I655" s="43">
        <v>0</v>
      </c>
      <c r="J655" s="43">
        <v>0</v>
      </c>
      <c r="K655" s="43">
        <v>0</v>
      </c>
      <c r="L655" s="43">
        <v>0</v>
      </c>
      <c r="M655" s="43">
        <v>0</v>
      </c>
      <c r="N655" s="43">
        <v>0</v>
      </c>
      <c r="O655" s="43">
        <v>0</v>
      </c>
      <c r="P655" s="47">
        <v>0</v>
      </c>
      <c r="R655" s="37">
        <v>0</v>
      </c>
      <c r="S655" s="37">
        <v>0</v>
      </c>
      <c r="T655" s="37">
        <v>0</v>
      </c>
      <c r="U655" s="37">
        <v>0</v>
      </c>
      <c r="V655" s="37">
        <v>0</v>
      </c>
      <c r="W655" s="37">
        <v>0</v>
      </c>
      <c r="X655" s="37">
        <v>0</v>
      </c>
      <c r="Y655" s="37">
        <v>0</v>
      </c>
      <c r="Z655" s="37">
        <v>0</v>
      </c>
      <c r="AA655" s="37">
        <v>0</v>
      </c>
      <c r="AB655" s="37">
        <v>0</v>
      </c>
      <c r="AC655" s="37">
        <v>0</v>
      </c>
      <c r="AD655" s="37">
        <v>0</v>
      </c>
      <c r="AE655" s="37">
        <v>0</v>
      </c>
      <c r="AF655" s="37">
        <v>0</v>
      </c>
      <c r="AG655" s="59">
        <v>0</v>
      </c>
      <c r="AH655" s="37">
        <v>0</v>
      </c>
      <c r="AI655" s="37">
        <v>0</v>
      </c>
      <c r="AJ655" s="37">
        <v>0</v>
      </c>
      <c r="AK655" s="37">
        <v>0</v>
      </c>
      <c r="AL655" s="37">
        <v>0</v>
      </c>
      <c r="AM655" s="37">
        <v>0</v>
      </c>
      <c r="AN655" s="37">
        <v>0</v>
      </c>
      <c r="AO655" s="37">
        <v>0</v>
      </c>
      <c r="AP655" s="37">
        <v>0</v>
      </c>
      <c r="AQ655" s="37">
        <v>0</v>
      </c>
      <c r="AR655" s="37">
        <v>0</v>
      </c>
      <c r="AS655" s="59">
        <v>0</v>
      </c>
      <c r="AT655" s="59">
        <v>0</v>
      </c>
      <c r="AU655" s="45"/>
      <c r="AV655" s="37">
        <v>0</v>
      </c>
      <c r="AW655" s="37">
        <v>0</v>
      </c>
      <c r="AX655" s="37">
        <v>0</v>
      </c>
      <c r="AY655" s="37">
        <v>0</v>
      </c>
      <c r="AZ655" s="37">
        <v>0</v>
      </c>
      <c r="BA655" s="37">
        <v>0</v>
      </c>
      <c r="BB655" s="37">
        <v>0</v>
      </c>
      <c r="BC655" s="37">
        <v>0</v>
      </c>
      <c r="BD655" s="37">
        <v>0</v>
      </c>
      <c r="BE655" s="37">
        <v>0</v>
      </c>
      <c r="BF655" s="37">
        <v>0</v>
      </c>
      <c r="BG655" s="37">
        <v>0</v>
      </c>
      <c r="BH655" s="37">
        <v>0</v>
      </c>
      <c r="BI655" s="37">
        <v>0</v>
      </c>
      <c r="BJ655" s="37">
        <v>0</v>
      </c>
      <c r="BK655" s="59">
        <v>0</v>
      </c>
      <c r="BL655" s="37">
        <v>0</v>
      </c>
      <c r="BM655" s="37">
        <v>0</v>
      </c>
      <c r="BN655" s="37">
        <v>0</v>
      </c>
      <c r="BO655" s="37">
        <v>0</v>
      </c>
      <c r="BP655" s="37">
        <v>0</v>
      </c>
      <c r="BQ655" s="37">
        <v>0</v>
      </c>
      <c r="BR655" s="37">
        <v>0</v>
      </c>
      <c r="BS655" s="37">
        <v>0</v>
      </c>
      <c r="BT655" s="37">
        <v>0</v>
      </c>
      <c r="BU655" s="37">
        <v>0</v>
      </c>
      <c r="BV655" s="37">
        <v>0</v>
      </c>
      <c r="BW655" s="59">
        <v>0</v>
      </c>
      <c r="BX655" s="59">
        <v>0</v>
      </c>
      <c r="BZ655" s="37">
        <v>0</v>
      </c>
      <c r="CA655" s="37">
        <v>0</v>
      </c>
      <c r="CB655" s="37">
        <v>0</v>
      </c>
      <c r="CC655" s="37">
        <v>0</v>
      </c>
      <c r="CD655" s="37">
        <v>0</v>
      </c>
      <c r="CE655" s="37">
        <v>0</v>
      </c>
      <c r="CF655" s="37">
        <v>0</v>
      </c>
      <c r="CG655" s="59">
        <v>0</v>
      </c>
      <c r="CH655" s="37">
        <v>0</v>
      </c>
      <c r="CI655" s="37">
        <v>0</v>
      </c>
      <c r="CJ655" s="37">
        <v>0</v>
      </c>
      <c r="CK655" s="37">
        <v>0</v>
      </c>
      <c r="CL655" s="37">
        <v>0</v>
      </c>
      <c r="CM655" s="37">
        <v>0</v>
      </c>
      <c r="CN655" s="59">
        <v>0</v>
      </c>
      <c r="CO655" s="59">
        <v>0</v>
      </c>
      <c r="CP655" s="58"/>
      <c r="CQ655" s="3">
        <v>0</v>
      </c>
    </row>
    <row r="656" spans="1:95" customFormat="1" x14ac:dyDescent="0.2">
      <c r="A656" s="33">
        <v>0</v>
      </c>
      <c r="B656" s="33">
        <v>0</v>
      </c>
      <c r="C656" s="33">
        <v>0</v>
      </c>
      <c r="D656" s="43">
        <v>0</v>
      </c>
      <c r="E656" s="43">
        <v>0</v>
      </c>
      <c r="F656" s="43">
        <v>0</v>
      </c>
      <c r="G656" s="43">
        <v>0</v>
      </c>
      <c r="H656" s="43">
        <v>0</v>
      </c>
      <c r="I656" s="43">
        <v>0</v>
      </c>
      <c r="J656" s="43">
        <v>0</v>
      </c>
      <c r="K656" s="43">
        <v>0</v>
      </c>
      <c r="L656" s="43">
        <v>0</v>
      </c>
      <c r="M656" s="43">
        <v>0</v>
      </c>
      <c r="N656" s="43">
        <v>0</v>
      </c>
      <c r="O656" s="43">
        <v>0</v>
      </c>
      <c r="P656" s="47">
        <v>0</v>
      </c>
      <c r="R656" s="37">
        <v>0</v>
      </c>
      <c r="S656" s="37">
        <v>0</v>
      </c>
      <c r="T656" s="37">
        <v>0</v>
      </c>
      <c r="U656" s="37">
        <v>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7">
        <v>0</v>
      </c>
      <c r="AB656" s="37">
        <v>0</v>
      </c>
      <c r="AC656" s="37">
        <v>0</v>
      </c>
      <c r="AD656" s="37">
        <v>0</v>
      </c>
      <c r="AE656" s="37">
        <v>0</v>
      </c>
      <c r="AF656" s="37">
        <v>0</v>
      </c>
      <c r="AG656" s="59">
        <v>0</v>
      </c>
      <c r="AH656" s="37">
        <v>0</v>
      </c>
      <c r="AI656" s="37">
        <v>0</v>
      </c>
      <c r="AJ656" s="37">
        <v>0</v>
      </c>
      <c r="AK656" s="37">
        <v>0</v>
      </c>
      <c r="AL656" s="37">
        <v>0</v>
      </c>
      <c r="AM656" s="37">
        <v>0</v>
      </c>
      <c r="AN656" s="37">
        <v>0</v>
      </c>
      <c r="AO656" s="37">
        <v>0</v>
      </c>
      <c r="AP656" s="37">
        <v>0</v>
      </c>
      <c r="AQ656" s="37">
        <v>0</v>
      </c>
      <c r="AR656" s="37">
        <v>0</v>
      </c>
      <c r="AS656" s="59">
        <v>0</v>
      </c>
      <c r="AT656" s="59">
        <v>0</v>
      </c>
      <c r="AU656" s="45"/>
      <c r="AV656" s="37">
        <v>0</v>
      </c>
      <c r="AW656" s="37">
        <v>0</v>
      </c>
      <c r="AX656" s="37">
        <v>0</v>
      </c>
      <c r="AY656" s="37">
        <v>0</v>
      </c>
      <c r="AZ656" s="37">
        <v>0</v>
      </c>
      <c r="BA656" s="37">
        <v>0</v>
      </c>
      <c r="BB656" s="37">
        <v>0</v>
      </c>
      <c r="BC656" s="37">
        <v>0</v>
      </c>
      <c r="BD656" s="37">
        <v>0</v>
      </c>
      <c r="BE656" s="37">
        <v>0</v>
      </c>
      <c r="BF656" s="37">
        <v>0</v>
      </c>
      <c r="BG656" s="37">
        <v>0</v>
      </c>
      <c r="BH656" s="37">
        <v>0</v>
      </c>
      <c r="BI656" s="37">
        <v>0</v>
      </c>
      <c r="BJ656" s="37">
        <v>0</v>
      </c>
      <c r="BK656" s="59">
        <v>0</v>
      </c>
      <c r="BL656" s="37">
        <v>0</v>
      </c>
      <c r="BM656" s="37">
        <v>0</v>
      </c>
      <c r="BN656" s="37">
        <v>0</v>
      </c>
      <c r="BO656" s="37">
        <v>0</v>
      </c>
      <c r="BP656" s="37">
        <v>0</v>
      </c>
      <c r="BQ656" s="37">
        <v>0</v>
      </c>
      <c r="BR656" s="37">
        <v>0</v>
      </c>
      <c r="BS656" s="37">
        <v>0</v>
      </c>
      <c r="BT656" s="37">
        <v>0</v>
      </c>
      <c r="BU656" s="37">
        <v>0</v>
      </c>
      <c r="BV656" s="37">
        <v>0</v>
      </c>
      <c r="BW656" s="59">
        <v>0</v>
      </c>
      <c r="BX656" s="59">
        <v>0</v>
      </c>
      <c r="BZ656" s="37">
        <v>0</v>
      </c>
      <c r="CA656" s="37">
        <v>0</v>
      </c>
      <c r="CB656" s="37">
        <v>0</v>
      </c>
      <c r="CC656" s="37">
        <v>0</v>
      </c>
      <c r="CD656" s="37">
        <v>0</v>
      </c>
      <c r="CE656" s="37">
        <v>0</v>
      </c>
      <c r="CF656" s="37">
        <v>0</v>
      </c>
      <c r="CG656" s="59">
        <v>0</v>
      </c>
      <c r="CH656" s="37">
        <v>0</v>
      </c>
      <c r="CI656" s="37">
        <v>0</v>
      </c>
      <c r="CJ656" s="37">
        <v>0</v>
      </c>
      <c r="CK656" s="37">
        <v>0</v>
      </c>
      <c r="CL656" s="37">
        <v>0</v>
      </c>
      <c r="CM656" s="37">
        <v>0</v>
      </c>
      <c r="CN656" s="59">
        <v>0</v>
      </c>
      <c r="CO656" s="59">
        <v>0</v>
      </c>
      <c r="CP656" s="58"/>
      <c r="CQ656" s="3">
        <v>0</v>
      </c>
    </row>
    <row r="657" spans="1:95" customFormat="1" x14ac:dyDescent="0.2">
      <c r="A657" s="33">
        <v>0</v>
      </c>
      <c r="B657" s="33">
        <v>0</v>
      </c>
      <c r="C657" s="33">
        <v>0</v>
      </c>
      <c r="D657" s="43">
        <v>0</v>
      </c>
      <c r="E657" s="43">
        <v>0</v>
      </c>
      <c r="F657" s="43">
        <v>0</v>
      </c>
      <c r="G657" s="43">
        <v>0</v>
      </c>
      <c r="H657" s="43">
        <v>0</v>
      </c>
      <c r="I657" s="43">
        <v>0</v>
      </c>
      <c r="J657" s="43">
        <v>0</v>
      </c>
      <c r="K657" s="43">
        <v>0</v>
      </c>
      <c r="L657" s="43">
        <v>0</v>
      </c>
      <c r="M657" s="43">
        <v>0</v>
      </c>
      <c r="N657" s="43">
        <v>0</v>
      </c>
      <c r="O657" s="43">
        <v>0</v>
      </c>
      <c r="P657" s="4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59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59">
        <v>0</v>
      </c>
      <c r="AT657" s="59">
        <v>0</v>
      </c>
      <c r="AU657" s="45"/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>
        <v>0</v>
      </c>
      <c r="BB657" s="37">
        <v>0</v>
      </c>
      <c r="BC657" s="37">
        <v>0</v>
      </c>
      <c r="BD657" s="37">
        <v>0</v>
      </c>
      <c r="BE657" s="37">
        <v>0</v>
      </c>
      <c r="BF657" s="37">
        <v>0</v>
      </c>
      <c r="BG657" s="37">
        <v>0</v>
      </c>
      <c r="BH657" s="37">
        <v>0</v>
      </c>
      <c r="BI657" s="37">
        <v>0</v>
      </c>
      <c r="BJ657" s="37">
        <v>0</v>
      </c>
      <c r="BK657" s="59">
        <v>0</v>
      </c>
      <c r="BL657" s="37">
        <v>0</v>
      </c>
      <c r="BM657" s="37">
        <v>0</v>
      </c>
      <c r="BN657" s="37">
        <v>0</v>
      </c>
      <c r="BO657" s="37">
        <v>0</v>
      </c>
      <c r="BP657" s="37">
        <v>0</v>
      </c>
      <c r="BQ657" s="37">
        <v>0</v>
      </c>
      <c r="BR657" s="37">
        <v>0</v>
      </c>
      <c r="BS657" s="37">
        <v>0</v>
      </c>
      <c r="BT657" s="37">
        <v>0</v>
      </c>
      <c r="BU657" s="37">
        <v>0</v>
      </c>
      <c r="BV657" s="37">
        <v>0</v>
      </c>
      <c r="BW657" s="59">
        <v>0</v>
      </c>
      <c r="BX657" s="59">
        <v>0</v>
      </c>
      <c r="BZ657" s="37">
        <v>0</v>
      </c>
      <c r="CA657" s="37">
        <v>0</v>
      </c>
      <c r="CB657" s="37">
        <v>0</v>
      </c>
      <c r="CC657" s="37">
        <v>0</v>
      </c>
      <c r="CD657" s="37">
        <v>0</v>
      </c>
      <c r="CE657" s="37">
        <v>0</v>
      </c>
      <c r="CF657" s="37">
        <v>0</v>
      </c>
      <c r="CG657" s="59">
        <v>0</v>
      </c>
      <c r="CH657" s="37">
        <v>0</v>
      </c>
      <c r="CI657" s="37">
        <v>0</v>
      </c>
      <c r="CJ657" s="37">
        <v>0</v>
      </c>
      <c r="CK657" s="37">
        <v>0</v>
      </c>
      <c r="CL657" s="37">
        <v>0</v>
      </c>
      <c r="CM657" s="37">
        <v>0</v>
      </c>
      <c r="CN657" s="59">
        <v>0</v>
      </c>
      <c r="CO657" s="59">
        <v>0</v>
      </c>
      <c r="CP657" s="58"/>
      <c r="CQ657" s="3">
        <v>0</v>
      </c>
    </row>
    <row r="658" spans="1:95" customFormat="1" x14ac:dyDescent="0.2">
      <c r="A658" s="33">
        <v>0</v>
      </c>
      <c r="B658" s="33">
        <v>0</v>
      </c>
      <c r="C658" s="33">
        <v>0</v>
      </c>
      <c r="D658" s="43">
        <v>0</v>
      </c>
      <c r="E658" s="43">
        <v>0</v>
      </c>
      <c r="F658" s="43">
        <v>0</v>
      </c>
      <c r="G658" s="43">
        <v>0</v>
      </c>
      <c r="H658" s="43">
        <v>0</v>
      </c>
      <c r="I658" s="43">
        <v>0</v>
      </c>
      <c r="J658" s="43">
        <v>0</v>
      </c>
      <c r="K658" s="43">
        <v>0</v>
      </c>
      <c r="L658" s="43">
        <v>0</v>
      </c>
      <c r="M658" s="43">
        <v>0</v>
      </c>
      <c r="N658" s="43">
        <v>0</v>
      </c>
      <c r="O658" s="43">
        <v>0</v>
      </c>
      <c r="P658" s="47">
        <v>0</v>
      </c>
      <c r="R658" s="37">
        <v>0</v>
      </c>
      <c r="S658" s="37">
        <v>0</v>
      </c>
      <c r="T658" s="37">
        <v>0</v>
      </c>
      <c r="U658" s="37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7">
        <v>0</v>
      </c>
      <c r="AB658" s="37">
        <v>0</v>
      </c>
      <c r="AC658" s="37">
        <v>0</v>
      </c>
      <c r="AD658" s="37">
        <v>0</v>
      </c>
      <c r="AE658" s="37">
        <v>0</v>
      </c>
      <c r="AF658" s="37">
        <v>0</v>
      </c>
      <c r="AG658" s="59">
        <v>0</v>
      </c>
      <c r="AH658" s="37">
        <v>0</v>
      </c>
      <c r="AI658" s="37">
        <v>0</v>
      </c>
      <c r="AJ658" s="37">
        <v>0</v>
      </c>
      <c r="AK658" s="37">
        <v>0</v>
      </c>
      <c r="AL658" s="37">
        <v>0</v>
      </c>
      <c r="AM658" s="37">
        <v>0</v>
      </c>
      <c r="AN658" s="37">
        <v>0</v>
      </c>
      <c r="AO658" s="37">
        <v>0</v>
      </c>
      <c r="AP658" s="37">
        <v>0</v>
      </c>
      <c r="AQ658" s="37">
        <v>0</v>
      </c>
      <c r="AR658" s="37">
        <v>0</v>
      </c>
      <c r="AS658" s="59">
        <v>0</v>
      </c>
      <c r="AT658" s="59">
        <v>0</v>
      </c>
      <c r="AU658" s="45"/>
      <c r="AV658" s="37">
        <v>0</v>
      </c>
      <c r="AW658" s="37">
        <v>0</v>
      </c>
      <c r="AX658" s="37">
        <v>0</v>
      </c>
      <c r="AY658" s="37">
        <v>0</v>
      </c>
      <c r="AZ658" s="37">
        <v>0</v>
      </c>
      <c r="BA658" s="37">
        <v>0</v>
      </c>
      <c r="BB658" s="37">
        <v>0</v>
      </c>
      <c r="BC658" s="37">
        <v>0</v>
      </c>
      <c r="BD658" s="37">
        <v>0</v>
      </c>
      <c r="BE658" s="37">
        <v>0</v>
      </c>
      <c r="BF658" s="37">
        <v>0</v>
      </c>
      <c r="BG658" s="37">
        <v>0</v>
      </c>
      <c r="BH658" s="37">
        <v>0</v>
      </c>
      <c r="BI658" s="37">
        <v>0</v>
      </c>
      <c r="BJ658" s="37">
        <v>0</v>
      </c>
      <c r="BK658" s="59">
        <v>0</v>
      </c>
      <c r="BL658" s="37">
        <v>0</v>
      </c>
      <c r="BM658" s="37">
        <v>0</v>
      </c>
      <c r="BN658" s="37">
        <v>0</v>
      </c>
      <c r="BO658" s="37">
        <v>0</v>
      </c>
      <c r="BP658" s="37">
        <v>0</v>
      </c>
      <c r="BQ658" s="37">
        <v>0</v>
      </c>
      <c r="BR658" s="37">
        <v>0</v>
      </c>
      <c r="BS658" s="37">
        <v>0</v>
      </c>
      <c r="BT658" s="37">
        <v>0</v>
      </c>
      <c r="BU658" s="37">
        <v>0</v>
      </c>
      <c r="BV658" s="37">
        <v>0</v>
      </c>
      <c r="BW658" s="59">
        <v>0</v>
      </c>
      <c r="BX658" s="59">
        <v>0</v>
      </c>
      <c r="BZ658" s="37">
        <v>0</v>
      </c>
      <c r="CA658" s="37">
        <v>0</v>
      </c>
      <c r="CB658" s="37">
        <v>0</v>
      </c>
      <c r="CC658" s="37">
        <v>0</v>
      </c>
      <c r="CD658" s="37">
        <v>0</v>
      </c>
      <c r="CE658" s="37">
        <v>0</v>
      </c>
      <c r="CF658" s="37">
        <v>0</v>
      </c>
      <c r="CG658" s="59">
        <v>0</v>
      </c>
      <c r="CH658" s="37">
        <v>0</v>
      </c>
      <c r="CI658" s="37">
        <v>0</v>
      </c>
      <c r="CJ658" s="37">
        <v>0</v>
      </c>
      <c r="CK658" s="37">
        <v>0</v>
      </c>
      <c r="CL658" s="37">
        <v>0</v>
      </c>
      <c r="CM658" s="37">
        <v>0</v>
      </c>
      <c r="CN658" s="59">
        <v>0</v>
      </c>
      <c r="CO658" s="59">
        <v>0</v>
      </c>
      <c r="CP658" s="58"/>
      <c r="CQ658" s="3">
        <v>0</v>
      </c>
    </row>
    <row r="659" spans="1:95" customFormat="1" x14ac:dyDescent="0.2">
      <c r="A659" s="33">
        <v>0</v>
      </c>
      <c r="B659" s="33">
        <v>0</v>
      </c>
      <c r="C659" s="33">
        <v>0</v>
      </c>
      <c r="D659" s="43">
        <v>0</v>
      </c>
      <c r="E659" s="43">
        <v>0</v>
      </c>
      <c r="F659" s="43">
        <v>0</v>
      </c>
      <c r="G659" s="43">
        <v>0</v>
      </c>
      <c r="H659" s="43">
        <v>0</v>
      </c>
      <c r="I659" s="43">
        <v>0</v>
      </c>
      <c r="J659" s="43">
        <v>0</v>
      </c>
      <c r="K659" s="43">
        <v>0</v>
      </c>
      <c r="L659" s="43">
        <v>0</v>
      </c>
      <c r="M659" s="43">
        <v>0</v>
      </c>
      <c r="N659" s="43">
        <v>0</v>
      </c>
      <c r="O659" s="43">
        <v>0</v>
      </c>
      <c r="P659" s="47">
        <v>0</v>
      </c>
      <c r="R659" s="37">
        <v>0</v>
      </c>
      <c r="S659" s="37">
        <v>0</v>
      </c>
      <c r="T659" s="37">
        <v>0</v>
      </c>
      <c r="U659" s="37">
        <v>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7">
        <v>0</v>
      </c>
      <c r="AB659" s="37">
        <v>0</v>
      </c>
      <c r="AC659" s="37">
        <v>0</v>
      </c>
      <c r="AD659" s="37">
        <v>0</v>
      </c>
      <c r="AE659" s="37">
        <v>0</v>
      </c>
      <c r="AF659" s="37">
        <v>0</v>
      </c>
      <c r="AG659" s="59">
        <v>0</v>
      </c>
      <c r="AH659" s="37">
        <v>0</v>
      </c>
      <c r="AI659" s="37">
        <v>0</v>
      </c>
      <c r="AJ659" s="37">
        <v>0</v>
      </c>
      <c r="AK659" s="37">
        <v>0</v>
      </c>
      <c r="AL659" s="37">
        <v>0</v>
      </c>
      <c r="AM659" s="37">
        <v>0</v>
      </c>
      <c r="AN659" s="37">
        <v>0</v>
      </c>
      <c r="AO659" s="37">
        <v>0</v>
      </c>
      <c r="AP659" s="37">
        <v>0</v>
      </c>
      <c r="AQ659" s="37">
        <v>0</v>
      </c>
      <c r="AR659" s="37">
        <v>0</v>
      </c>
      <c r="AS659" s="59">
        <v>0</v>
      </c>
      <c r="AT659" s="59">
        <v>0</v>
      </c>
      <c r="AU659" s="45"/>
      <c r="AV659" s="37">
        <v>0</v>
      </c>
      <c r="AW659" s="37">
        <v>0</v>
      </c>
      <c r="AX659" s="37">
        <v>0</v>
      </c>
      <c r="AY659" s="37">
        <v>0</v>
      </c>
      <c r="AZ659" s="37">
        <v>0</v>
      </c>
      <c r="BA659" s="37">
        <v>0</v>
      </c>
      <c r="BB659" s="37">
        <v>0</v>
      </c>
      <c r="BC659" s="37">
        <v>0</v>
      </c>
      <c r="BD659" s="37">
        <v>0</v>
      </c>
      <c r="BE659" s="37">
        <v>0</v>
      </c>
      <c r="BF659" s="37">
        <v>0</v>
      </c>
      <c r="BG659" s="37">
        <v>0</v>
      </c>
      <c r="BH659" s="37">
        <v>0</v>
      </c>
      <c r="BI659" s="37">
        <v>0</v>
      </c>
      <c r="BJ659" s="37">
        <v>0</v>
      </c>
      <c r="BK659" s="59">
        <v>0</v>
      </c>
      <c r="BL659" s="37">
        <v>0</v>
      </c>
      <c r="BM659" s="37">
        <v>0</v>
      </c>
      <c r="BN659" s="37">
        <v>0</v>
      </c>
      <c r="BO659" s="37">
        <v>0</v>
      </c>
      <c r="BP659" s="37">
        <v>0</v>
      </c>
      <c r="BQ659" s="37">
        <v>0</v>
      </c>
      <c r="BR659" s="37">
        <v>0</v>
      </c>
      <c r="BS659" s="37">
        <v>0</v>
      </c>
      <c r="BT659" s="37">
        <v>0</v>
      </c>
      <c r="BU659" s="37">
        <v>0</v>
      </c>
      <c r="BV659" s="37">
        <v>0</v>
      </c>
      <c r="BW659" s="59">
        <v>0</v>
      </c>
      <c r="BX659" s="59">
        <v>0</v>
      </c>
      <c r="BZ659" s="37">
        <v>0</v>
      </c>
      <c r="CA659" s="37">
        <v>0</v>
      </c>
      <c r="CB659" s="37">
        <v>0</v>
      </c>
      <c r="CC659" s="37">
        <v>0</v>
      </c>
      <c r="CD659" s="37">
        <v>0</v>
      </c>
      <c r="CE659" s="37">
        <v>0</v>
      </c>
      <c r="CF659" s="37">
        <v>0</v>
      </c>
      <c r="CG659" s="59">
        <v>0</v>
      </c>
      <c r="CH659" s="37">
        <v>0</v>
      </c>
      <c r="CI659" s="37">
        <v>0</v>
      </c>
      <c r="CJ659" s="37">
        <v>0</v>
      </c>
      <c r="CK659" s="37">
        <v>0</v>
      </c>
      <c r="CL659" s="37">
        <v>0</v>
      </c>
      <c r="CM659" s="37">
        <v>0</v>
      </c>
      <c r="CN659" s="59">
        <v>0</v>
      </c>
      <c r="CO659" s="59">
        <v>0</v>
      </c>
      <c r="CP659" s="58"/>
      <c r="CQ659" s="3">
        <v>0</v>
      </c>
    </row>
    <row r="660" spans="1:95" customFormat="1" x14ac:dyDescent="0.2">
      <c r="A660" s="33">
        <v>0</v>
      </c>
      <c r="B660" s="33">
        <v>0</v>
      </c>
      <c r="C660" s="33">
        <v>0</v>
      </c>
      <c r="D660" s="43">
        <v>0</v>
      </c>
      <c r="E660" s="43">
        <v>0</v>
      </c>
      <c r="F660" s="43">
        <v>0</v>
      </c>
      <c r="G660" s="43">
        <v>0</v>
      </c>
      <c r="H660" s="43">
        <v>0</v>
      </c>
      <c r="I660" s="43">
        <v>0</v>
      </c>
      <c r="J660" s="43">
        <v>0</v>
      </c>
      <c r="K660" s="43">
        <v>0</v>
      </c>
      <c r="L660" s="43">
        <v>0</v>
      </c>
      <c r="M660" s="43">
        <v>0</v>
      </c>
      <c r="N660" s="43">
        <v>0</v>
      </c>
      <c r="O660" s="43">
        <v>0</v>
      </c>
      <c r="P660" s="47">
        <v>0</v>
      </c>
      <c r="R660" s="37">
        <v>0</v>
      </c>
      <c r="S660" s="37">
        <v>0</v>
      </c>
      <c r="T660" s="37">
        <v>0</v>
      </c>
      <c r="U660" s="37">
        <v>0</v>
      </c>
      <c r="V660" s="37">
        <v>0</v>
      </c>
      <c r="W660" s="37">
        <v>0</v>
      </c>
      <c r="X660" s="37">
        <v>0</v>
      </c>
      <c r="Y660" s="37">
        <v>0</v>
      </c>
      <c r="Z660" s="37">
        <v>0</v>
      </c>
      <c r="AA660" s="37">
        <v>0</v>
      </c>
      <c r="AB660" s="37">
        <v>0</v>
      </c>
      <c r="AC660" s="37">
        <v>0</v>
      </c>
      <c r="AD660" s="37">
        <v>0</v>
      </c>
      <c r="AE660" s="37">
        <v>0</v>
      </c>
      <c r="AF660" s="37">
        <v>0</v>
      </c>
      <c r="AG660" s="59">
        <v>0</v>
      </c>
      <c r="AH660" s="37">
        <v>0</v>
      </c>
      <c r="AI660" s="37">
        <v>0</v>
      </c>
      <c r="AJ660" s="37">
        <v>0</v>
      </c>
      <c r="AK660" s="37">
        <v>0</v>
      </c>
      <c r="AL660" s="37">
        <v>0</v>
      </c>
      <c r="AM660" s="37">
        <v>0</v>
      </c>
      <c r="AN660" s="37">
        <v>0</v>
      </c>
      <c r="AO660" s="37">
        <v>0</v>
      </c>
      <c r="AP660" s="37">
        <v>0</v>
      </c>
      <c r="AQ660" s="37">
        <v>0</v>
      </c>
      <c r="AR660" s="37">
        <v>0</v>
      </c>
      <c r="AS660" s="59">
        <v>0</v>
      </c>
      <c r="AT660" s="59">
        <v>0</v>
      </c>
      <c r="AU660" s="45"/>
      <c r="AV660" s="37">
        <v>0</v>
      </c>
      <c r="AW660" s="37">
        <v>0</v>
      </c>
      <c r="AX660" s="37">
        <v>0</v>
      </c>
      <c r="AY660" s="37">
        <v>0</v>
      </c>
      <c r="AZ660" s="37">
        <v>0</v>
      </c>
      <c r="BA660" s="37">
        <v>0</v>
      </c>
      <c r="BB660" s="37">
        <v>0</v>
      </c>
      <c r="BC660" s="37">
        <v>0</v>
      </c>
      <c r="BD660" s="37">
        <v>0</v>
      </c>
      <c r="BE660" s="37">
        <v>0</v>
      </c>
      <c r="BF660" s="37">
        <v>0</v>
      </c>
      <c r="BG660" s="37">
        <v>0</v>
      </c>
      <c r="BH660" s="37">
        <v>0</v>
      </c>
      <c r="BI660" s="37">
        <v>0</v>
      </c>
      <c r="BJ660" s="37">
        <v>0</v>
      </c>
      <c r="BK660" s="59">
        <v>0</v>
      </c>
      <c r="BL660" s="37">
        <v>0</v>
      </c>
      <c r="BM660" s="37">
        <v>0</v>
      </c>
      <c r="BN660" s="37">
        <v>0</v>
      </c>
      <c r="BO660" s="37">
        <v>0</v>
      </c>
      <c r="BP660" s="37">
        <v>0</v>
      </c>
      <c r="BQ660" s="37">
        <v>0</v>
      </c>
      <c r="BR660" s="37">
        <v>0</v>
      </c>
      <c r="BS660" s="37">
        <v>0</v>
      </c>
      <c r="BT660" s="37">
        <v>0</v>
      </c>
      <c r="BU660" s="37">
        <v>0</v>
      </c>
      <c r="BV660" s="37">
        <v>0</v>
      </c>
      <c r="BW660" s="59">
        <v>0</v>
      </c>
      <c r="BX660" s="59">
        <v>0</v>
      </c>
      <c r="BZ660" s="37">
        <v>0</v>
      </c>
      <c r="CA660" s="37">
        <v>0</v>
      </c>
      <c r="CB660" s="37">
        <v>0</v>
      </c>
      <c r="CC660" s="37">
        <v>0</v>
      </c>
      <c r="CD660" s="37">
        <v>0</v>
      </c>
      <c r="CE660" s="37">
        <v>0</v>
      </c>
      <c r="CF660" s="37">
        <v>0</v>
      </c>
      <c r="CG660" s="59">
        <v>0</v>
      </c>
      <c r="CH660" s="37">
        <v>0</v>
      </c>
      <c r="CI660" s="37">
        <v>0</v>
      </c>
      <c r="CJ660" s="37">
        <v>0</v>
      </c>
      <c r="CK660" s="37">
        <v>0</v>
      </c>
      <c r="CL660" s="37">
        <v>0</v>
      </c>
      <c r="CM660" s="37">
        <v>0</v>
      </c>
      <c r="CN660" s="59">
        <v>0</v>
      </c>
      <c r="CO660" s="59">
        <v>0</v>
      </c>
      <c r="CP660" s="58"/>
      <c r="CQ660" s="3">
        <v>0</v>
      </c>
    </row>
    <row r="661" spans="1:95" customFormat="1" x14ac:dyDescent="0.2">
      <c r="A661" s="33">
        <v>0</v>
      </c>
      <c r="B661" s="33">
        <v>0</v>
      </c>
      <c r="C661" s="33">
        <v>0</v>
      </c>
      <c r="D661" s="43">
        <v>0</v>
      </c>
      <c r="E661" s="43">
        <v>0</v>
      </c>
      <c r="F661" s="43">
        <v>0</v>
      </c>
      <c r="G661" s="43">
        <v>0</v>
      </c>
      <c r="H661" s="43">
        <v>0</v>
      </c>
      <c r="I661" s="43">
        <v>0</v>
      </c>
      <c r="J661" s="43">
        <v>0</v>
      </c>
      <c r="K661" s="43">
        <v>0</v>
      </c>
      <c r="L661" s="43">
        <v>0</v>
      </c>
      <c r="M661" s="43">
        <v>0</v>
      </c>
      <c r="N661" s="43">
        <v>0</v>
      </c>
      <c r="O661" s="43">
        <v>0</v>
      </c>
      <c r="P661" s="47">
        <v>0</v>
      </c>
      <c r="R661" s="37">
        <v>0</v>
      </c>
      <c r="S661" s="37">
        <v>0</v>
      </c>
      <c r="T661" s="37">
        <v>0</v>
      </c>
      <c r="U661" s="37">
        <v>0</v>
      </c>
      <c r="V661" s="37">
        <v>0</v>
      </c>
      <c r="W661" s="37">
        <v>0</v>
      </c>
      <c r="X661" s="37">
        <v>0</v>
      </c>
      <c r="Y661" s="37">
        <v>0</v>
      </c>
      <c r="Z661" s="37">
        <v>0</v>
      </c>
      <c r="AA661" s="37">
        <v>0</v>
      </c>
      <c r="AB661" s="37">
        <v>0</v>
      </c>
      <c r="AC661" s="37">
        <v>0</v>
      </c>
      <c r="AD661" s="37">
        <v>0</v>
      </c>
      <c r="AE661" s="37">
        <v>0</v>
      </c>
      <c r="AF661" s="37">
        <v>0</v>
      </c>
      <c r="AG661" s="59">
        <v>0</v>
      </c>
      <c r="AH661" s="37">
        <v>0</v>
      </c>
      <c r="AI661" s="37">
        <v>0</v>
      </c>
      <c r="AJ661" s="37">
        <v>0</v>
      </c>
      <c r="AK661" s="37">
        <v>0</v>
      </c>
      <c r="AL661" s="37">
        <v>0</v>
      </c>
      <c r="AM661" s="37">
        <v>0</v>
      </c>
      <c r="AN661" s="37">
        <v>0</v>
      </c>
      <c r="AO661" s="37">
        <v>0</v>
      </c>
      <c r="AP661" s="37">
        <v>0</v>
      </c>
      <c r="AQ661" s="37">
        <v>0</v>
      </c>
      <c r="AR661" s="37">
        <v>0</v>
      </c>
      <c r="AS661" s="59">
        <v>0</v>
      </c>
      <c r="AT661" s="59">
        <v>0</v>
      </c>
      <c r="AU661" s="45"/>
      <c r="AV661" s="37">
        <v>0</v>
      </c>
      <c r="AW661" s="37">
        <v>0</v>
      </c>
      <c r="AX661" s="37">
        <v>0</v>
      </c>
      <c r="AY661" s="37">
        <v>0</v>
      </c>
      <c r="AZ661" s="37">
        <v>0</v>
      </c>
      <c r="BA661" s="37">
        <v>0</v>
      </c>
      <c r="BB661" s="37">
        <v>0</v>
      </c>
      <c r="BC661" s="37">
        <v>0</v>
      </c>
      <c r="BD661" s="37">
        <v>0</v>
      </c>
      <c r="BE661" s="37">
        <v>0</v>
      </c>
      <c r="BF661" s="37">
        <v>0</v>
      </c>
      <c r="BG661" s="37">
        <v>0</v>
      </c>
      <c r="BH661" s="37">
        <v>0</v>
      </c>
      <c r="BI661" s="37">
        <v>0</v>
      </c>
      <c r="BJ661" s="37">
        <v>0</v>
      </c>
      <c r="BK661" s="59">
        <v>0</v>
      </c>
      <c r="BL661" s="37">
        <v>0</v>
      </c>
      <c r="BM661" s="37">
        <v>0</v>
      </c>
      <c r="BN661" s="37">
        <v>0</v>
      </c>
      <c r="BO661" s="37">
        <v>0</v>
      </c>
      <c r="BP661" s="37">
        <v>0</v>
      </c>
      <c r="BQ661" s="37">
        <v>0</v>
      </c>
      <c r="BR661" s="37">
        <v>0</v>
      </c>
      <c r="BS661" s="37">
        <v>0</v>
      </c>
      <c r="BT661" s="37">
        <v>0</v>
      </c>
      <c r="BU661" s="37">
        <v>0</v>
      </c>
      <c r="BV661" s="37">
        <v>0</v>
      </c>
      <c r="BW661" s="59">
        <v>0</v>
      </c>
      <c r="BX661" s="59">
        <v>0</v>
      </c>
      <c r="BZ661" s="37">
        <v>0</v>
      </c>
      <c r="CA661" s="37">
        <v>0</v>
      </c>
      <c r="CB661" s="37">
        <v>0</v>
      </c>
      <c r="CC661" s="37">
        <v>0</v>
      </c>
      <c r="CD661" s="37">
        <v>0</v>
      </c>
      <c r="CE661" s="37">
        <v>0</v>
      </c>
      <c r="CF661" s="37">
        <v>0</v>
      </c>
      <c r="CG661" s="59">
        <v>0</v>
      </c>
      <c r="CH661" s="37">
        <v>0</v>
      </c>
      <c r="CI661" s="37">
        <v>0</v>
      </c>
      <c r="CJ661" s="37">
        <v>0</v>
      </c>
      <c r="CK661" s="37">
        <v>0</v>
      </c>
      <c r="CL661" s="37">
        <v>0</v>
      </c>
      <c r="CM661" s="37">
        <v>0</v>
      </c>
      <c r="CN661" s="59">
        <v>0</v>
      </c>
      <c r="CO661" s="59">
        <v>0</v>
      </c>
      <c r="CP661" s="58"/>
      <c r="CQ661" s="3">
        <v>0</v>
      </c>
    </row>
    <row r="662" spans="1:95" customFormat="1" x14ac:dyDescent="0.2">
      <c r="A662" s="33">
        <v>0</v>
      </c>
      <c r="B662" s="33">
        <v>0</v>
      </c>
      <c r="C662" s="33">
        <v>0</v>
      </c>
      <c r="D662" s="43">
        <v>0</v>
      </c>
      <c r="E662" s="43">
        <v>0</v>
      </c>
      <c r="F662" s="43">
        <v>0</v>
      </c>
      <c r="G662" s="43">
        <v>0</v>
      </c>
      <c r="H662" s="43">
        <v>0</v>
      </c>
      <c r="I662" s="43">
        <v>0</v>
      </c>
      <c r="J662" s="43">
        <v>0</v>
      </c>
      <c r="K662" s="43">
        <v>0</v>
      </c>
      <c r="L662" s="43">
        <v>0</v>
      </c>
      <c r="M662" s="43">
        <v>0</v>
      </c>
      <c r="N662" s="43">
        <v>0</v>
      </c>
      <c r="O662" s="43">
        <v>0</v>
      </c>
      <c r="P662" s="47">
        <v>0</v>
      </c>
      <c r="R662" s="37">
        <v>0</v>
      </c>
      <c r="S662" s="37">
        <v>0</v>
      </c>
      <c r="T662" s="37">
        <v>0</v>
      </c>
      <c r="U662" s="37">
        <v>0</v>
      </c>
      <c r="V662" s="37">
        <v>0</v>
      </c>
      <c r="W662" s="37">
        <v>0</v>
      </c>
      <c r="X662" s="37">
        <v>0</v>
      </c>
      <c r="Y662" s="37">
        <v>0</v>
      </c>
      <c r="Z662" s="37">
        <v>0</v>
      </c>
      <c r="AA662" s="37">
        <v>0</v>
      </c>
      <c r="AB662" s="37">
        <v>0</v>
      </c>
      <c r="AC662" s="37">
        <v>0</v>
      </c>
      <c r="AD662" s="37">
        <v>0</v>
      </c>
      <c r="AE662" s="37">
        <v>0</v>
      </c>
      <c r="AF662" s="37">
        <v>0</v>
      </c>
      <c r="AG662" s="59">
        <v>0</v>
      </c>
      <c r="AH662" s="37">
        <v>0</v>
      </c>
      <c r="AI662" s="37">
        <v>0</v>
      </c>
      <c r="AJ662" s="37">
        <v>0</v>
      </c>
      <c r="AK662" s="37">
        <v>0</v>
      </c>
      <c r="AL662" s="37">
        <v>0</v>
      </c>
      <c r="AM662" s="37">
        <v>0</v>
      </c>
      <c r="AN662" s="37">
        <v>0</v>
      </c>
      <c r="AO662" s="37">
        <v>0</v>
      </c>
      <c r="AP662" s="37">
        <v>0</v>
      </c>
      <c r="AQ662" s="37">
        <v>0</v>
      </c>
      <c r="AR662" s="37">
        <v>0</v>
      </c>
      <c r="AS662" s="59">
        <v>0</v>
      </c>
      <c r="AT662" s="59">
        <v>0</v>
      </c>
      <c r="AU662" s="45"/>
      <c r="AV662" s="37">
        <v>0</v>
      </c>
      <c r="AW662" s="37">
        <v>0</v>
      </c>
      <c r="AX662" s="37">
        <v>0</v>
      </c>
      <c r="AY662" s="37">
        <v>0</v>
      </c>
      <c r="AZ662" s="37">
        <v>0</v>
      </c>
      <c r="BA662" s="37">
        <v>0</v>
      </c>
      <c r="BB662" s="37">
        <v>0</v>
      </c>
      <c r="BC662" s="37">
        <v>0</v>
      </c>
      <c r="BD662" s="37">
        <v>0</v>
      </c>
      <c r="BE662" s="37">
        <v>0</v>
      </c>
      <c r="BF662" s="37">
        <v>0</v>
      </c>
      <c r="BG662" s="37">
        <v>0</v>
      </c>
      <c r="BH662" s="37">
        <v>0</v>
      </c>
      <c r="BI662" s="37">
        <v>0</v>
      </c>
      <c r="BJ662" s="37">
        <v>0</v>
      </c>
      <c r="BK662" s="59">
        <v>0</v>
      </c>
      <c r="BL662" s="37">
        <v>0</v>
      </c>
      <c r="BM662" s="37">
        <v>0</v>
      </c>
      <c r="BN662" s="37">
        <v>0</v>
      </c>
      <c r="BO662" s="37">
        <v>0</v>
      </c>
      <c r="BP662" s="37">
        <v>0</v>
      </c>
      <c r="BQ662" s="37">
        <v>0</v>
      </c>
      <c r="BR662" s="37">
        <v>0</v>
      </c>
      <c r="BS662" s="37">
        <v>0</v>
      </c>
      <c r="BT662" s="37">
        <v>0</v>
      </c>
      <c r="BU662" s="37">
        <v>0</v>
      </c>
      <c r="BV662" s="37">
        <v>0</v>
      </c>
      <c r="BW662" s="59">
        <v>0</v>
      </c>
      <c r="BX662" s="59">
        <v>0</v>
      </c>
      <c r="BZ662" s="37">
        <v>0</v>
      </c>
      <c r="CA662" s="37">
        <v>0</v>
      </c>
      <c r="CB662" s="37">
        <v>0</v>
      </c>
      <c r="CC662" s="37">
        <v>0</v>
      </c>
      <c r="CD662" s="37">
        <v>0</v>
      </c>
      <c r="CE662" s="37">
        <v>0</v>
      </c>
      <c r="CF662" s="37">
        <v>0</v>
      </c>
      <c r="CG662" s="59">
        <v>0</v>
      </c>
      <c r="CH662" s="37">
        <v>0</v>
      </c>
      <c r="CI662" s="37">
        <v>0</v>
      </c>
      <c r="CJ662" s="37">
        <v>0</v>
      </c>
      <c r="CK662" s="37">
        <v>0</v>
      </c>
      <c r="CL662" s="37">
        <v>0</v>
      </c>
      <c r="CM662" s="37">
        <v>0</v>
      </c>
      <c r="CN662" s="59">
        <v>0</v>
      </c>
      <c r="CO662" s="59">
        <v>0</v>
      </c>
      <c r="CP662" s="58"/>
      <c r="CQ662" s="3">
        <v>0</v>
      </c>
    </row>
    <row r="663" spans="1:95" customFormat="1" x14ac:dyDescent="0.2">
      <c r="A663" s="33">
        <v>0</v>
      </c>
      <c r="B663" s="33">
        <v>0</v>
      </c>
      <c r="C663" s="33">
        <v>0</v>
      </c>
      <c r="D663" s="43">
        <v>0</v>
      </c>
      <c r="E663" s="43">
        <v>0</v>
      </c>
      <c r="F663" s="43">
        <v>0</v>
      </c>
      <c r="G663" s="43">
        <v>0</v>
      </c>
      <c r="H663" s="43">
        <v>0</v>
      </c>
      <c r="I663" s="43">
        <v>0</v>
      </c>
      <c r="J663" s="43">
        <v>0</v>
      </c>
      <c r="K663" s="43">
        <v>0</v>
      </c>
      <c r="L663" s="43">
        <v>0</v>
      </c>
      <c r="M663" s="43">
        <v>0</v>
      </c>
      <c r="N663" s="43">
        <v>0</v>
      </c>
      <c r="O663" s="43">
        <v>0</v>
      </c>
      <c r="P663" s="47">
        <v>0</v>
      </c>
      <c r="R663" s="37">
        <v>0</v>
      </c>
      <c r="S663" s="37">
        <v>0</v>
      </c>
      <c r="T663" s="37">
        <v>0</v>
      </c>
      <c r="U663" s="37">
        <v>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7">
        <v>0</v>
      </c>
      <c r="AB663" s="37">
        <v>0</v>
      </c>
      <c r="AC663" s="37">
        <v>0</v>
      </c>
      <c r="AD663" s="37">
        <v>0</v>
      </c>
      <c r="AE663" s="37">
        <v>0</v>
      </c>
      <c r="AF663" s="37">
        <v>0</v>
      </c>
      <c r="AG663" s="59">
        <v>0</v>
      </c>
      <c r="AH663" s="37">
        <v>0</v>
      </c>
      <c r="AI663" s="37">
        <v>0</v>
      </c>
      <c r="AJ663" s="37">
        <v>0</v>
      </c>
      <c r="AK663" s="37">
        <v>0</v>
      </c>
      <c r="AL663" s="37">
        <v>0</v>
      </c>
      <c r="AM663" s="37">
        <v>0</v>
      </c>
      <c r="AN663" s="37">
        <v>0</v>
      </c>
      <c r="AO663" s="37">
        <v>0</v>
      </c>
      <c r="AP663" s="37">
        <v>0</v>
      </c>
      <c r="AQ663" s="37">
        <v>0</v>
      </c>
      <c r="AR663" s="37">
        <v>0</v>
      </c>
      <c r="AS663" s="59">
        <v>0</v>
      </c>
      <c r="AT663" s="59">
        <v>0</v>
      </c>
      <c r="AU663" s="45"/>
      <c r="AV663" s="37">
        <v>0</v>
      </c>
      <c r="AW663" s="37">
        <v>0</v>
      </c>
      <c r="AX663" s="37">
        <v>0</v>
      </c>
      <c r="AY663" s="37">
        <v>0</v>
      </c>
      <c r="AZ663" s="37">
        <v>0</v>
      </c>
      <c r="BA663" s="37">
        <v>0</v>
      </c>
      <c r="BB663" s="37">
        <v>0</v>
      </c>
      <c r="BC663" s="37">
        <v>0</v>
      </c>
      <c r="BD663" s="37">
        <v>0</v>
      </c>
      <c r="BE663" s="37">
        <v>0</v>
      </c>
      <c r="BF663" s="37">
        <v>0</v>
      </c>
      <c r="BG663" s="37">
        <v>0</v>
      </c>
      <c r="BH663" s="37">
        <v>0</v>
      </c>
      <c r="BI663" s="37">
        <v>0</v>
      </c>
      <c r="BJ663" s="37">
        <v>0</v>
      </c>
      <c r="BK663" s="59">
        <v>0</v>
      </c>
      <c r="BL663" s="37">
        <v>0</v>
      </c>
      <c r="BM663" s="37">
        <v>0</v>
      </c>
      <c r="BN663" s="37">
        <v>0</v>
      </c>
      <c r="BO663" s="37">
        <v>0</v>
      </c>
      <c r="BP663" s="37">
        <v>0</v>
      </c>
      <c r="BQ663" s="37">
        <v>0</v>
      </c>
      <c r="BR663" s="37">
        <v>0</v>
      </c>
      <c r="BS663" s="37">
        <v>0</v>
      </c>
      <c r="BT663" s="37">
        <v>0</v>
      </c>
      <c r="BU663" s="37">
        <v>0</v>
      </c>
      <c r="BV663" s="37">
        <v>0</v>
      </c>
      <c r="BW663" s="59">
        <v>0</v>
      </c>
      <c r="BX663" s="59">
        <v>0</v>
      </c>
      <c r="BZ663" s="37">
        <v>0</v>
      </c>
      <c r="CA663" s="37">
        <v>0</v>
      </c>
      <c r="CB663" s="37">
        <v>0</v>
      </c>
      <c r="CC663" s="37">
        <v>0</v>
      </c>
      <c r="CD663" s="37">
        <v>0</v>
      </c>
      <c r="CE663" s="37">
        <v>0</v>
      </c>
      <c r="CF663" s="37">
        <v>0</v>
      </c>
      <c r="CG663" s="59">
        <v>0</v>
      </c>
      <c r="CH663" s="37">
        <v>0</v>
      </c>
      <c r="CI663" s="37">
        <v>0</v>
      </c>
      <c r="CJ663" s="37">
        <v>0</v>
      </c>
      <c r="CK663" s="37">
        <v>0</v>
      </c>
      <c r="CL663" s="37">
        <v>0</v>
      </c>
      <c r="CM663" s="37">
        <v>0</v>
      </c>
      <c r="CN663" s="59">
        <v>0</v>
      </c>
      <c r="CO663" s="59">
        <v>0</v>
      </c>
      <c r="CP663" s="58"/>
      <c r="CQ663" s="3">
        <v>0</v>
      </c>
    </row>
    <row r="664" spans="1:95" customFormat="1" x14ac:dyDescent="0.2">
      <c r="A664" s="33">
        <v>0</v>
      </c>
      <c r="B664" s="33">
        <v>0</v>
      </c>
      <c r="C664" s="33">
        <v>0</v>
      </c>
      <c r="D664" s="43">
        <v>0</v>
      </c>
      <c r="E664" s="43">
        <v>0</v>
      </c>
      <c r="F664" s="43">
        <v>0</v>
      </c>
      <c r="G664" s="43">
        <v>0</v>
      </c>
      <c r="H664" s="43">
        <v>0</v>
      </c>
      <c r="I664" s="43">
        <v>0</v>
      </c>
      <c r="J664" s="43">
        <v>0</v>
      </c>
      <c r="K664" s="43">
        <v>0</v>
      </c>
      <c r="L664" s="43">
        <v>0</v>
      </c>
      <c r="M664" s="43">
        <v>0</v>
      </c>
      <c r="N664" s="43">
        <v>0</v>
      </c>
      <c r="O664" s="43">
        <v>0</v>
      </c>
      <c r="P664" s="47">
        <v>0</v>
      </c>
      <c r="R664" s="37">
        <v>0</v>
      </c>
      <c r="S664" s="37">
        <v>0</v>
      </c>
      <c r="T664" s="37">
        <v>0</v>
      </c>
      <c r="U664" s="37">
        <v>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7">
        <v>0</v>
      </c>
      <c r="AB664" s="37">
        <v>0</v>
      </c>
      <c r="AC664" s="37">
        <v>0</v>
      </c>
      <c r="AD664" s="37">
        <v>0</v>
      </c>
      <c r="AE664" s="37">
        <v>0</v>
      </c>
      <c r="AF664" s="37">
        <v>0</v>
      </c>
      <c r="AG664" s="59">
        <v>0</v>
      </c>
      <c r="AH664" s="37">
        <v>0</v>
      </c>
      <c r="AI664" s="37">
        <v>0</v>
      </c>
      <c r="AJ664" s="37">
        <v>0</v>
      </c>
      <c r="AK664" s="37">
        <v>0</v>
      </c>
      <c r="AL664" s="37">
        <v>0</v>
      </c>
      <c r="AM664" s="37">
        <v>0</v>
      </c>
      <c r="AN664" s="37">
        <v>0</v>
      </c>
      <c r="AO664" s="37">
        <v>0</v>
      </c>
      <c r="AP664" s="37">
        <v>0</v>
      </c>
      <c r="AQ664" s="37">
        <v>0</v>
      </c>
      <c r="AR664" s="37">
        <v>0</v>
      </c>
      <c r="AS664" s="59">
        <v>0</v>
      </c>
      <c r="AT664" s="59">
        <v>0</v>
      </c>
      <c r="AU664" s="45"/>
      <c r="AV664" s="37">
        <v>0</v>
      </c>
      <c r="AW664" s="37">
        <v>0</v>
      </c>
      <c r="AX664" s="37">
        <v>0</v>
      </c>
      <c r="AY664" s="37">
        <v>0</v>
      </c>
      <c r="AZ664" s="37">
        <v>0</v>
      </c>
      <c r="BA664" s="37">
        <v>0</v>
      </c>
      <c r="BB664" s="37">
        <v>0</v>
      </c>
      <c r="BC664" s="37">
        <v>0</v>
      </c>
      <c r="BD664" s="37">
        <v>0</v>
      </c>
      <c r="BE664" s="37">
        <v>0</v>
      </c>
      <c r="BF664" s="37">
        <v>0</v>
      </c>
      <c r="BG664" s="37">
        <v>0</v>
      </c>
      <c r="BH664" s="37">
        <v>0</v>
      </c>
      <c r="BI664" s="37">
        <v>0</v>
      </c>
      <c r="BJ664" s="37">
        <v>0</v>
      </c>
      <c r="BK664" s="59">
        <v>0</v>
      </c>
      <c r="BL664" s="37">
        <v>0</v>
      </c>
      <c r="BM664" s="37">
        <v>0</v>
      </c>
      <c r="BN664" s="37">
        <v>0</v>
      </c>
      <c r="BO664" s="37">
        <v>0</v>
      </c>
      <c r="BP664" s="37">
        <v>0</v>
      </c>
      <c r="BQ664" s="37">
        <v>0</v>
      </c>
      <c r="BR664" s="37">
        <v>0</v>
      </c>
      <c r="BS664" s="37">
        <v>0</v>
      </c>
      <c r="BT664" s="37">
        <v>0</v>
      </c>
      <c r="BU664" s="37">
        <v>0</v>
      </c>
      <c r="BV664" s="37">
        <v>0</v>
      </c>
      <c r="BW664" s="59">
        <v>0</v>
      </c>
      <c r="BX664" s="59">
        <v>0</v>
      </c>
      <c r="BZ664" s="37">
        <v>0</v>
      </c>
      <c r="CA664" s="37">
        <v>0</v>
      </c>
      <c r="CB664" s="37">
        <v>0</v>
      </c>
      <c r="CC664" s="37">
        <v>0</v>
      </c>
      <c r="CD664" s="37">
        <v>0</v>
      </c>
      <c r="CE664" s="37">
        <v>0</v>
      </c>
      <c r="CF664" s="37">
        <v>0</v>
      </c>
      <c r="CG664" s="59">
        <v>0</v>
      </c>
      <c r="CH664" s="37">
        <v>0</v>
      </c>
      <c r="CI664" s="37">
        <v>0</v>
      </c>
      <c r="CJ664" s="37">
        <v>0</v>
      </c>
      <c r="CK664" s="37">
        <v>0</v>
      </c>
      <c r="CL664" s="37">
        <v>0</v>
      </c>
      <c r="CM664" s="37">
        <v>0</v>
      </c>
      <c r="CN664" s="59">
        <v>0</v>
      </c>
      <c r="CO664" s="59">
        <v>0</v>
      </c>
      <c r="CP664" s="58"/>
      <c r="CQ664" s="3">
        <v>0</v>
      </c>
    </row>
    <row r="665" spans="1:95" customFormat="1" x14ac:dyDescent="0.2">
      <c r="A665" s="33">
        <v>0</v>
      </c>
      <c r="B665" s="33">
        <v>0</v>
      </c>
      <c r="C665" s="33">
        <v>0</v>
      </c>
      <c r="D665" s="43">
        <v>0</v>
      </c>
      <c r="E665" s="43">
        <v>0</v>
      </c>
      <c r="F665" s="43">
        <v>0</v>
      </c>
      <c r="G665" s="43">
        <v>0</v>
      </c>
      <c r="H665" s="43">
        <v>0</v>
      </c>
      <c r="I665" s="43">
        <v>0</v>
      </c>
      <c r="J665" s="43">
        <v>0</v>
      </c>
      <c r="K665" s="43">
        <v>0</v>
      </c>
      <c r="L665" s="43">
        <v>0</v>
      </c>
      <c r="M665" s="43">
        <v>0</v>
      </c>
      <c r="N665" s="43">
        <v>0</v>
      </c>
      <c r="O665" s="43">
        <v>0</v>
      </c>
      <c r="P665" s="47">
        <v>0</v>
      </c>
      <c r="R665" s="37">
        <v>0</v>
      </c>
      <c r="S665" s="37">
        <v>0</v>
      </c>
      <c r="T665" s="37">
        <v>0</v>
      </c>
      <c r="U665" s="37">
        <v>0</v>
      </c>
      <c r="V665" s="37">
        <v>0</v>
      </c>
      <c r="W665" s="37">
        <v>0</v>
      </c>
      <c r="X665" s="37">
        <v>0</v>
      </c>
      <c r="Y665" s="37">
        <v>0</v>
      </c>
      <c r="Z665" s="37">
        <v>0</v>
      </c>
      <c r="AA665" s="37">
        <v>0</v>
      </c>
      <c r="AB665" s="37">
        <v>0</v>
      </c>
      <c r="AC665" s="37">
        <v>0</v>
      </c>
      <c r="AD665" s="37">
        <v>0</v>
      </c>
      <c r="AE665" s="37">
        <v>0</v>
      </c>
      <c r="AF665" s="37">
        <v>0</v>
      </c>
      <c r="AG665" s="59">
        <v>0</v>
      </c>
      <c r="AH665" s="37">
        <v>0</v>
      </c>
      <c r="AI665" s="37">
        <v>0</v>
      </c>
      <c r="AJ665" s="37">
        <v>0</v>
      </c>
      <c r="AK665" s="37">
        <v>0</v>
      </c>
      <c r="AL665" s="37">
        <v>0</v>
      </c>
      <c r="AM665" s="37">
        <v>0</v>
      </c>
      <c r="AN665" s="37">
        <v>0</v>
      </c>
      <c r="AO665" s="37">
        <v>0</v>
      </c>
      <c r="AP665" s="37">
        <v>0</v>
      </c>
      <c r="AQ665" s="37">
        <v>0</v>
      </c>
      <c r="AR665" s="37">
        <v>0</v>
      </c>
      <c r="AS665" s="59">
        <v>0</v>
      </c>
      <c r="AT665" s="59">
        <v>0</v>
      </c>
      <c r="AU665" s="45"/>
      <c r="AV665" s="37">
        <v>0</v>
      </c>
      <c r="AW665" s="37">
        <v>0</v>
      </c>
      <c r="AX665" s="37">
        <v>0</v>
      </c>
      <c r="AY665" s="37">
        <v>0</v>
      </c>
      <c r="AZ665" s="37">
        <v>0</v>
      </c>
      <c r="BA665" s="37">
        <v>0</v>
      </c>
      <c r="BB665" s="37">
        <v>0</v>
      </c>
      <c r="BC665" s="37">
        <v>0</v>
      </c>
      <c r="BD665" s="37">
        <v>0</v>
      </c>
      <c r="BE665" s="37">
        <v>0</v>
      </c>
      <c r="BF665" s="37">
        <v>0</v>
      </c>
      <c r="BG665" s="37">
        <v>0</v>
      </c>
      <c r="BH665" s="37">
        <v>0</v>
      </c>
      <c r="BI665" s="37">
        <v>0</v>
      </c>
      <c r="BJ665" s="37">
        <v>0</v>
      </c>
      <c r="BK665" s="59">
        <v>0</v>
      </c>
      <c r="BL665" s="37">
        <v>0</v>
      </c>
      <c r="BM665" s="37">
        <v>0</v>
      </c>
      <c r="BN665" s="37">
        <v>0</v>
      </c>
      <c r="BO665" s="37">
        <v>0</v>
      </c>
      <c r="BP665" s="37">
        <v>0</v>
      </c>
      <c r="BQ665" s="37">
        <v>0</v>
      </c>
      <c r="BR665" s="37">
        <v>0</v>
      </c>
      <c r="BS665" s="37">
        <v>0</v>
      </c>
      <c r="BT665" s="37">
        <v>0</v>
      </c>
      <c r="BU665" s="37">
        <v>0</v>
      </c>
      <c r="BV665" s="37">
        <v>0</v>
      </c>
      <c r="BW665" s="59">
        <v>0</v>
      </c>
      <c r="BX665" s="59">
        <v>0</v>
      </c>
      <c r="BZ665" s="37">
        <v>0</v>
      </c>
      <c r="CA665" s="37">
        <v>0</v>
      </c>
      <c r="CB665" s="37">
        <v>0</v>
      </c>
      <c r="CC665" s="37">
        <v>0</v>
      </c>
      <c r="CD665" s="37">
        <v>0</v>
      </c>
      <c r="CE665" s="37">
        <v>0</v>
      </c>
      <c r="CF665" s="37">
        <v>0</v>
      </c>
      <c r="CG665" s="59">
        <v>0</v>
      </c>
      <c r="CH665" s="37">
        <v>0</v>
      </c>
      <c r="CI665" s="37">
        <v>0</v>
      </c>
      <c r="CJ665" s="37">
        <v>0</v>
      </c>
      <c r="CK665" s="37">
        <v>0</v>
      </c>
      <c r="CL665" s="37">
        <v>0</v>
      </c>
      <c r="CM665" s="37">
        <v>0</v>
      </c>
      <c r="CN665" s="59">
        <v>0</v>
      </c>
      <c r="CO665" s="59">
        <v>0</v>
      </c>
      <c r="CP665" s="58"/>
      <c r="CQ665" s="3">
        <v>0</v>
      </c>
    </row>
    <row r="666" spans="1:95" customFormat="1" x14ac:dyDescent="0.2">
      <c r="A666" s="33">
        <v>0</v>
      </c>
      <c r="B666" s="33">
        <v>0</v>
      </c>
      <c r="C666" s="33">
        <v>0</v>
      </c>
      <c r="D666" s="43">
        <v>0</v>
      </c>
      <c r="E666" s="43">
        <v>0</v>
      </c>
      <c r="F666" s="43">
        <v>0</v>
      </c>
      <c r="G666" s="43">
        <v>0</v>
      </c>
      <c r="H666" s="43">
        <v>0</v>
      </c>
      <c r="I666" s="43">
        <v>0</v>
      </c>
      <c r="J666" s="43">
        <v>0</v>
      </c>
      <c r="K666" s="43">
        <v>0</v>
      </c>
      <c r="L666" s="43">
        <v>0</v>
      </c>
      <c r="M666" s="43">
        <v>0</v>
      </c>
      <c r="N666" s="43">
        <v>0</v>
      </c>
      <c r="O666" s="43">
        <v>0</v>
      </c>
      <c r="P666" s="47">
        <v>0</v>
      </c>
      <c r="R666" s="37">
        <v>0</v>
      </c>
      <c r="S666" s="37">
        <v>0</v>
      </c>
      <c r="T666" s="37">
        <v>0</v>
      </c>
      <c r="U666" s="37">
        <v>0</v>
      </c>
      <c r="V666" s="37">
        <v>0</v>
      </c>
      <c r="W666" s="37">
        <v>0</v>
      </c>
      <c r="X666" s="37">
        <v>0</v>
      </c>
      <c r="Y666" s="37">
        <v>0</v>
      </c>
      <c r="Z666" s="37">
        <v>0</v>
      </c>
      <c r="AA666" s="37">
        <v>0</v>
      </c>
      <c r="AB666" s="37">
        <v>0</v>
      </c>
      <c r="AC666" s="37">
        <v>0</v>
      </c>
      <c r="AD666" s="37">
        <v>0</v>
      </c>
      <c r="AE666" s="37">
        <v>0</v>
      </c>
      <c r="AF666" s="37">
        <v>0</v>
      </c>
      <c r="AG666" s="59">
        <v>0</v>
      </c>
      <c r="AH666" s="37">
        <v>0</v>
      </c>
      <c r="AI666" s="37">
        <v>0</v>
      </c>
      <c r="AJ666" s="37">
        <v>0</v>
      </c>
      <c r="AK666" s="37">
        <v>0</v>
      </c>
      <c r="AL666" s="37">
        <v>0</v>
      </c>
      <c r="AM666" s="37">
        <v>0</v>
      </c>
      <c r="AN666" s="37">
        <v>0</v>
      </c>
      <c r="AO666" s="37">
        <v>0</v>
      </c>
      <c r="AP666" s="37">
        <v>0</v>
      </c>
      <c r="AQ666" s="37">
        <v>0</v>
      </c>
      <c r="AR666" s="37">
        <v>0</v>
      </c>
      <c r="AS666" s="59">
        <v>0</v>
      </c>
      <c r="AT666" s="59">
        <v>0</v>
      </c>
      <c r="AU666" s="45"/>
      <c r="AV666" s="37">
        <v>0</v>
      </c>
      <c r="AW666" s="37">
        <v>0</v>
      </c>
      <c r="AX666" s="37">
        <v>0</v>
      </c>
      <c r="AY666" s="37">
        <v>0</v>
      </c>
      <c r="AZ666" s="37">
        <v>0</v>
      </c>
      <c r="BA666" s="37">
        <v>0</v>
      </c>
      <c r="BB666" s="37">
        <v>0</v>
      </c>
      <c r="BC666" s="37">
        <v>0</v>
      </c>
      <c r="BD666" s="37">
        <v>0</v>
      </c>
      <c r="BE666" s="37">
        <v>0</v>
      </c>
      <c r="BF666" s="37">
        <v>0</v>
      </c>
      <c r="BG666" s="37">
        <v>0</v>
      </c>
      <c r="BH666" s="37">
        <v>0</v>
      </c>
      <c r="BI666" s="37">
        <v>0</v>
      </c>
      <c r="BJ666" s="37">
        <v>0</v>
      </c>
      <c r="BK666" s="59">
        <v>0</v>
      </c>
      <c r="BL666" s="37">
        <v>0</v>
      </c>
      <c r="BM666" s="37">
        <v>0</v>
      </c>
      <c r="BN666" s="37">
        <v>0</v>
      </c>
      <c r="BO666" s="37">
        <v>0</v>
      </c>
      <c r="BP666" s="37">
        <v>0</v>
      </c>
      <c r="BQ666" s="37">
        <v>0</v>
      </c>
      <c r="BR666" s="37">
        <v>0</v>
      </c>
      <c r="BS666" s="37">
        <v>0</v>
      </c>
      <c r="BT666" s="37">
        <v>0</v>
      </c>
      <c r="BU666" s="37">
        <v>0</v>
      </c>
      <c r="BV666" s="37">
        <v>0</v>
      </c>
      <c r="BW666" s="59">
        <v>0</v>
      </c>
      <c r="BX666" s="59">
        <v>0</v>
      </c>
      <c r="BZ666" s="37">
        <v>0</v>
      </c>
      <c r="CA666" s="37">
        <v>0</v>
      </c>
      <c r="CB666" s="37">
        <v>0</v>
      </c>
      <c r="CC666" s="37">
        <v>0</v>
      </c>
      <c r="CD666" s="37">
        <v>0</v>
      </c>
      <c r="CE666" s="37">
        <v>0</v>
      </c>
      <c r="CF666" s="37">
        <v>0</v>
      </c>
      <c r="CG666" s="59">
        <v>0</v>
      </c>
      <c r="CH666" s="37">
        <v>0</v>
      </c>
      <c r="CI666" s="37">
        <v>0</v>
      </c>
      <c r="CJ666" s="37">
        <v>0</v>
      </c>
      <c r="CK666" s="37">
        <v>0</v>
      </c>
      <c r="CL666" s="37">
        <v>0</v>
      </c>
      <c r="CM666" s="37">
        <v>0</v>
      </c>
      <c r="CN666" s="59">
        <v>0</v>
      </c>
      <c r="CO666" s="59">
        <v>0</v>
      </c>
      <c r="CP666" s="58"/>
      <c r="CQ666" s="3">
        <v>0</v>
      </c>
    </row>
    <row r="667" spans="1:95" customFormat="1" x14ac:dyDescent="0.2">
      <c r="A667" s="33">
        <v>0</v>
      </c>
      <c r="B667" s="33">
        <v>0</v>
      </c>
      <c r="C667" s="33">
        <v>0</v>
      </c>
      <c r="D667" s="43">
        <v>0</v>
      </c>
      <c r="E667" s="43">
        <v>0</v>
      </c>
      <c r="F667" s="43">
        <v>0</v>
      </c>
      <c r="G667" s="43">
        <v>0</v>
      </c>
      <c r="H667" s="43">
        <v>0</v>
      </c>
      <c r="I667" s="43">
        <v>0</v>
      </c>
      <c r="J667" s="43">
        <v>0</v>
      </c>
      <c r="K667" s="43">
        <v>0</v>
      </c>
      <c r="L667" s="43">
        <v>0</v>
      </c>
      <c r="M667" s="43">
        <v>0</v>
      </c>
      <c r="N667" s="43">
        <v>0</v>
      </c>
      <c r="O667" s="43">
        <v>0</v>
      </c>
      <c r="P667" s="47">
        <v>0</v>
      </c>
      <c r="R667" s="37">
        <v>0</v>
      </c>
      <c r="S667" s="37">
        <v>0</v>
      </c>
      <c r="T667" s="37">
        <v>0</v>
      </c>
      <c r="U667" s="37">
        <v>0</v>
      </c>
      <c r="V667" s="37">
        <v>0</v>
      </c>
      <c r="W667" s="37">
        <v>0</v>
      </c>
      <c r="X667" s="37">
        <v>0</v>
      </c>
      <c r="Y667" s="37">
        <v>0</v>
      </c>
      <c r="Z667" s="37">
        <v>0</v>
      </c>
      <c r="AA667" s="37">
        <v>0</v>
      </c>
      <c r="AB667" s="37">
        <v>0</v>
      </c>
      <c r="AC667" s="37">
        <v>0</v>
      </c>
      <c r="AD667" s="37">
        <v>0</v>
      </c>
      <c r="AE667" s="37">
        <v>0</v>
      </c>
      <c r="AF667" s="37">
        <v>0</v>
      </c>
      <c r="AG667" s="59">
        <v>0</v>
      </c>
      <c r="AH667" s="37">
        <v>0</v>
      </c>
      <c r="AI667" s="37">
        <v>0</v>
      </c>
      <c r="AJ667" s="37">
        <v>0</v>
      </c>
      <c r="AK667" s="37">
        <v>0</v>
      </c>
      <c r="AL667" s="37">
        <v>0</v>
      </c>
      <c r="AM667" s="37">
        <v>0</v>
      </c>
      <c r="AN667" s="37">
        <v>0</v>
      </c>
      <c r="AO667" s="37">
        <v>0</v>
      </c>
      <c r="AP667" s="37">
        <v>0</v>
      </c>
      <c r="AQ667" s="37">
        <v>0</v>
      </c>
      <c r="AR667" s="37">
        <v>0</v>
      </c>
      <c r="AS667" s="59">
        <v>0</v>
      </c>
      <c r="AT667" s="59">
        <v>0</v>
      </c>
      <c r="AU667" s="45"/>
      <c r="AV667" s="37">
        <v>0</v>
      </c>
      <c r="AW667" s="37">
        <v>0</v>
      </c>
      <c r="AX667" s="37">
        <v>0</v>
      </c>
      <c r="AY667" s="37">
        <v>0</v>
      </c>
      <c r="AZ667" s="37">
        <v>0</v>
      </c>
      <c r="BA667" s="37">
        <v>0</v>
      </c>
      <c r="BB667" s="37">
        <v>0</v>
      </c>
      <c r="BC667" s="37">
        <v>0</v>
      </c>
      <c r="BD667" s="37">
        <v>0</v>
      </c>
      <c r="BE667" s="37">
        <v>0</v>
      </c>
      <c r="BF667" s="37">
        <v>0</v>
      </c>
      <c r="BG667" s="37">
        <v>0</v>
      </c>
      <c r="BH667" s="37">
        <v>0</v>
      </c>
      <c r="BI667" s="37">
        <v>0</v>
      </c>
      <c r="BJ667" s="37">
        <v>0</v>
      </c>
      <c r="BK667" s="59">
        <v>0</v>
      </c>
      <c r="BL667" s="37">
        <v>0</v>
      </c>
      <c r="BM667" s="37">
        <v>0</v>
      </c>
      <c r="BN667" s="37">
        <v>0</v>
      </c>
      <c r="BO667" s="37">
        <v>0</v>
      </c>
      <c r="BP667" s="37">
        <v>0</v>
      </c>
      <c r="BQ667" s="37">
        <v>0</v>
      </c>
      <c r="BR667" s="37">
        <v>0</v>
      </c>
      <c r="BS667" s="37">
        <v>0</v>
      </c>
      <c r="BT667" s="37">
        <v>0</v>
      </c>
      <c r="BU667" s="37">
        <v>0</v>
      </c>
      <c r="BV667" s="37">
        <v>0</v>
      </c>
      <c r="BW667" s="59">
        <v>0</v>
      </c>
      <c r="BX667" s="59">
        <v>0</v>
      </c>
      <c r="BZ667" s="37">
        <v>0</v>
      </c>
      <c r="CA667" s="37">
        <v>0</v>
      </c>
      <c r="CB667" s="37">
        <v>0</v>
      </c>
      <c r="CC667" s="37">
        <v>0</v>
      </c>
      <c r="CD667" s="37">
        <v>0</v>
      </c>
      <c r="CE667" s="37">
        <v>0</v>
      </c>
      <c r="CF667" s="37">
        <v>0</v>
      </c>
      <c r="CG667" s="59">
        <v>0</v>
      </c>
      <c r="CH667" s="37">
        <v>0</v>
      </c>
      <c r="CI667" s="37">
        <v>0</v>
      </c>
      <c r="CJ667" s="37">
        <v>0</v>
      </c>
      <c r="CK667" s="37">
        <v>0</v>
      </c>
      <c r="CL667" s="37">
        <v>0</v>
      </c>
      <c r="CM667" s="37">
        <v>0</v>
      </c>
      <c r="CN667" s="59">
        <v>0</v>
      </c>
      <c r="CO667" s="59">
        <v>0</v>
      </c>
      <c r="CP667" s="58"/>
      <c r="CQ667" s="3">
        <v>0</v>
      </c>
    </row>
    <row r="668" spans="1:95" customFormat="1" x14ac:dyDescent="0.2">
      <c r="A668" s="33">
        <v>0</v>
      </c>
      <c r="B668" s="33">
        <v>0</v>
      </c>
      <c r="C668" s="33">
        <v>0</v>
      </c>
      <c r="D668" s="43">
        <v>0</v>
      </c>
      <c r="E668" s="43">
        <v>0</v>
      </c>
      <c r="F668" s="43">
        <v>0</v>
      </c>
      <c r="G668" s="43">
        <v>0</v>
      </c>
      <c r="H668" s="43">
        <v>0</v>
      </c>
      <c r="I668" s="43">
        <v>0</v>
      </c>
      <c r="J668" s="43">
        <v>0</v>
      </c>
      <c r="K668" s="43">
        <v>0</v>
      </c>
      <c r="L668" s="43">
        <v>0</v>
      </c>
      <c r="M668" s="43">
        <v>0</v>
      </c>
      <c r="N668" s="43">
        <v>0</v>
      </c>
      <c r="O668" s="43">
        <v>0</v>
      </c>
      <c r="P668" s="47">
        <v>0</v>
      </c>
      <c r="R668" s="37">
        <v>0</v>
      </c>
      <c r="S668" s="37">
        <v>0</v>
      </c>
      <c r="T668" s="37">
        <v>0</v>
      </c>
      <c r="U668" s="37">
        <v>0</v>
      </c>
      <c r="V668" s="37">
        <v>0</v>
      </c>
      <c r="W668" s="37">
        <v>0</v>
      </c>
      <c r="X668" s="37">
        <v>0</v>
      </c>
      <c r="Y668" s="37">
        <v>0</v>
      </c>
      <c r="Z668" s="37">
        <v>0</v>
      </c>
      <c r="AA668" s="37">
        <v>0</v>
      </c>
      <c r="AB668" s="37">
        <v>0</v>
      </c>
      <c r="AC668" s="37">
        <v>0</v>
      </c>
      <c r="AD668" s="37">
        <v>0</v>
      </c>
      <c r="AE668" s="37">
        <v>0</v>
      </c>
      <c r="AF668" s="37">
        <v>0</v>
      </c>
      <c r="AG668" s="59">
        <v>0</v>
      </c>
      <c r="AH668" s="37">
        <v>0</v>
      </c>
      <c r="AI668" s="37">
        <v>0</v>
      </c>
      <c r="AJ668" s="37">
        <v>0</v>
      </c>
      <c r="AK668" s="37">
        <v>0</v>
      </c>
      <c r="AL668" s="37">
        <v>0</v>
      </c>
      <c r="AM668" s="37">
        <v>0</v>
      </c>
      <c r="AN668" s="37">
        <v>0</v>
      </c>
      <c r="AO668" s="37">
        <v>0</v>
      </c>
      <c r="AP668" s="37">
        <v>0</v>
      </c>
      <c r="AQ668" s="37">
        <v>0</v>
      </c>
      <c r="AR668" s="37">
        <v>0</v>
      </c>
      <c r="AS668" s="59">
        <v>0</v>
      </c>
      <c r="AT668" s="59">
        <v>0</v>
      </c>
      <c r="AU668" s="45"/>
      <c r="AV668" s="37">
        <v>0</v>
      </c>
      <c r="AW668" s="37">
        <v>0</v>
      </c>
      <c r="AX668" s="37">
        <v>0</v>
      </c>
      <c r="AY668" s="37">
        <v>0</v>
      </c>
      <c r="AZ668" s="37">
        <v>0</v>
      </c>
      <c r="BA668" s="37">
        <v>0</v>
      </c>
      <c r="BB668" s="37">
        <v>0</v>
      </c>
      <c r="BC668" s="37">
        <v>0</v>
      </c>
      <c r="BD668" s="37">
        <v>0</v>
      </c>
      <c r="BE668" s="37">
        <v>0</v>
      </c>
      <c r="BF668" s="37">
        <v>0</v>
      </c>
      <c r="BG668" s="37">
        <v>0</v>
      </c>
      <c r="BH668" s="37">
        <v>0</v>
      </c>
      <c r="BI668" s="37">
        <v>0</v>
      </c>
      <c r="BJ668" s="37">
        <v>0</v>
      </c>
      <c r="BK668" s="59">
        <v>0</v>
      </c>
      <c r="BL668" s="37">
        <v>0</v>
      </c>
      <c r="BM668" s="37">
        <v>0</v>
      </c>
      <c r="BN668" s="37">
        <v>0</v>
      </c>
      <c r="BO668" s="37">
        <v>0</v>
      </c>
      <c r="BP668" s="37">
        <v>0</v>
      </c>
      <c r="BQ668" s="37">
        <v>0</v>
      </c>
      <c r="BR668" s="37">
        <v>0</v>
      </c>
      <c r="BS668" s="37">
        <v>0</v>
      </c>
      <c r="BT668" s="37">
        <v>0</v>
      </c>
      <c r="BU668" s="37">
        <v>0</v>
      </c>
      <c r="BV668" s="37">
        <v>0</v>
      </c>
      <c r="BW668" s="59">
        <v>0</v>
      </c>
      <c r="BX668" s="59">
        <v>0</v>
      </c>
      <c r="BZ668" s="37">
        <v>0</v>
      </c>
      <c r="CA668" s="37">
        <v>0</v>
      </c>
      <c r="CB668" s="37">
        <v>0</v>
      </c>
      <c r="CC668" s="37">
        <v>0</v>
      </c>
      <c r="CD668" s="37">
        <v>0</v>
      </c>
      <c r="CE668" s="37">
        <v>0</v>
      </c>
      <c r="CF668" s="37">
        <v>0</v>
      </c>
      <c r="CG668" s="59">
        <v>0</v>
      </c>
      <c r="CH668" s="37">
        <v>0</v>
      </c>
      <c r="CI668" s="37">
        <v>0</v>
      </c>
      <c r="CJ668" s="37">
        <v>0</v>
      </c>
      <c r="CK668" s="37">
        <v>0</v>
      </c>
      <c r="CL668" s="37">
        <v>0</v>
      </c>
      <c r="CM668" s="37">
        <v>0</v>
      </c>
      <c r="CN668" s="59">
        <v>0</v>
      </c>
      <c r="CO668" s="59">
        <v>0</v>
      </c>
      <c r="CP668" s="58"/>
      <c r="CQ668" s="3">
        <v>0</v>
      </c>
    </row>
    <row r="669" spans="1:95" customFormat="1" x14ac:dyDescent="0.2">
      <c r="A669" s="33">
        <v>0</v>
      </c>
      <c r="B669" s="33">
        <v>0</v>
      </c>
      <c r="C669" s="33">
        <v>0</v>
      </c>
      <c r="D669" s="43">
        <v>0</v>
      </c>
      <c r="E669" s="43">
        <v>0</v>
      </c>
      <c r="F669" s="43">
        <v>0</v>
      </c>
      <c r="G669" s="43">
        <v>0</v>
      </c>
      <c r="H669" s="43">
        <v>0</v>
      </c>
      <c r="I669" s="43">
        <v>0</v>
      </c>
      <c r="J669" s="43">
        <v>0</v>
      </c>
      <c r="K669" s="43">
        <v>0</v>
      </c>
      <c r="L669" s="43">
        <v>0</v>
      </c>
      <c r="M669" s="43">
        <v>0</v>
      </c>
      <c r="N669" s="43">
        <v>0</v>
      </c>
      <c r="O669" s="43">
        <v>0</v>
      </c>
      <c r="P669" s="47">
        <v>0</v>
      </c>
      <c r="R669" s="37">
        <v>0</v>
      </c>
      <c r="S669" s="37">
        <v>0</v>
      </c>
      <c r="T669" s="37">
        <v>0</v>
      </c>
      <c r="U669" s="37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7">
        <v>0</v>
      </c>
      <c r="AB669" s="37">
        <v>0</v>
      </c>
      <c r="AC669" s="37">
        <v>0</v>
      </c>
      <c r="AD669" s="37">
        <v>0</v>
      </c>
      <c r="AE669" s="37">
        <v>0</v>
      </c>
      <c r="AF669" s="37">
        <v>0</v>
      </c>
      <c r="AG669" s="59">
        <v>0</v>
      </c>
      <c r="AH669" s="37">
        <v>0</v>
      </c>
      <c r="AI669" s="37">
        <v>0</v>
      </c>
      <c r="AJ669" s="37">
        <v>0</v>
      </c>
      <c r="AK669" s="37">
        <v>0</v>
      </c>
      <c r="AL669" s="37">
        <v>0</v>
      </c>
      <c r="AM669" s="37">
        <v>0</v>
      </c>
      <c r="AN669" s="37">
        <v>0</v>
      </c>
      <c r="AO669" s="37">
        <v>0</v>
      </c>
      <c r="AP669" s="37">
        <v>0</v>
      </c>
      <c r="AQ669" s="37">
        <v>0</v>
      </c>
      <c r="AR669" s="37">
        <v>0</v>
      </c>
      <c r="AS669" s="59">
        <v>0</v>
      </c>
      <c r="AT669" s="59">
        <v>0</v>
      </c>
      <c r="AU669" s="45"/>
      <c r="AV669" s="37">
        <v>0</v>
      </c>
      <c r="AW669" s="37">
        <v>0</v>
      </c>
      <c r="AX669" s="37">
        <v>0</v>
      </c>
      <c r="AY669" s="37">
        <v>0</v>
      </c>
      <c r="AZ669" s="37">
        <v>0</v>
      </c>
      <c r="BA669" s="37">
        <v>0</v>
      </c>
      <c r="BB669" s="37">
        <v>0</v>
      </c>
      <c r="BC669" s="37">
        <v>0</v>
      </c>
      <c r="BD669" s="37">
        <v>0</v>
      </c>
      <c r="BE669" s="37">
        <v>0</v>
      </c>
      <c r="BF669" s="37">
        <v>0</v>
      </c>
      <c r="BG669" s="37">
        <v>0</v>
      </c>
      <c r="BH669" s="37">
        <v>0</v>
      </c>
      <c r="BI669" s="37">
        <v>0</v>
      </c>
      <c r="BJ669" s="37">
        <v>0</v>
      </c>
      <c r="BK669" s="59">
        <v>0</v>
      </c>
      <c r="BL669" s="37">
        <v>0</v>
      </c>
      <c r="BM669" s="37">
        <v>0</v>
      </c>
      <c r="BN669" s="37">
        <v>0</v>
      </c>
      <c r="BO669" s="37">
        <v>0</v>
      </c>
      <c r="BP669" s="37">
        <v>0</v>
      </c>
      <c r="BQ669" s="37">
        <v>0</v>
      </c>
      <c r="BR669" s="37">
        <v>0</v>
      </c>
      <c r="BS669" s="37">
        <v>0</v>
      </c>
      <c r="BT669" s="37">
        <v>0</v>
      </c>
      <c r="BU669" s="37">
        <v>0</v>
      </c>
      <c r="BV669" s="37">
        <v>0</v>
      </c>
      <c r="BW669" s="59">
        <v>0</v>
      </c>
      <c r="BX669" s="59">
        <v>0</v>
      </c>
      <c r="BZ669" s="37">
        <v>0</v>
      </c>
      <c r="CA669" s="37">
        <v>0</v>
      </c>
      <c r="CB669" s="37">
        <v>0</v>
      </c>
      <c r="CC669" s="37">
        <v>0</v>
      </c>
      <c r="CD669" s="37">
        <v>0</v>
      </c>
      <c r="CE669" s="37">
        <v>0</v>
      </c>
      <c r="CF669" s="37">
        <v>0</v>
      </c>
      <c r="CG669" s="59">
        <v>0</v>
      </c>
      <c r="CH669" s="37">
        <v>0</v>
      </c>
      <c r="CI669" s="37">
        <v>0</v>
      </c>
      <c r="CJ669" s="37">
        <v>0</v>
      </c>
      <c r="CK669" s="37">
        <v>0</v>
      </c>
      <c r="CL669" s="37">
        <v>0</v>
      </c>
      <c r="CM669" s="37">
        <v>0</v>
      </c>
      <c r="CN669" s="59">
        <v>0</v>
      </c>
      <c r="CO669" s="59">
        <v>0</v>
      </c>
      <c r="CP669" s="58"/>
      <c r="CQ669" s="3">
        <v>0</v>
      </c>
    </row>
    <row r="670" spans="1:95" customFormat="1" x14ac:dyDescent="0.2">
      <c r="A670" s="33">
        <v>0</v>
      </c>
      <c r="B670" s="33">
        <v>0</v>
      </c>
      <c r="C670" s="33">
        <v>0</v>
      </c>
      <c r="D670" s="43">
        <v>0</v>
      </c>
      <c r="E670" s="43">
        <v>0</v>
      </c>
      <c r="F670" s="43">
        <v>0</v>
      </c>
      <c r="G670" s="43">
        <v>0</v>
      </c>
      <c r="H670" s="43">
        <v>0</v>
      </c>
      <c r="I670" s="43">
        <v>0</v>
      </c>
      <c r="J670" s="43">
        <v>0</v>
      </c>
      <c r="K670" s="43">
        <v>0</v>
      </c>
      <c r="L670" s="43">
        <v>0</v>
      </c>
      <c r="M670" s="43">
        <v>0</v>
      </c>
      <c r="N670" s="43">
        <v>0</v>
      </c>
      <c r="O670" s="43">
        <v>0</v>
      </c>
      <c r="P670" s="47">
        <v>0</v>
      </c>
      <c r="R670" s="37">
        <v>0</v>
      </c>
      <c r="S670" s="37">
        <v>0</v>
      </c>
      <c r="T670" s="37">
        <v>0</v>
      </c>
      <c r="U670" s="37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7">
        <v>0</v>
      </c>
      <c r="AB670" s="37">
        <v>0</v>
      </c>
      <c r="AC670" s="37">
        <v>0</v>
      </c>
      <c r="AD670" s="37">
        <v>0</v>
      </c>
      <c r="AE670" s="37">
        <v>0</v>
      </c>
      <c r="AF670" s="37">
        <v>0</v>
      </c>
      <c r="AG670" s="59">
        <v>0</v>
      </c>
      <c r="AH670" s="37">
        <v>0</v>
      </c>
      <c r="AI670" s="37">
        <v>0</v>
      </c>
      <c r="AJ670" s="37">
        <v>0</v>
      </c>
      <c r="AK670" s="37">
        <v>0</v>
      </c>
      <c r="AL670" s="37">
        <v>0</v>
      </c>
      <c r="AM670" s="37">
        <v>0</v>
      </c>
      <c r="AN670" s="37">
        <v>0</v>
      </c>
      <c r="AO670" s="37">
        <v>0</v>
      </c>
      <c r="AP670" s="37">
        <v>0</v>
      </c>
      <c r="AQ670" s="37">
        <v>0</v>
      </c>
      <c r="AR670" s="37">
        <v>0</v>
      </c>
      <c r="AS670" s="59">
        <v>0</v>
      </c>
      <c r="AT670" s="59">
        <v>0</v>
      </c>
      <c r="AU670" s="45"/>
      <c r="AV670" s="37">
        <v>0</v>
      </c>
      <c r="AW670" s="37">
        <v>0</v>
      </c>
      <c r="AX670" s="37">
        <v>0</v>
      </c>
      <c r="AY670" s="37">
        <v>0</v>
      </c>
      <c r="AZ670" s="37">
        <v>0</v>
      </c>
      <c r="BA670" s="37">
        <v>0</v>
      </c>
      <c r="BB670" s="37">
        <v>0</v>
      </c>
      <c r="BC670" s="37">
        <v>0</v>
      </c>
      <c r="BD670" s="37">
        <v>0</v>
      </c>
      <c r="BE670" s="37">
        <v>0</v>
      </c>
      <c r="BF670" s="37">
        <v>0</v>
      </c>
      <c r="BG670" s="37">
        <v>0</v>
      </c>
      <c r="BH670" s="37">
        <v>0</v>
      </c>
      <c r="BI670" s="37">
        <v>0</v>
      </c>
      <c r="BJ670" s="37">
        <v>0</v>
      </c>
      <c r="BK670" s="59">
        <v>0</v>
      </c>
      <c r="BL670" s="37">
        <v>0</v>
      </c>
      <c r="BM670" s="37">
        <v>0</v>
      </c>
      <c r="BN670" s="37">
        <v>0</v>
      </c>
      <c r="BO670" s="37">
        <v>0</v>
      </c>
      <c r="BP670" s="37">
        <v>0</v>
      </c>
      <c r="BQ670" s="37">
        <v>0</v>
      </c>
      <c r="BR670" s="37">
        <v>0</v>
      </c>
      <c r="BS670" s="37">
        <v>0</v>
      </c>
      <c r="BT670" s="37">
        <v>0</v>
      </c>
      <c r="BU670" s="37">
        <v>0</v>
      </c>
      <c r="BV670" s="37">
        <v>0</v>
      </c>
      <c r="BW670" s="59">
        <v>0</v>
      </c>
      <c r="BX670" s="59">
        <v>0</v>
      </c>
      <c r="BZ670" s="37">
        <v>0</v>
      </c>
      <c r="CA670" s="37">
        <v>0</v>
      </c>
      <c r="CB670" s="37">
        <v>0</v>
      </c>
      <c r="CC670" s="37">
        <v>0</v>
      </c>
      <c r="CD670" s="37">
        <v>0</v>
      </c>
      <c r="CE670" s="37">
        <v>0</v>
      </c>
      <c r="CF670" s="37">
        <v>0</v>
      </c>
      <c r="CG670" s="59">
        <v>0</v>
      </c>
      <c r="CH670" s="37">
        <v>0</v>
      </c>
      <c r="CI670" s="37">
        <v>0</v>
      </c>
      <c r="CJ670" s="37">
        <v>0</v>
      </c>
      <c r="CK670" s="37">
        <v>0</v>
      </c>
      <c r="CL670" s="37">
        <v>0</v>
      </c>
      <c r="CM670" s="37">
        <v>0</v>
      </c>
      <c r="CN670" s="59">
        <v>0</v>
      </c>
      <c r="CO670" s="59">
        <v>0</v>
      </c>
      <c r="CP670" s="58"/>
      <c r="CQ670" s="3">
        <v>0</v>
      </c>
    </row>
    <row r="671" spans="1:95" customFormat="1" x14ac:dyDescent="0.2">
      <c r="A671" s="33">
        <v>0</v>
      </c>
      <c r="B671" s="33">
        <v>0</v>
      </c>
      <c r="C671" s="33">
        <v>0</v>
      </c>
      <c r="D671" s="43">
        <v>0</v>
      </c>
      <c r="E671" s="43">
        <v>0</v>
      </c>
      <c r="F671" s="43">
        <v>0</v>
      </c>
      <c r="G671" s="43">
        <v>0</v>
      </c>
      <c r="H671" s="43">
        <v>0</v>
      </c>
      <c r="I671" s="43">
        <v>0</v>
      </c>
      <c r="J671" s="43">
        <v>0</v>
      </c>
      <c r="K671" s="43">
        <v>0</v>
      </c>
      <c r="L671" s="43">
        <v>0</v>
      </c>
      <c r="M671" s="43">
        <v>0</v>
      </c>
      <c r="N671" s="43">
        <v>0</v>
      </c>
      <c r="O671" s="43">
        <v>0</v>
      </c>
      <c r="P671" s="47">
        <v>0</v>
      </c>
      <c r="R671" s="37">
        <v>0</v>
      </c>
      <c r="S671" s="37">
        <v>0</v>
      </c>
      <c r="T671" s="37">
        <v>0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0</v>
      </c>
      <c r="AB671" s="37">
        <v>0</v>
      </c>
      <c r="AC671" s="37">
        <v>0</v>
      </c>
      <c r="AD671" s="37">
        <v>0</v>
      </c>
      <c r="AE671" s="37">
        <v>0</v>
      </c>
      <c r="AF671" s="37">
        <v>0</v>
      </c>
      <c r="AG671" s="59">
        <v>0</v>
      </c>
      <c r="AH671" s="37">
        <v>0</v>
      </c>
      <c r="AI671" s="37">
        <v>0</v>
      </c>
      <c r="AJ671" s="37">
        <v>0</v>
      </c>
      <c r="AK671" s="37">
        <v>0</v>
      </c>
      <c r="AL671" s="37">
        <v>0</v>
      </c>
      <c r="AM671" s="37">
        <v>0</v>
      </c>
      <c r="AN671" s="37">
        <v>0</v>
      </c>
      <c r="AO671" s="37">
        <v>0</v>
      </c>
      <c r="AP671" s="37">
        <v>0</v>
      </c>
      <c r="AQ671" s="37">
        <v>0</v>
      </c>
      <c r="AR671" s="37">
        <v>0</v>
      </c>
      <c r="AS671" s="59">
        <v>0</v>
      </c>
      <c r="AT671" s="59">
        <v>0</v>
      </c>
      <c r="AU671" s="45"/>
      <c r="AV671" s="37">
        <v>0</v>
      </c>
      <c r="AW671" s="37">
        <v>0</v>
      </c>
      <c r="AX671" s="37">
        <v>0</v>
      </c>
      <c r="AY671" s="37">
        <v>0</v>
      </c>
      <c r="AZ671" s="37">
        <v>0</v>
      </c>
      <c r="BA671" s="37">
        <v>0</v>
      </c>
      <c r="BB671" s="37">
        <v>0</v>
      </c>
      <c r="BC671" s="37">
        <v>0</v>
      </c>
      <c r="BD671" s="37">
        <v>0</v>
      </c>
      <c r="BE671" s="37">
        <v>0</v>
      </c>
      <c r="BF671" s="37">
        <v>0</v>
      </c>
      <c r="BG671" s="37">
        <v>0</v>
      </c>
      <c r="BH671" s="37">
        <v>0</v>
      </c>
      <c r="BI671" s="37">
        <v>0</v>
      </c>
      <c r="BJ671" s="37">
        <v>0</v>
      </c>
      <c r="BK671" s="59">
        <v>0</v>
      </c>
      <c r="BL671" s="37">
        <v>0</v>
      </c>
      <c r="BM671" s="37">
        <v>0</v>
      </c>
      <c r="BN671" s="37">
        <v>0</v>
      </c>
      <c r="BO671" s="37">
        <v>0</v>
      </c>
      <c r="BP671" s="37">
        <v>0</v>
      </c>
      <c r="BQ671" s="37">
        <v>0</v>
      </c>
      <c r="BR671" s="37">
        <v>0</v>
      </c>
      <c r="BS671" s="37">
        <v>0</v>
      </c>
      <c r="BT671" s="37">
        <v>0</v>
      </c>
      <c r="BU671" s="37">
        <v>0</v>
      </c>
      <c r="BV671" s="37">
        <v>0</v>
      </c>
      <c r="BW671" s="59">
        <v>0</v>
      </c>
      <c r="BX671" s="59">
        <v>0</v>
      </c>
      <c r="BZ671" s="37">
        <v>0</v>
      </c>
      <c r="CA671" s="37">
        <v>0</v>
      </c>
      <c r="CB671" s="37">
        <v>0</v>
      </c>
      <c r="CC671" s="37">
        <v>0</v>
      </c>
      <c r="CD671" s="37">
        <v>0</v>
      </c>
      <c r="CE671" s="37">
        <v>0</v>
      </c>
      <c r="CF671" s="37">
        <v>0</v>
      </c>
      <c r="CG671" s="59">
        <v>0</v>
      </c>
      <c r="CH671" s="37">
        <v>0</v>
      </c>
      <c r="CI671" s="37">
        <v>0</v>
      </c>
      <c r="CJ671" s="37">
        <v>0</v>
      </c>
      <c r="CK671" s="37">
        <v>0</v>
      </c>
      <c r="CL671" s="37">
        <v>0</v>
      </c>
      <c r="CM671" s="37">
        <v>0</v>
      </c>
      <c r="CN671" s="59">
        <v>0</v>
      </c>
      <c r="CO671" s="59">
        <v>0</v>
      </c>
      <c r="CP671" s="58"/>
      <c r="CQ671" s="3">
        <v>0</v>
      </c>
    </row>
    <row r="672" spans="1:95" customFormat="1" x14ac:dyDescent="0.2">
      <c r="A672" s="33">
        <v>0</v>
      </c>
      <c r="B672" s="33">
        <v>0</v>
      </c>
      <c r="C672" s="33">
        <v>0</v>
      </c>
      <c r="D672" s="43">
        <v>0</v>
      </c>
      <c r="E672" s="43">
        <v>0</v>
      </c>
      <c r="F672" s="43">
        <v>0</v>
      </c>
      <c r="G672" s="43">
        <v>0</v>
      </c>
      <c r="H672" s="43">
        <v>0</v>
      </c>
      <c r="I672" s="43">
        <v>0</v>
      </c>
      <c r="J672" s="43">
        <v>0</v>
      </c>
      <c r="K672" s="43">
        <v>0</v>
      </c>
      <c r="L672" s="43">
        <v>0</v>
      </c>
      <c r="M672" s="43">
        <v>0</v>
      </c>
      <c r="N672" s="43">
        <v>0</v>
      </c>
      <c r="O672" s="43">
        <v>0</v>
      </c>
      <c r="P672" s="4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59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59">
        <v>0</v>
      </c>
      <c r="AT672" s="59">
        <v>0</v>
      </c>
      <c r="AU672" s="45"/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>
        <v>0</v>
      </c>
      <c r="BB672" s="37">
        <v>0</v>
      </c>
      <c r="BC672" s="37">
        <v>0</v>
      </c>
      <c r="BD672" s="37">
        <v>0</v>
      </c>
      <c r="BE672" s="37">
        <v>0</v>
      </c>
      <c r="BF672" s="37">
        <v>0</v>
      </c>
      <c r="BG672" s="37">
        <v>0</v>
      </c>
      <c r="BH672" s="37">
        <v>0</v>
      </c>
      <c r="BI672" s="37">
        <v>0</v>
      </c>
      <c r="BJ672" s="37">
        <v>0</v>
      </c>
      <c r="BK672" s="59">
        <v>0</v>
      </c>
      <c r="BL672" s="37">
        <v>0</v>
      </c>
      <c r="BM672" s="37">
        <v>0</v>
      </c>
      <c r="BN672" s="37">
        <v>0</v>
      </c>
      <c r="BO672" s="37">
        <v>0</v>
      </c>
      <c r="BP672" s="37">
        <v>0</v>
      </c>
      <c r="BQ672" s="37">
        <v>0</v>
      </c>
      <c r="BR672" s="37">
        <v>0</v>
      </c>
      <c r="BS672" s="37">
        <v>0</v>
      </c>
      <c r="BT672" s="37">
        <v>0</v>
      </c>
      <c r="BU672" s="37">
        <v>0</v>
      </c>
      <c r="BV672" s="37">
        <v>0</v>
      </c>
      <c r="BW672" s="59">
        <v>0</v>
      </c>
      <c r="BX672" s="59">
        <v>0</v>
      </c>
      <c r="BZ672" s="37">
        <v>0</v>
      </c>
      <c r="CA672" s="37">
        <v>0</v>
      </c>
      <c r="CB672" s="37">
        <v>0</v>
      </c>
      <c r="CC672" s="37">
        <v>0</v>
      </c>
      <c r="CD672" s="37">
        <v>0</v>
      </c>
      <c r="CE672" s="37">
        <v>0</v>
      </c>
      <c r="CF672" s="37">
        <v>0</v>
      </c>
      <c r="CG672" s="59">
        <v>0</v>
      </c>
      <c r="CH672" s="37">
        <v>0</v>
      </c>
      <c r="CI672" s="37">
        <v>0</v>
      </c>
      <c r="CJ672" s="37">
        <v>0</v>
      </c>
      <c r="CK672" s="37">
        <v>0</v>
      </c>
      <c r="CL672" s="37">
        <v>0</v>
      </c>
      <c r="CM672" s="37">
        <v>0</v>
      </c>
      <c r="CN672" s="59">
        <v>0</v>
      </c>
      <c r="CO672" s="59">
        <v>0</v>
      </c>
      <c r="CP672" s="58"/>
      <c r="CQ672" s="3">
        <v>0</v>
      </c>
    </row>
    <row r="673" spans="1:95" customFormat="1" x14ac:dyDescent="0.2">
      <c r="A673" s="33">
        <v>0</v>
      </c>
      <c r="B673" s="33">
        <v>0</v>
      </c>
      <c r="C673" s="33">
        <v>0</v>
      </c>
      <c r="D673" s="43">
        <v>0</v>
      </c>
      <c r="E673" s="43">
        <v>0</v>
      </c>
      <c r="F673" s="43">
        <v>0</v>
      </c>
      <c r="G673" s="43">
        <v>0</v>
      </c>
      <c r="H673" s="43">
        <v>0</v>
      </c>
      <c r="I673" s="43">
        <v>0</v>
      </c>
      <c r="J673" s="43">
        <v>0</v>
      </c>
      <c r="K673" s="43">
        <v>0</v>
      </c>
      <c r="L673" s="43">
        <v>0</v>
      </c>
      <c r="M673" s="43">
        <v>0</v>
      </c>
      <c r="N673" s="43">
        <v>0</v>
      </c>
      <c r="O673" s="43">
        <v>0</v>
      </c>
      <c r="P673" s="47">
        <v>0</v>
      </c>
      <c r="R673" s="37">
        <v>0</v>
      </c>
      <c r="S673" s="37">
        <v>0</v>
      </c>
      <c r="T673" s="37">
        <v>0</v>
      </c>
      <c r="U673" s="37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7">
        <v>0</v>
      </c>
      <c r="AB673" s="37">
        <v>0</v>
      </c>
      <c r="AC673" s="37">
        <v>0</v>
      </c>
      <c r="AD673" s="37">
        <v>0</v>
      </c>
      <c r="AE673" s="37">
        <v>0</v>
      </c>
      <c r="AF673" s="37">
        <v>0</v>
      </c>
      <c r="AG673" s="59">
        <v>0</v>
      </c>
      <c r="AH673" s="37">
        <v>0</v>
      </c>
      <c r="AI673" s="37">
        <v>0</v>
      </c>
      <c r="AJ673" s="37">
        <v>0</v>
      </c>
      <c r="AK673" s="37">
        <v>0</v>
      </c>
      <c r="AL673" s="37">
        <v>0</v>
      </c>
      <c r="AM673" s="37">
        <v>0</v>
      </c>
      <c r="AN673" s="37">
        <v>0</v>
      </c>
      <c r="AO673" s="37">
        <v>0</v>
      </c>
      <c r="AP673" s="37">
        <v>0</v>
      </c>
      <c r="AQ673" s="37">
        <v>0</v>
      </c>
      <c r="AR673" s="37">
        <v>0</v>
      </c>
      <c r="AS673" s="59">
        <v>0</v>
      </c>
      <c r="AT673" s="59">
        <v>0</v>
      </c>
      <c r="AU673" s="45"/>
      <c r="AV673" s="37">
        <v>0</v>
      </c>
      <c r="AW673" s="37">
        <v>0</v>
      </c>
      <c r="AX673" s="37">
        <v>0</v>
      </c>
      <c r="AY673" s="37">
        <v>0</v>
      </c>
      <c r="AZ673" s="37">
        <v>0</v>
      </c>
      <c r="BA673" s="37">
        <v>0</v>
      </c>
      <c r="BB673" s="37">
        <v>0</v>
      </c>
      <c r="BC673" s="37">
        <v>0</v>
      </c>
      <c r="BD673" s="37">
        <v>0</v>
      </c>
      <c r="BE673" s="37">
        <v>0</v>
      </c>
      <c r="BF673" s="37">
        <v>0</v>
      </c>
      <c r="BG673" s="37">
        <v>0</v>
      </c>
      <c r="BH673" s="37">
        <v>0</v>
      </c>
      <c r="BI673" s="37">
        <v>0</v>
      </c>
      <c r="BJ673" s="37">
        <v>0</v>
      </c>
      <c r="BK673" s="59">
        <v>0</v>
      </c>
      <c r="BL673" s="37">
        <v>0</v>
      </c>
      <c r="BM673" s="37">
        <v>0</v>
      </c>
      <c r="BN673" s="37">
        <v>0</v>
      </c>
      <c r="BO673" s="37">
        <v>0</v>
      </c>
      <c r="BP673" s="37">
        <v>0</v>
      </c>
      <c r="BQ673" s="37">
        <v>0</v>
      </c>
      <c r="BR673" s="37">
        <v>0</v>
      </c>
      <c r="BS673" s="37">
        <v>0</v>
      </c>
      <c r="BT673" s="37">
        <v>0</v>
      </c>
      <c r="BU673" s="37">
        <v>0</v>
      </c>
      <c r="BV673" s="37">
        <v>0</v>
      </c>
      <c r="BW673" s="59">
        <v>0</v>
      </c>
      <c r="BX673" s="59">
        <v>0</v>
      </c>
      <c r="BZ673" s="37">
        <v>0</v>
      </c>
      <c r="CA673" s="37">
        <v>0</v>
      </c>
      <c r="CB673" s="37">
        <v>0</v>
      </c>
      <c r="CC673" s="37">
        <v>0</v>
      </c>
      <c r="CD673" s="37">
        <v>0</v>
      </c>
      <c r="CE673" s="37">
        <v>0</v>
      </c>
      <c r="CF673" s="37">
        <v>0</v>
      </c>
      <c r="CG673" s="59">
        <v>0</v>
      </c>
      <c r="CH673" s="37">
        <v>0</v>
      </c>
      <c r="CI673" s="37">
        <v>0</v>
      </c>
      <c r="CJ673" s="37">
        <v>0</v>
      </c>
      <c r="CK673" s="37">
        <v>0</v>
      </c>
      <c r="CL673" s="37">
        <v>0</v>
      </c>
      <c r="CM673" s="37">
        <v>0</v>
      </c>
      <c r="CN673" s="59">
        <v>0</v>
      </c>
      <c r="CO673" s="59">
        <v>0</v>
      </c>
      <c r="CP673" s="58"/>
      <c r="CQ673" s="3">
        <v>0</v>
      </c>
    </row>
    <row r="674" spans="1:95" customFormat="1" x14ac:dyDescent="0.2">
      <c r="A674" s="33">
        <v>0</v>
      </c>
      <c r="B674" s="33">
        <v>0</v>
      </c>
      <c r="C674" s="33">
        <v>0</v>
      </c>
      <c r="D674" s="43">
        <v>0</v>
      </c>
      <c r="E674" s="43">
        <v>0</v>
      </c>
      <c r="F674" s="43">
        <v>0</v>
      </c>
      <c r="G674" s="43">
        <v>0</v>
      </c>
      <c r="H674" s="43">
        <v>0</v>
      </c>
      <c r="I674" s="43">
        <v>0</v>
      </c>
      <c r="J674" s="43">
        <v>0</v>
      </c>
      <c r="K674" s="43">
        <v>0</v>
      </c>
      <c r="L674" s="43">
        <v>0</v>
      </c>
      <c r="M674" s="43">
        <v>0</v>
      </c>
      <c r="N674" s="43">
        <v>0</v>
      </c>
      <c r="O674" s="43">
        <v>0</v>
      </c>
      <c r="P674" s="47">
        <v>0</v>
      </c>
      <c r="R674" s="37">
        <v>0</v>
      </c>
      <c r="S674" s="37">
        <v>0</v>
      </c>
      <c r="T674" s="37">
        <v>0</v>
      </c>
      <c r="U674" s="37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7">
        <v>0</v>
      </c>
      <c r="AB674" s="37">
        <v>0</v>
      </c>
      <c r="AC674" s="37">
        <v>0</v>
      </c>
      <c r="AD674" s="37">
        <v>0</v>
      </c>
      <c r="AE674" s="37">
        <v>0</v>
      </c>
      <c r="AF674" s="37">
        <v>0</v>
      </c>
      <c r="AG674" s="59">
        <v>0</v>
      </c>
      <c r="AH674" s="37">
        <v>0</v>
      </c>
      <c r="AI674" s="37">
        <v>0</v>
      </c>
      <c r="AJ674" s="37">
        <v>0</v>
      </c>
      <c r="AK674" s="37">
        <v>0</v>
      </c>
      <c r="AL674" s="37">
        <v>0</v>
      </c>
      <c r="AM674" s="37">
        <v>0</v>
      </c>
      <c r="AN674" s="37">
        <v>0</v>
      </c>
      <c r="AO674" s="37">
        <v>0</v>
      </c>
      <c r="AP674" s="37">
        <v>0</v>
      </c>
      <c r="AQ674" s="37">
        <v>0</v>
      </c>
      <c r="AR674" s="37">
        <v>0</v>
      </c>
      <c r="AS674" s="59">
        <v>0</v>
      </c>
      <c r="AT674" s="59">
        <v>0</v>
      </c>
      <c r="AU674" s="45"/>
      <c r="AV674" s="37">
        <v>0</v>
      </c>
      <c r="AW674" s="37">
        <v>0</v>
      </c>
      <c r="AX674" s="37">
        <v>0</v>
      </c>
      <c r="AY674" s="37">
        <v>0</v>
      </c>
      <c r="AZ674" s="37">
        <v>0</v>
      </c>
      <c r="BA674" s="37">
        <v>0</v>
      </c>
      <c r="BB674" s="37">
        <v>0</v>
      </c>
      <c r="BC674" s="37">
        <v>0</v>
      </c>
      <c r="BD674" s="37">
        <v>0</v>
      </c>
      <c r="BE674" s="37">
        <v>0</v>
      </c>
      <c r="BF674" s="37">
        <v>0</v>
      </c>
      <c r="BG674" s="37">
        <v>0</v>
      </c>
      <c r="BH674" s="37">
        <v>0</v>
      </c>
      <c r="BI674" s="37">
        <v>0</v>
      </c>
      <c r="BJ674" s="37">
        <v>0</v>
      </c>
      <c r="BK674" s="59">
        <v>0</v>
      </c>
      <c r="BL674" s="37">
        <v>0</v>
      </c>
      <c r="BM674" s="37">
        <v>0</v>
      </c>
      <c r="BN674" s="37">
        <v>0</v>
      </c>
      <c r="BO674" s="37">
        <v>0</v>
      </c>
      <c r="BP674" s="37">
        <v>0</v>
      </c>
      <c r="BQ674" s="37">
        <v>0</v>
      </c>
      <c r="BR674" s="37">
        <v>0</v>
      </c>
      <c r="BS674" s="37">
        <v>0</v>
      </c>
      <c r="BT674" s="37">
        <v>0</v>
      </c>
      <c r="BU674" s="37">
        <v>0</v>
      </c>
      <c r="BV674" s="37">
        <v>0</v>
      </c>
      <c r="BW674" s="59">
        <v>0</v>
      </c>
      <c r="BX674" s="59">
        <v>0</v>
      </c>
      <c r="BZ674" s="37">
        <v>0</v>
      </c>
      <c r="CA674" s="37">
        <v>0</v>
      </c>
      <c r="CB674" s="37">
        <v>0</v>
      </c>
      <c r="CC674" s="37">
        <v>0</v>
      </c>
      <c r="CD674" s="37">
        <v>0</v>
      </c>
      <c r="CE674" s="37">
        <v>0</v>
      </c>
      <c r="CF674" s="37">
        <v>0</v>
      </c>
      <c r="CG674" s="59">
        <v>0</v>
      </c>
      <c r="CH674" s="37">
        <v>0</v>
      </c>
      <c r="CI674" s="37">
        <v>0</v>
      </c>
      <c r="CJ674" s="37">
        <v>0</v>
      </c>
      <c r="CK674" s="37">
        <v>0</v>
      </c>
      <c r="CL674" s="37">
        <v>0</v>
      </c>
      <c r="CM674" s="37">
        <v>0</v>
      </c>
      <c r="CN674" s="59">
        <v>0</v>
      </c>
      <c r="CO674" s="59">
        <v>0</v>
      </c>
      <c r="CP674" s="58"/>
      <c r="CQ674" s="3">
        <v>0</v>
      </c>
    </row>
    <row r="675" spans="1:95" customFormat="1" x14ac:dyDescent="0.2">
      <c r="A675" s="33">
        <v>0</v>
      </c>
      <c r="B675" s="33">
        <v>0</v>
      </c>
      <c r="C675" s="33">
        <v>0</v>
      </c>
      <c r="D675" s="43">
        <v>0</v>
      </c>
      <c r="E675" s="43">
        <v>0</v>
      </c>
      <c r="F675" s="43">
        <v>0</v>
      </c>
      <c r="G675" s="43">
        <v>0</v>
      </c>
      <c r="H675" s="43">
        <v>0</v>
      </c>
      <c r="I675" s="43">
        <v>0</v>
      </c>
      <c r="J675" s="43">
        <v>0</v>
      </c>
      <c r="K675" s="43">
        <v>0</v>
      </c>
      <c r="L675" s="43">
        <v>0</v>
      </c>
      <c r="M675" s="43">
        <v>0</v>
      </c>
      <c r="N675" s="43">
        <v>0</v>
      </c>
      <c r="O675" s="43">
        <v>0</v>
      </c>
      <c r="P675" s="47">
        <v>0</v>
      </c>
      <c r="R675" s="37">
        <v>0</v>
      </c>
      <c r="S675" s="37">
        <v>0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0</v>
      </c>
      <c r="AB675" s="37">
        <v>0</v>
      </c>
      <c r="AC675" s="37">
        <v>0</v>
      </c>
      <c r="AD675" s="37">
        <v>0</v>
      </c>
      <c r="AE675" s="37">
        <v>0</v>
      </c>
      <c r="AF675" s="37">
        <v>0</v>
      </c>
      <c r="AG675" s="59">
        <v>0</v>
      </c>
      <c r="AH675" s="37">
        <v>0</v>
      </c>
      <c r="AI675" s="37">
        <v>0</v>
      </c>
      <c r="AJ675" s="37"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v>0</v>
      </c>
      <c r="AP675" s="37">
        <v>0</v>
      </c>
      <c r="AQ675" s="37">
        <v>0</v>
      </c>
      <c r="AR675" s="37">
        <v>0</v>
      </c>
      <c r="AS675" s="59">
        <v>0</v>
      </c>
      <c r="AT675" s="59">
        <v>0</v>
      </c>
      <c r="AU675" s="45"/>
      <c r="AV675" s="37">
        <v>0</v>
      </c>
      <c r="AW675" s="37">
        <v>0</v>
      </c>
      <c r="AX675" s="37">
        <v>0</v>
      </c>
      <c r="AY675" s="37">
        <v>0</v>
      </c>
      <c r="AZ675" s="37">
        <v>0</v>
      </c>
      <c r="BA675" s="37">
        <v>0</v>
      </c>
      <c r="BB675" s="37">
        <v>0</v>
      </c>
      <c r="BC675" s="37">
        <v>0</v>
      </c>
      <c r="BD675" s="37">
        <v>0</v>
      </c>
      <c r="BE675" s="37">
        <v>0</v>
      </c>
      <c r="BF675" s="37">
        <v>0</v>
      </c>
      <c r="BG675" s="37">
        <v>0</v>
      </c>
      <c r="BH675" s="37">
        <v>0</v>
      </c>
      <c r="BI675" s="37">
        <v>0</v>
      </c>
      <c r="BJ675" s="37">
        <v>0</v>
      </c>
      <c r="BK675" s="59">
        <v>0</v>
      </c>
      <c r="BL675" s="37">
        <v>0</v>
      </c>
      <c r="BM675" s="37">
        <v>0</v>
      </c>
      <c r="BN675" s="37">
        <v>0</v>
      </c>
      <c r="BO675" s="37">
        <v>0</v>
      </c>
      <c r="BP675" s="37">
        <v>0</v>
      </c>
      <c r="BQ675" s="37">
        <v>0</v>
      </c>
      <c r="BR675" s="37">
        <v>0</v>
      </c>
      <c r="BS675" s="37">
        <v>0</v>
      </c>
      <c r="BT675" s="37">
        <v>0</v>
      </c>
      <c r="BU675" s="37">
        <v>0</v>
      </c>
      <c r="BV675" s="37">
        <v>0</v>
      </c>
      <c r="BW675" s="59">
        <v>0</v>
      </c>
      <c r="BX675" s="59">
        <v>0</v>
      </c>
      <c r="BZ675" s="37">
        <v>0</v>
      </c>
      <c r="CA675" s="37">
        <v>0</v>
      </c>
      <c r="CB675" s="37">
        <v>0</v>
      </c>
      <c r="CC675" s="37">
        <v>0</v>
      </c>
      <c r="CD675" s="37">
        <v>0</v>
      </c>
      <c r="CE675" s="37">
        <v>0</v>
      </c>
      <c r="CF675" s="37">
        <v>0</v>
      </c>
      <c r="CG675" s="59">
        <v>0</v>
      </c>
      <c r="CH675" s="37">
        <v>0</v>
      </c>
      <c r="CI675" s="37">
        <v>0</v>
      </c>
      <c r="CJ675" s="37">
        <v>0</v>
      </c>
      <c r="CK675" s="37">
        <v>0</v>
      </c>
      <c r="CL675" s="37">
        <v>0</v>
      </c>
      <c r="CM675" s="37">
        <v>0</v>
      </c>
      <c r="CN675" s="59">
        <v>0</v>
      </c>
      <c r="CO675" s="59">
        <v>0</v>
      </c>
      <c r="CP675" s="58"/>
      <c r="CQ675" s="3">
        <v>0</v>
      </c>
    </row>
    <row r="676" spans="1:95" customFormat="1" x14ac:dyDescent="0.2">
      <c r="A676" s="33">
        <v>0</v>
      </c>
      <c r="B676" s="33">
        <v>0</v>
      </c>
      <c r="C676" s="33">
        <v>0</v>
      </c>
      <c r="D676" s="43">
        <v>0</v>
      </c>
      <c r="E676" s="43">
        <v>0</v>
      </c>
      <c r="F676" s="43">
        <v>0</v>
      </c>
      <c r="G676" s="43">
        <v>0</v>
      </c>
      <c r="H676" s="43">
        <v>0</v>
      </c>
      <c r="I676" s="43">
        <v>0</v>
      </c>
      <c r="J676" s="43">
        <v>0</v>
      </c>
      <c r="K676" s="43">
        <v>0</v>
      </c>
      <c r="L676" s="43">
        <v>0</v>
      </c>
      <c r="M676" s="43">
        <v>0</v>
      </c>
      <c r="N676" s="43">
        <v>0</v>
      </c>
      <c r="O676" s="43">
        <v>0</v>
      </c>
      <c r="P676" s="47">
        <v>0</v>
      </c>
      <c r="R676" s="37">
        <v>0</v>
      </c>
      <c r="S676" s="37">
        <v>0</v>
      </c>
      <c r="T676" s="37">
        <v>0</v>
      </c>
      <c r="U676" s="37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0</v>
      </c>
      <c r="AB676" s="37">
        <v>0</v>
      </c>
      <c r="AC676" s="37">
        <v>0</v>
      </c>
      <c r="AD676" s="37">
        <v>0</v>
      </c>
      <c r="AE676" s="37">
        <v>0</v>
      </c>
      <c r="AF676" s="37">
        <v>0</v>
      </c>
      <c r="AG676" s="59">
        <v>0</v>
      </c>
      <c r="AH676" s="37">
        <v>0</v>
      </c>
      <c r="AI676" s="37">
        <v>0</v>
      </c>
      <c r="AJ676" s="37">
        <v>0</v>
      </c>
      <c r="AK676" s="37">
        <v>0</v>
      </c>
      <c r="AL676" s="37">
        <v>0</v>
      </c>
      <c r="AM676" s="37">
        <v>0</v>
      </c>
      <c r="AN676" s="37">
        <v>0</v>
      </c>
      <c r="AO676" s="37">
        <v>0</v>
      </c>
      <c r="AP676" s="37">
        <v>0</v>
      </c>
      <c r="AQ676" s="37">
        <v>0</v>
      </c>
      <c r="AR676" s="37">
        <v>0</v>
      </c>
      <c r="AS676" s="59">
        <v>0</v>
      </c>
      <c r="AT676" s="59">
        <v>0</v>
      </c>
      <c r="AU676" s="45"/>
      <c r="AV676" s="37">
        <v>0</v>
      </c>
      <c r="AW676" s="37">
        <v>0</v>
      </c>
      <c r="AX676" s="37">
        <v>0</v>
      </c>
      <c r="AY676" s="37">
        <v>0</v>
      </c>
      <c r="AZ676" s="37">
        <v>0</v>
      </c>
      <c r="BA676" s="37">
        <v>0</v>
      </c>
      <c r="BB676" s="37">
        <v>0</v>
      </c>
      <c r="BC676" s="37">
        <v>0</v>
      </c>
      <c r="BD676" s="37">
        <v>0</v>
      </c>
      <c r="BE676" s="37">
        <v>0</v>
      </c>
      <c r="BF676" s="37">
        <v>0</v>
      </c>
      <c r="BG676" s="37">
        <v>0</v>
      </c>
      <c r="BH676" s="37">
        <v>0</v>
      </c>
      <c r="BI676" s="37">
        <v>0</v>
      </c>
      <c r="BJ676" s="37">
        <v>0</v>
      </c>
      <c r="BK676" s="59">
        <v>0</v>
      </c>
      <c r="BL676" s="37">
        <v>0</v>
      </c>
      <c r="BM676" s="37">
        <v>0</v>
      </c>
      <c r="BN676" s="37">
        <v>0</v>
      </c>
      <c r="BO676" s="37">
        <v>0</v>
      </c>
      <c r="BP676" s="37">
        <v>0</v>
      </c>
      <c r="BQ676" s="37">
        <v>0</v>
      </c>
      <c r="BR676" s="37">
        <v>0</v>
      </c>
      <c r="BS676" s="37">
        <v>0</v>
      </c>
      <c r="BT676" s="37">
        <v>0</v>
      </c>
      <c r="BU676" s="37">
        <v>0</v>
      </c>
      <c r="BV676" s="37">
        <v>0</v>
      </c>
      <c r="BW676" s="59">
        <v>0</v>
      </c>
      <c r="BX676" s="59">
        <v>0</v>
      </c>
      <c r="BZ676" s="37">
        <v>0</v>
      </c>
      <c r="CA676" s="37">
        <v>0</v>
      </c>
      <c r="CB676" s="37">
        <v>0</v>
      </c>
      <c r="CC676" s="37">
        <v>0</v>
      </c>
      <c r="CD676" s="37">
        <v>0</v>
      </c>
      <c r="CE676" s="37">
        <v>0</v>
      </c>
      <c r="CF676" s="37">
        <v>0</v>
      </c>
      <c r="CG676" s="59">
        <v>0</v>
      </c>
      <c r="CH676" s="37">
        <v>0</v>
      </c>
      <c r="CI676" s="37">
        <v>0</v>
      </c>
      <c r="CJ676" s="37">
        <v>0</v>
      </c>
      <c r="CK676" s="37">
        <v>0</v>
      </c>
      <c r="CL676" s="37">
        <v>0</v>
      </c>
      <c r="CM676" s="37">
        <v>0</v>
      </c>
      <c r="CN676" s="59">
        <v>0</v>
      </c>
      <c r="CO676" s="59">
        <v>0</v>
      </c>
      <c r="CP676" s="58"/>
      <c r="CQ676" s="3">
        <v>0</v>
      </c>
    </row>
    <row r="677" spans="1:95" customFormat="1" x14ac:dyDescent="0.2">
      <c r="A677" s="33">
        <v>0</v>
      </c>
      <c r="B677" s="33">
        <v>0</v>
      </c>
      <c r="C677" s="33">
        <v>0</v>
      </c>
      <c r="D677" s="43">
        <v>0</v>
      </c>
      <c r="E677" s="43">
        <v>0</v>
      </c>
      <c r="F677" s="43">
        <v>0</v>
      </c>
      <c r="G677" s="43">
        <v>0</v>
      </c>
      <c r="H677" s="43">
        <v>0</v>
      </c>
      <c r="I677" s="43">
        <v>0</v>
      </c>
      <c r="J677" s="43">
        <v>0</v>
      </c>
      <c r="K677" s="43">
        <v>0</v>
      </c>
      <c r="L677" s="43">
        <v>0</v>
      </c>
      <c r="M677" s="43">
        <v>0</v>
      </c>
      <c r="N677" s="43">
        <v>0</v>
      </c>
      <c r="O677" s="43">
        <v>0</v>
      </c>
      <c r="P677" s="47">
        <v>0</v>
      </c>
      <c r="R677" s="37">
        <v>0</v>
      </c>
      <c r="S677" s="37">
        <v>0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0</v>
      </c>
      <c r="AB677" s="37">
        <v>0</v>
      </c>
      <c r="AC677" s="37">
        <v>0</v>
      </c>
      <c r="AD677" s="37">
        <v>0</v>
      </c>
      <c r="AE677" s="37">
        <v>0</v>
      </c>
      <c r="AF677" s="37">
        <v>0</v>
      </c>
      <c r="AG677" s="59">
        <v>0</v>
      </c>
      <c r="AH677" s="37">
        <v>0</v>
      </c>
      <c r="AI677" s="37">
        <v>0</v>
      </c>
      <c r="AJ677" s="37"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v>0</v>
      </c>
      <c r="AP677" s="37">
        <v>0</v>
      </c>
      <c r="AQ677" s="37">
        <v>0</v>
      </c>
      <c r="AR677" s="37">
        <v>0</v>
      </c>
      <c r="AS677" s="59">
        <v>0</v>
      </c>
      <c r="AT677" s="59">
        <v>0</v>
      </c>
      <c r="AU677" s="45"/>
      <c r="AV677" s="37">
        <v>0</v>
      </c>
      <c r="AW677" s="37">
        <v>0</v>
      </c>
      <c r="AX677" s="37">
        <v>0</v>
      </c>
      <c r="AY677" s="37">
        <v>0</v>
      </c>
      <c r="AZ677" s="37">
        <v>0</v>
      </c>
      <c r="BA677" s="37">
        <v>0</v>
      </c>
      <c r="BB677" s="37">
        <v>0</v>
      </c>
      <c r="BC677" s="37">
        <v>0</v>
      </c>
      <c r="BD677" s="37">
        <v>0</v>
      </c>
      <c r="BE677" s="37">
        <v>0</v>
      </c>
      <c r="BF677" s="37">
        <v>0</v>
      </c>
      <c r="BG677" s="37">
        <v>0</v>
      </c>
      <c r="BH677" s="37">
        <v>0</v>
      </c>
      <c r="BI677" s="37">
        <v>0</v>
      </c>
      <c r="BJ677" s="37">
        <v>0</v>
      </c>
      <c r="BK677" s="59">
        <v>0</v>
      </c>
      <c r="BL677" s="37">
        <v>0</v>
      </c>
      <c r="BM677" s="37">
        <v>0</v>
      </c>
      <c r="BN677" s="37">
        <v>0</v>
      </c>
      <c r="BO677" s="37">
        <v>0</v>
      </c>
      <c r="BP677" s="37">
        <v>0</v>
      </c>
      <c r="BQ677" s="37">
        <v>0</v>
      </c>
      <c r="BR677" s="37">
        <v>0</v>
      </c>
      <c r="BS677" s="37">
        <v>0</v>
      </c>
      <c r="BT677" s="37">
        <v>0</v>
      </c>
      <c r="BU677" s="37">
        <v>0</v>
      </c>
      <c r="BV677" s="37">
        <v>0</v>
      </c>
      <c r="BW677" s="59">
        <v>0</v>
      </c>
      <c r="BX677" s="59">
        <v>0</v>
      </c>
      <c r="BZ677" s="37">
        <v>0</v>
      </c>
      <c r="CA677" s="37">
        <v>0</v>
      </c>
      <c r="CB677" s="37">
        <v>0</v>
      </c>
      <c r="CC677" s="37">
        <v>0</v>
      </c>
      <c r="CD677" s="37">
        <v>0</v>
      </c>
      <c r="CE677" s="37">
        <v>0</v>
      </c>
      <c r="CF677" s="37">
        <v>0</v>
      </c>
      <c r="CG677" s="59">
        <v>0</v>
      </c>
      <c r="CH677" s="37">
        <v>0</v>
      </c>
      <c r="CI677" s="37">
        <v>0</v>
      </c>
      <c r="CJ677" s="37">
        <v>0</v>
      </c>
      <c r="CK677" s="37">
        <v>0</v>
      </c>
      <c r="CL677" s="37">
        <v>0</v>
      </c>
      <c r="CM677" s="37">
        <v>0</v>
      </c>
      <c r="CN677" s="59">
        <v>0</v>
      </c>
      <c r="CO677" s="59">
        <v>0</v>
      </c>
      <c r="CP677" s="58"/>
      <c r="CQ677" s="3">
        <v>0</v>
      </c>
    </row>
    <row r="678" spans="1:95" customFormat="1" x14ac:dyDescent="0.2">
      <c r="A678" s="33">
        <v>0</v>
      </c>
      <c r="B678" s="33">
        <v>0</v>
      </c>
      <c r="C678" s="33">
        <v>0</v>
      </c>
      <c r="D678" s="43">
        <v>0</v>
      </c>
      <c r="E678" s="43">
        <v>0</v>
      </c>
      <c r="F678" s="43">
        <v>0</v>
      </c>
      <c r="G678" s="43">
        <v>0</v>
      </c>
      <c r="H678" s="43">
        <v>0</v>
      </c>
      <c r="I678" s="43">
        <v>0</v>
      </c>
      <c r="J678" s="43">
        <v>0</v>
      </c>
      <c r="K678" s="43">
        <v>0</v>
      </c>
      <c r="L678" s="43">
        <v>0</v>
      </c>
      <c r="M678" s="43">
        <v>0</v>
      </c>
      <c r="N678" s="43">
        <v>0</v>
      </c>
      <c r="O678" s="43">
        <v>0</v>
      </c>
      <c r="P678" s="47">
        <v>0</v>
      </c>
      <c r="R678" s="37">
        <v>0</v>
      </c>
      <c r="S678" s="37">
        <v>0</v>
      </c>
      <c r="T678" s="37">
        <v>0</v>
      </c>
      <c r="U678" s="37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0</v>
      </c>
      <c r="AB678" s="37">
        <v>0</v>
      </c>
      <c r="AC678" s="37">
        <v>0</v>
      </c>
      <c r="AD678" s="37">
        <v>0</v>
      </c>
      <c r="AE678" s="37">
        <v>0</v>
      </c>
      <c r="AF678" s="37">
        <v>0</v>
      </c>
      <c r="AG678" s="59">
        <v>0</v>
      </c>
      <c r="AH678" s="37">
        <v>0</v>
      </c>
      <c r="AI678" s="37">
        <v>0</v>
      </c>
      <c r="AJ678" s="37">
        <v>0</v>
      </c>
      <c r="AK678" s="37">
        <v>0</v>
      </c>
      <c r="AL678" s="37">
        <v>0</v>
      </c>
      <c r="AM678" s="37">
        <v>0</v>
      </c>
      <c r="AN678" s="37">
        <v>0</v>
      </c>
      <c r="AO678" s="37">
        <v>0</v>
      </c>
      <c r="AP678" s="37">
        <v>0</v>
      </c>
      <c r="AQ678" s="37">
        <v>0</v>
      </c>
      <c r="AR678" s="37">
        <v>0</v>
      </c>
      <c r="AS678" s="59">
        <v>0</v>
      </c>
      <c r="AT678" s="59">
        <v>0</v>
      </c>
      <c r="AU678" s="45"/>
      <c r="AV678" s="37">
        <v>0</v>
      </c>
      <c r="AW678" s="37">
        <v>0</v>
      </c>
      <c r="AX678" s="37">
        <v>0</v>
      </c>
      <c r="AY678" s="37">
        <v>0</v>
      </c>
      <c r="AZ678" s="37">
        <v>0</v>
      </c>
      <c r="BA678" s="37">
        <v>0</v>
      </c>
      <c r="BB678" s="37">
        <v>0</v>
      </c>
      <c r="BC678" s="37">
        <v>0</v>
      </c>
      <c r="BD678" s="37">
        <v>0</v>
      </c>
      <c r="BE678" s="37">
        <v>0</v>
      </c>
      <c r="BF678" s="37">
        <v>0</v>
      </c>
      <c r="BG678" s="37">
        <v>0</v>
      </c>
      <c r="BH678" s="37">
        <v>0</v>
      </c>
      <c r="BI678" s="37">
        <v>0</v>
      </c>
      <c r="BJ678" s="37">
        <v>0</v>
      </c>
      <c r="BK678" s="59">
        <v>0</v>
      </c>
      <c r="BL678" s="37">
        <v>0</v>
      </c>
      <c r="BM678" s="37">
        <v>0</v>
      </c>
      <c r="BN678" s="37">
        <v>0</v>
      </c>
      <c r="BO678" s="37">
        <v>0</v>
      </c>
      <c r="BP678" s="37">
        <v>0</v>
      </c>
      <c r="BQ678" s="37">
        <v>0</v>
      </c>
      <c r="BR678" s="37">
        <v>0</v>
      </c>
      <c r="BS678" s="37">
        <v>0</v>
      </c>
      <c r="BT678" s="37">
        <v>0</v>
      </c>
      <c r="BU678" s="37">
        <v>0</v>
      </c>
      <c r="BV678" s="37">
        <v>0</v>
      </c>
      <c r="BW678" s="59">
        <v>0</v>
      </c>
      <c r="BX678" s="59">
        <v>0</v>
      </c>
      <c r="BZ678" s="37">
        <v>0</v>
      </c>
      <c r="CA678" s="37">
        <v>0</v>
      </c>
      <c r="CB678" s="37">
        <v>0</v>
      </c>
      <c r="CC678" s="37">
        <v>0</v>
      </c>
      <c r="CD678" s="37">
        <v>0</v>
      </c>
      <c r="CE678" s="37">
        <v>0</v>
      </c>
      <c r="CF678" s="37">
        <v>0</v>
      </c>
      <c r="CG678" s="59">
        <v>0</v>
      </c>
      <c r="CH678" s="37">
        <v>0</v>
      </c>
      <c r="CI678" s="37">
        <v>0</v>
      </c>
      <c r="CJ678" s="37">
        <v>0</v>
      </c>
      <c r="CK678" s="37">
        <v>0</v>
      </c>
      <c r="CL678" s="37">
        <v>0</v>
      </c>
      <c r="CM678" s="37">
        <v>0</v>
      </c>
      <c r="CN678" s="59">
        <v>0</v>
      </c>
      <c r="CO678" s="59">
        <v>0</v>
      </c>
      <c r="CP678" s="58"/>
      <c r="CQ678" s="3">
        <v>0</v>
      </c>
    </row>
    <row r="679" spans="1:95" customFormat="1" x14ac:dyDescent="0.2">
      <c r="A679" s="33">
        <v>0</v>
      </c>
      <c r="B679" s="33">
        <v>0</v>
      </c>
      <c r="C679" s="33">
        <v>0</v>
      </c>
      <c r="D679" s="43">
        <v>0</v>
      </c>
      <c r="E679" s="43">
        <v>0</v>
      </c>
      <c r="F679" s="43">
        <v>0</v>
      </c>
      <c r="G679" s="43">
        <v>0</v>
      </c>
      <c r="H679" s="43">
        <v>0</v>
      </c>
      <c r="I679" s="43">
        <v>0</v>
      </c>
      <c r="J679" s="43">
        <v>0</v>
      </c>
      <c r="K679" s="43">
        <v>0</v>
      </c>
      <c r="L679" s="43">
        <v>0</v>
      </c>
      <c r="M679" s="43">
        <v>0</v>
      </c>
      <c r="N679" s="43">
        <v>0</v>
      </c>
      <c r="O679" s="43">
        <v>0</v>
      </c>
      <c r="P679" s="47">
        <v>0</v>
      </c>
      <c r="R679" s="37">
        <v>0</v>
      </c>
      <c r="S679" s="37">
        <v>0</v>
      </c>
      <c r="T679" s="37">
        <v>0</v>
      </c>
      <c r="U679" s="37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0</v>
      </c>
      <c r="AB679" s="37">
        <v>0</v>
      </c>
      <c r="AC679" s="37">
        <v>0</v>
      </c>
      <c r="AD679" s="37">
        <v>0</v>
      </c>
      <c r="AE679" s="37">
        <v>0</v>
      </c>
      <c r="AF679" s="37">
        <v>0</v>
      </c>
      <c r="AG679" s="59">
        <v>0</v>
      </c>
      <c r="AH679" s="37">
        <v>0</v>
      </c>
      <c r="AI679" s="37">
        <v>0</v>
      </c>
      <c r="AJ679" s="37"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v>0</v>
      </c>
      <c r="AP679" s="37">
        <v>0</v>
      </c>
      <c r="AQ679" s="37">
        <v>0</v>
      </c>
      <c r="AR679" s="37">
        <v>0</v>
      </c>
      <c r="AS679" s="59">
        <v>0</v>
      </c>
      <c r="AT679" s="59">
        <v>0</v>
      </c>
      <c r="AU679" s="45"/>
      <c r="AV679" s="37">
        <v>0</v>
      </c>
      <c r="AW679" s="37">
        <v>0</v>
      </c>
      <c r="AX679" s="37">
        <v>0</v>
      </c>
      <c r="AY679" s="37">
        <v>0</v>
      </c>
      <c r="AZ679" s="37">
        <v>0</v>
      </c>
      <c r="BA679" s="37">
        <v>0</v>
      </c>
      <c r="BB679" s="37">
        <v>0</v>
      </c>
      <c r="BC679" s="37">
        <v>0</v>
      </c>
      <c r="BD679" s="37">
        <v>0</v>
      </c>
      <c r="BE679" s="37">
        <v>0</v>
      </c>
      <c r="BF679" s="37">
        <v>0</v>
      </c>
      <c r="BG679" s="37">
        <v>0</v>
      </c>
      <c r="BH679" s="37">
        <v>0</v>
      </c>
      <c r="BI679" s="37">
        <v>0</v>
      </c>
      <c r="BJ679" s="37">
        <v>0</v>
      </c>
      <c r="BK679" s="59">
        <v>0</v>
      </c>
      <c r="BL679" s="37">
        <v>0</v>
      </c>
      <c r="BM679" s="37">
        <v>0</v>
      </c>
      <c r="BN679" s="37">
        <v>0</v>
      </c>
      <c r="BO679" s="37">
        <v>0</v>
      </c>
      <c r="BP679" s="37">
        <v>0</v>
      </c>
      <c r="BQ679" s="37">
        <v>0</v>
      </c>
      <c r="BR679" s="37">
        <v>0</v>
      </c>
      <c r="BS679" s="37">
        <v>0</v>
      </c>
      <c r="BT679" s="37">
        <v>0</v>
      </c>
      <c r="BU679" s="37">
        <v>0</v>
      </c>
      <c r="BV679" s="37">
        <v>0</v>
      </c>
      <c r="BW679" s="59">
        <v>0</v>
      </c>
      <c r="BX679" s="59">
        <v>0</v>
      </c>
      <c r="BZ679" s="37">
        <v>0</v>
      </c>
      <c r="CA679" s="37">
        <v>0</v>
      </c>
      <c r="CB679" s="37">
        <v>0</v>
      </c>
      <c r="CC679" s="37">
        <v>0</v>
      </c>
      <c r="CD679" s="37">
        <v>0</v>
      </c>
      <c r="CE679" s="37">
        <v>0</v>
      </c>
      <c r="CF679" s="37">
        <v>0</v>
      </c>
      <c r="CG679" s="59">
        <v>0</v>
      </c>
      <c r="CH679" s="37">
        <v>0</v>
      </c>
      <c r="CI679" s="37">
        <v>0</v>
      </c>
      <c r="CJ679" s="37">
        <v>0</v>
      </c>
      <c r="CK679" s="37">
        <v>0</v>
      </c>
      <c r="CL679" s="37">
        <v>0</v>
      </c>
      <c r="CM679" s="37">
        <v>0</v>
      </c>
      <c r="CN679" s="59">
        <v>0</v>
      </c>
      <c r="CO679" s="59">
        <v>0</v>
      </c>
      <c r="CP679" s="58"/>
      <c r="CQ679" s="3">
        <v>0</v>
      </c>
    </row>
    <row r="680" spans="1:95" customFormat="1" x14ac:dyDescent="0.2">
      <c r="A680" s="33">
        <v>0</v>
      </c>
      <c r="B680" s="33">
        <v>0</v>
      </c>
      <c r="C680" s="33">
        <v>0</v>
      </c>
      <c r="D680" s="43">
        <v>0</v>
      </c>
      <c r="E680" s="43">
        <v>0</v>
      </c>
      <c r="F680" s="43">
        <v>0</v>
      </c>
      <c r="G680" s="43">
        <v>0</v>
      </c>
      <c r="H680" s="43">
        <v>0</v>
      </c>
      <c r="I680" s="43">
        <v>0</v>
      </c>
      <c r="J680" s="43">
        <v>0</v>
      </c>
      <c r="K680" s="43">
        <v>0</v>
      </c>
      <c r="L680" s="43">
        <v>0</v>
      </c>
      <c r="M680" s="43">
        <v>0</v>
      </c>
      <c r="N680" s="43">
        <v>0</v>
      </c>
      <c r="O680" s="43">
        <v>0</v>
      </c>
      <c r="P680" s="47">
        <v>0</v>
      </c>
      <c r="R680" s="37">
        <v>0</v>
      </c>
      <c r="S680" s="37">
        <v>0</v>
      </c>
      <c r="T680" s="37">
        <v>0</v>
      </c>
      <c r="U680" s="37">
        <v>0</v>
      </c>
      <c r="V680" s="37">
        <v>0</v>
      </c>
      <c r="W680" s="37">
        <v>0</v>
      </c>
      <c r="X680" s="37">
        <v>0</v>
      </c>
      <c r="Y680" s="37">
        <v>0</v>
      </c>
      <c r="Z680" s="37">
        <v>0</v>
      </c>
      <c r="AA680" s="37">
        <v>0</v>
      </c>
      <c r="AB680" s="37">
        <v>0</v>
      </c>
      <c r="AC680" s="37">
        <v>0</v>
      </c>
      <c r="AD680" s="37">
        <v>0</v>
      </c>
      <c r="AE680" s="37">
        <v>0</v>
      </c>
      <c r="AF680" s="37">
        <v>0</v>
      </c>
      <c r="AG680" s="59">
        <v>0</v>
      </c>
      <c r="AH680" s="37">
        <v>0</v>
      </c>
      <c r="AI680" s="37">
        <v>0</v>
      </c>
      <c r="AJ680" s="37">
        <v>0</v>
      </c>
      <c r="AK680" s="37">
        <v>0</v>
      </c>
      <c r="AL680" s="37">
        <v>0</v>
      </c>
      <c r="AM680" s="37">
        <v>0</v>
      </c>
      <c r="AN680" s="37">
        <v>0</v>
      </c>
      <c r="AO680" s="37">
        <v>0</v>
      </c>
      <c r="AP680" s="37">
        <v>0</v>
      </c>
      <c r="AQ680" s="37">
        <v>0</v>
      </c>
      <c r="AR680" s="37">
        <v>0</v>
      </c>
      <c r="AS680" s="59">
        <v>0</v>
      </c>
      <c r="AT680" s="59">
        <v>0</v>
      </c>
      <c r="AU680" s="45"/>
      <c r="AV680" s="37">
        <v>0</v>
      </c>
      <c r="AW680" s="37">
        <v>0</v>
      </c>
      <c r="AX680" s="37">
        <v>0</v>
      </c>
      <c r="AY680" s="37">
        <v>0</v>
      </c>
      <c r="AZ680" s="37">
        <v>0</v>
      </c>
      <c r="BA680" s="37">
        <v>0</v>
      </c>
      <c r="BB680" s="37">
        <v>0</v>
      </c>
      <c r="BC680" s="37">
        <v>0</v>
      </c>
      <c r="BD680" s="37">
        <v>0</v>
      </c>
      <c r="BE680" s="37">
        <v>0</v>
      </c>
      <c r="BF680" s="37">
        <v>0</v>
      </c>
      <c r="BG680" s="37">
        <v>0</v>
      </c>
      <c r="BH680" s="37">
        <v>0</v>
      </c>
      <c r="BI680" s="37">
        <v>0</v>
      </c>
      <c r="BJ680" s="37">
        <v>0</v>
      </c>
      <c r="BK680" s="59">
        <v>0</v>
      </c>
      <c r="BL680" s="37">
        <v>0</v>
      </c>
      <c r="BM680" s="37">
        <v>0</v>
      </c>
      <c r="BN680" s="37">
        <v>0</v>
      </c>
      <c r="BO680" s="37">
        <v>0</v>
      </c>
      <c r="BP680" s="37">
        <v>0</v>
      </c>
      <c r="BQ680" s="37">
        <v>0</v>
      </c>
      <c r="BR680" s="37">
        <v>0</v>
      </c>
      <c r="BS680" s="37">
        <v>0</v>
      </c>
      <c r="BT680" s="37">
        <v>0</v>
      </c>
      <c r="BU680" s="37">
        <v>0</v>
      </c>
      <c r="BV680" s="37">
        <v>0</v>
      </c>
      <c r="BW680" s="59">
        <v>0</v>
      </c>
      <c r="BX680" s="59">
        <v>0</v>
      </c>
      <c r="BZ680" s="37">
        <v>0</v>
      </c>
      <c r="CA680" s="37">
        <v>0</v>
      </c>
      <c r="CB680" s="37">
        <v>0</v>
      </c>
      <c r="CC680" s="37">
        <v>0</v>
      </c>
      <c r="CD680" s="37">
        <v>0</v>
      </c>
      <c r="CE680" s="37">
        <v>0</v>
      </c>
      <c r="CF680" s="37">
        <v>0</v>
      </c>
      <c r="CG680" s="59">
        <v>0</v>
      </c>
      <c r="CH680" s="37">
        <v>0</v>
      </c>
      <c r="CI680" s="37">
        <v>0</v>
      </c>
      <c r="CJ680" s="37">
        <v>0</v>
      </c>
      <c r="CK680" s="37">
        <v>0</v>
      </c>
      <c r="CL680" s="37">
        <v>0</v>
      </c>
      <c r="CM680" s="37">
        <v>0</v>
      </c>
      <c r="CN680" s="59">
        <v>0</v>
      </c>
      <c r="CO680" s="59">
        <v>0</v>
      </c>
      <c r="CP680" s="58"/>
      <c r="CQ680" s="3">
        <v>0</v>
      </c>
    </row>
    <row r="681" spans="1:95" customFormat="1" x14ac:dyDescent="0.2">
      <c r="A681" s="33">
        <v>0</v>
      </c>
      <c r="B681" s="33">
        <v>0</v>
      </c>
      <c r="C681" s="33">
        <v>0</v>
      </c>
      <c r="D681" s="43">
        <v>0</v>
      </c>
      <c r="E681" s="43">
        <v>0</v>
      </c>
      <c r="F681" s="43">
        <v>0</v>
      </c>
      <c r="G681" s="43">
        <v>0</v>
      </c>
      <c r="H681" s="43">
        <v>0</v>
      </c>
      <c r="I681" s="43">
        <v>0</v>
      </c>
      <c r="J681" s="43">
        <v>0</v>
      </c>
      <c r="K681" s="43">
        <v>0</v>
      </c>
      <c r="L681" s="43">
        <v>0</v>
      </c>
      <c r="M681" s="43">
        <v>0</v>
      </c>
      <c r="N681" s="43">
        <v>0</v>
      </c>
      <c r="O681" s="43">
        <v>0</v>
      </c>
      <c r="P681" s="47">
        <v>0</v>
      </c>
      <c r="R681" s="37">
        <v>0</v>
      </c>
      <c r="S681" s="37">
        <v>0</v>
      </c>
      <c r="T681" s="37">
        <v>0</v>
      </c>
      <c r="U681" s="37">
        <v>0</v>
      </c>
      <c r="V681" s="37">
        <v>0</v>
      </c>
      <c r="W681" s="37">
        <v>0</v>
      </c>
      <c r="X681" s="37">
        <v>0</v>
      </c>
      <c r="Y681" s="37">
        <v>0</v>
      </c>
      <c r="Z681" s="37">
        <v>0</v>
      </c>
      <c r="AA681" s="37">
        <v>0</v>
      </c>
      <c r="AB681" s="37">
        <v>0</v>
      </c>
      <c r="AC681" s="37">
        <v>0</v>
      </c>
      <c r="AD681" s="37">
        <v>0</v>
      </c>
      <c r="AE681" s="37">
        <v>0</v>
      </c>
      <c r="AF681" s="37">
        <v>0</v>
      </c>
      <c r="AG681" s="59">
        <v>0</v>
      </c>
      <c r="AH681" s="37">
        <v>0</v>
      </c>
      <c r="AI681" s="37">
        <v>0</v>
      </c>
      <c r="AJ681" s="37">
        <v>0</v>
      </c>
      <c r="AK681" s="37">
        <v>0</v>
      </c>
      <c r="AL681" s="37">
        <v>0</v>
      </c>
      <c r="AM681" s="37">
        <v>0</v>
      </c>
      <c r="AN681" s="37">
        <v>0</v>
      </c>
      <c r="AO681" s="37">
        <v>0</v>
      </c>
      <c r="AP681" s="37">
        <v>0</v>
      </c>
      <c r="AQ681" s="37">
        <v>0</v>
      </c>
      <c r="AR681" s="37">
        <v>0</v>
      </c>
      <c r="AS681" s="59">
        <v>0</v>
      </c>
      <c r="AT681" s="59">
        <v>0</v>
      </c>
      <c r="AU681" s="45"/>
      <c r="AV681" s="37">
        <v>0</v>
      </c>
      <c r="AW681" s="37">
        <v>0</v>
      </c>
      <c r="AX681" s="37">
        <v>0</v>
      </c>
      <c r="AY681" s="37">
        <v>0</v>
      </c>
      <c r="AZ681" s="37">
        <v>0</v>
      </c>
      <c r="BA681" s="37">
        <v>0</v>
      </c>
      <c r="BB681" s="37">
        <v>0</v>
      </c>
      <c r="BC681" s="37">
        <v>0</v>
      </c>
      <c r="BD681" s="37">
        <v>0</v>
      </c>
      <c r="BE681" s="37">
        <v>0</v>
      </c>
      <c r="BF681" s="37">
        <v>0</v>
      </c>
      <c r="BG681" s="37">
        <v>0</v>
      </c>
      <c r="BH681" s="37">
        <v>0</v>
      </c>
      <c r="BI681" s="37">
        <v>0</v>
      </c>
      <c r="BJ681" s="37">
        <v>0</v>
      </c>
      <c r="BK681" s="59">
        <v>0</v>
      </c>
      <c r="BL681" s="37">
        <v>0</v>
      </c>
      <c r="BM681" s="37">
        <v>0</v>
      </c>
      <c r="BN681" s="37">
        <v>0</v>
      </c>
      <c r="BO681" s="37">
        <v>0</v>
      </c>
      <c r="BP681" s="37">
        <v>0</v>
      </c>
      <c r="BQ681" s="37">
        <v>0</v>
      </c>
      <c r="BR681" s="37">
        <v>0</v>
      </c>
      <c r="BS681" s="37">
        <v>0</v>
      </c>
      <c r="BT681" s="37">
        <v>0</v>
      </c>
      <c r="BU681" s="37">
        <v>0</v>
      </c>
      <c r="BV681" s="37">
        <v>0</v>
      </c>
      <c r="BW681" s="59">
        <v>0</v>
      </c>
      <c r="BX681" s="59">
        <v>0</v>
      </c>
      <c r="BZ681" s="37">
        <v>0</v>
      </c>
      <c r="CA681" s="37">
        <v>0</v>
      </c>
      <c r="CB681" s="37">
        <v>0</v>
      </c>
      <c r="CC681" s="37">
        <v>0</v>
      </c>
      <c r="CD681" s="37">
        <v>0</v>
      </c>
      <c r="CE681" s="37">
        <v>0</v>
      </c>
      <c r="CF681" s="37">
        <v>0</v>
      </c>
      <c r="CG681" s="59">
        <v>0</v>
      </c>
      <c r="CH681" s="37">
        <v>0</v>
      </c>
      <c r="CI681" s="37">
        <v>0</v>
      </c>
      <c r="CJ681" s="37">
        <v>0</v>
      </c>
      <c r="CK681" s="37">
        <v>0</v>
      </c>
      <c r="CL681" s="37">
        <v>0</v>
      </c>
      <c r="CM681" s="37">
        <v>0</v>
      </c>
      <c r="CN681" s="59">
        <v>0</v>
      </c>
      <c r="CO681" s="59">
        <v>0</v>
      </c>
      <c r="CP681" s="58"/>
      <c r="CQ681" s="3">
        <v>0</v>
      </c>
    </row>
    <row r="682" spans="1:95" customFormat="1" x14ac:dyDescent="0.2">
      <c r="A682" s="33">
        <v>0</v>
      </c>
      <c r="B682" s="33">
        <v>0</v>
      </c>
      <c r="C682" s="33">
        <v>0</v>
      </c>
      <c r="D682" s="43">
        <v>0</v>
      </c>
      <c r="E682" s="43">
        <v>0</v>
      </c>
      <c r="F682" s="43">
        <v>0</v>
      </c>
      <c r="G682" s="43">
        <v>0</v>
      </c>
      <c r="H682" s="43">
        <v>0</v>
      </c>
      <c r="I682" s="43">
        <v>0</v>
      </c>
      <c r="J682" s="43">
        <v>0</v>
      </c>
      <c r="K682" s="43">
        <v>0</v>
      </c>
      <c r="L682" s="43">
        <v>0</v>
      </c>
      <c r="M682" s="43">
        <v>0</v>
      </c>
      <c r="N682" s="43">
        <v>0</v>
      </c>
      <c r="O682" s="43">
        <v>0</v>
      </c>
      <c r="P682" s="47">
        <v>0</v>
      </c>
      <c r="R682" s="37">
        <v>0</v>
      </c>
      <c r="S682" s="37">
        <v>0</v>
      </c>
      <c r="T682" s="37">
        <v>0</v>
      </c>
      <c r="U682" s="37">
        <v>0</v>
      </c>
      <c r="V682" s="37">
        <v>0</v>
      </c>
      <c r="W682" s="37">
        <v>0</v>
      </c>
      <c r="X682" s="37">
        <v>0</v>
      </c>
      <c r="Y682" s="37">
        <v>0</v>
      </c>
      <c r="Z682" s="37">
        <v>0</v>
      </c>
      <c r="AA682" s="37">
        <v>0</v>
      </c>
      <c r="AB682" s="37">
        <v>0</v>
      </c>
      <c r="AC682" s="37">
        <v>0</v>
      </c>
      <c r="AD682" s="37">
        <v>0</v>
      </c>
      <c r="AE682" s="37">
        <v>0</v>
      </c>
      <c r="AF682" s="37">
        <v>0</v>
      </c>
      <c r="AG682" s="59">
        <v>0</v>
      </c>
      <c r="AH682" s="37">
        <v>0</v>
      </c>
      <c r="AI682" s="37">
        <v>0</v>
      </c>
      <c r="AJ682" s="37">
        <v>0</v>
      </c>
      <c r="AK682" s="37">
        <v>0</v>
      </c>
      <c r="AL682" s="37">
        <v>0</v>
      </c>
      <c r="AM682" s="37">
        <v>0</v>
      </c>
      <c r="AN682" s="37">
        <v>0</v>
      </c>
      <c r="AO682" s="37">
        <v>0</v>
      </c>
      <c r="AP682" s="37">
        <v>0</v>
      </c>
      <c r="AQ682" s="37">
        <v>0</v>
      </c>
      <c r="AR682" s="37">
        <v>0</v>
      </c>
      <c r="AS682" s="59">
        <v>0</v>
      </c>
      <c r="AT682" s="59">
        <v>0</v>
      </c>
      <c r="AU682" s="45"/>
      <c r="AV682" s="37">
        <v>0</v>
      </c>
      <c r="AW682" s="37">
        <v>0</v>
      </c>
      <c r="AX682" s="37">
        <v>0</v>
      </c>
      <c r="AY682" s="37">
        <v>0</v>
      </c>
      <c r="AZ682" s="37">
        <v>0</v>
      </c>
      <c r="BA682" s="37">
        <v>0</v>
      </c>
      <c r="BB682" s="37">
        <v>0</v>
      </c>
      <c r="BC682" s="37">
        <v>0</v>
      </c>
      <c r="BD682" s="37">
        <v>0</v>
      </c>
      <c r="BE682" s="37">
        <v>0</v>
      </c>
      <c r="BF682" s="37">
        <v>0</v>
      </c>
      <c r="BG682" s="37">
        <v>0</v>
      </c>
      <c r="BH682" s="37">
        <v>0</v>
      </c>
      <c r="BI682" s="37">
        <v>0</v>
      </c>
      <c r="BJ682" s="37">
        <v>0</v>
      </c>
      <c r="BK682" s="59">
        <v>0</v>
      </c>
      <c r="BL682" s="37">
        <v>0</v>
      </c>
      <c r="BM682" s="37">
        <v>0</v>
      </c>
      <c r="BN682" s="37">
        <v>0</v>
      </c>
      <c r="BO682" s="37">
        <v>0</v>
      </c>
      <c r="BP682" s="37">
        <v>0</v>
      </c>
      <c r="BQ682" s="37">
        <v>0</v>
      </c>
      <c r="BR682" s="37">
        <v>0</v>
      </c>
      <c r="BS682" s="37">
        <v>0</v>
      </c>
      <c r="BT682" s="37">
        <v>0</v>
      </c>
      <c r="BU682" s="37">
        <v>0</v>
      </c>
      <c r="BV682" s="37">
        <v>0</v>
      </c>
      <c r="BW682" s="59">
        <v>0</v>
      </c>
      <c r="BX682" s="59">
        <v>0</v>
      </c>
      <c r="BZ682" s="37">
        <v>0</v>
      </c>
      <c r="CA682" s="37">
        <v>0</v>
      </c>
      <c r="CB682" s="37">
        <v>0</v>
      </c>
      <c r="CC682" s="37">
        <v>0</v>
      </c>
      <c r="CD682" s="37">
        <v>0</v>
      </c>
      <c r="CE682" s="37">
        <v>0</v>
      </c>
      <c r="CF682" s="37">
        <v>0</v>
      </c>
      <c r="CG682" s="59">
        <v>0</v>
      </c>
      <c r="CH682" s="37">
        <v>0</v>
      </c>
      <c r="CI682" s="37">
        <v>0</v>
      </c>
      <c r="CJ682" s="37">
        <v>0</v>
      </c>
      <c r="CK682" s="37">
        <v>0</v>
      </c>
      <c r="CL682" s="37">
        <v>0</v>
      </c>
      <c r="CM682" s="37">
        <v>0</v>
      </c>
      <c r="CN682" s="59">
        <v>0</v>
      </c>
      <c r="CO682" s="59">
        <v>0</v>
      </c>
      <c r="CP682" s="58"/>
      <c r="CQ682" s="3">
        <v>0</v>
      </c>
    </row>
    <row r="683" spans="1:95" customFormat="1" x14ac:dyDescent="0.2">
      <c r="A683" s="33">
        <v>0</v>
      </c>
      <c r="B683" s="33">
        <v>0</v>
      </c>
      <c r="C683" s="33">
        <v>0</v>
      </c>
      <c r="D683" s="43">
        <v>0</v>
      </c>
      <c r="E683" s="43">
        <v>0</v>
      </c>
      <c r="F683" s="43">
        <v>0</v>
      </c>
      <c r="G683" s="43">
        <v>0</v>
      </c>
      <c r="H683" s="43">
        <v>0</v>
      </c>
      <c r="I683" s="43">
        <v>0</v>
      </c>
      <c r="J683" s="43">
        <v>0</v>
      </c>
      <c r="K683" s="43">
        <v>0</v>
      </c>
      <c r="L683" s="43">
        <v>0</v>
      </c>
      <c r="M683" s="43">
        <v>0</v>
      </c>
      <c r="N683" s="43">
        <v>0</v>
      </c>
      <c r="O683" s="43">
        <v>0</v>
      </c>
      <c r="P683" s="47">
        <v>0</v>
      </c>
      <c r="R683" s="37">
        <v>0</v>
      </c>
      <c r="S683" s="37">
        <v>0</v>
      </c>
      <c r="T683" s="37">
        <v>0</v>
      </c>
      <c r="U683" s="37">
        <v>0</v>
      </c>
      <c r="V683" s="37">
        <v>0</v>
      </c>
      <c r="W683" s="37">
        <v>0</v>
      </c>
      <c r="X683" s="37">
        <v>0</v>
      </c>
      <c r="Y683" s="37">
        <v>0</v>
      </c>
      <c r="Z683" s="37">
        <v>0</v>
      </c>
      <c r="AA683" s="37">
        <v>0</v>
      </c>
      <c r="AB683" s="37">
        <v>0</v>
      </c>
      <c r="AC683" s="37">
        <v>0</v>
      </c>
      <c r="AD683" s="37">
        <v>0</v>
      </c>
      <c r="AE683" s="37">
        <v>0</v>
      </c>
      <c r="AF683" s="37">
        <v>0</v>
      </c>
      <c r="AG683" s="59">
        <v>0</v>
      </c>
      <c r="AH683" s="37">
        <v>0</v>
      </c>
      <c r="AI683" s="37">
        <v>0</v>
      </c>
      <c r="AJ683" s="37">
        <v>0</v>
      </c>
      <c r="AK683" s="37">
        <v>0</v>
      </c>
      <c r="AL683" s="37">
        <v>0</v>
      </c>
      <c r="AM683" s="37">
        <v>0</v>
      </c>
      <c r="AN683" s="37">
        <v>0</v>
      </c>
      <c r="AO683" s="37">
        <v>0</v>
      </c>
      <c r="AP683" s="37">
        <v>0</v>
      </c>
      <c r="AQ683" s="37">
        <v>0</v>
      </c>
      <c r="AR683" s="37">
        <v>0</v>
      </c>
      <c r="AS683" s="59">
        <v>0</v>
      </c>
      <c r="AT683" s="59">
        <v>0</v>
      </c>
      <c r="AU683" s="45"/>
      <c r="AV683" s="37">
        <v>0</v>
      </c>
      <c r="AW683" s="37">
        <v>0</v>
      </c>
      <c r="AX683" s="37">
        <v>0</v>
      </c>
      <c r="AY683" s="37">
        <v>0</v>
      </c>
      <c r="AZ683" s="37">
        <v>0</v>
      </c>
      <c r="BA683" s="37">
        <v>0</v>
      </c>
      <c r="BB683" s="37">
        <v>0</v>
      </c>
      <c r="BC683" s="37">
        <v>0</v>
      </c>
      <c r="BD683" s="37">
        <v>0</v>
      </c>
      <c r="BE683" s="37">
        <v>0</v>
      </c>
      <c r="BF683" s="37">
        <v>0</v>
      </c>
      <c r="BG683" s="37">
        <v>0</v>
      </c>
      <c r="BH683" s="37">
        <v>0</v>
      </c>
      <c r="BI683" s="37">
        <v>0</v>
      </c>
      <c r="BJ683" s="37">
        <v>0</v>
      </c>
      <c r="BK683" s="59">
        <v>0</v>
      </c>
      <c r="BL683" s="37">
        <v>0</v>
      </c>
      <c r="BM683" s="37">
        <v>0</v>
      </c>
      <c r="BN683" s="37">
        <v>0</v>
      </c>
      <c r="BO683" s="37">
        <v>0</v>
      </c>
      <c r="BP683" s="37">
        <v>0</v>
      </c>
      <c r="BQ683" s="37">
        <v>0</v>
      </c>
      <c r="BR683" s="37">
        <v>0</v>
      </c>
      <c r="BS683" s="37">
        <v>0</v>
      </c>
      <c r="BT683" s="37">
        <v>0</v>
      </c>
      <c r="BU683" s="37">
        <v>0</v>
      </c>
      <c r="BV683" s="37">
        <v>0</v>
      </c>
      <c r="BW683" s="59">
        <v>0</v>
      </c>
      <c r="BX683" s="59">
        <v>0</v>
      </c>
      <c r="BZ683" s="37">
        <v>0</v>
      </c>
      <c r="CA683" s="37">
        <v>0</v>
      </c>
      <c r="CB683" s="37">
        <v>0</v>
      </c>
      <c r="CC683" s="37">
        <v>0</v>
      </c>
      <c r="CD683" s="37">
        <v>0</v>
      </c>
      <c r="CE683" s="37">
        <v>0</v>
      </c>
      <c r="CF683" s="37">
        <v>0</v>
      </c>
      <c r="CG683" s="59">
        <v>0</v>
      </c>
      <c r="CH683" s="37">
        <v>0</v>
      </c>
      <c r="CI683" s="37">
        <v>0</v>
      </c>
      <c r="CJ683" s="37">
        <v>0</v>
      </c>
      <c r="CK683" s="37">
        <v>0</v>
      </c>
      <c r="CL683" s="37">
        <v>0</v>
      </c>
      <c r="CM683" s="37">
        <v>0</v>
      </c>
      <c r="CN683" s="59">
        <v>0</v>
      </c>
      <c r="CO683" s="59">
        <v>0</v>
      </c>
      <c r="CP683" s="58"/>
      <c r="CQ683" s="3">
        <v>0</v>
      </c>
    </row>
    <row r="684" spans="1:95" customFormat="1" x14ac:dyDescent="0.2">
      <c r="A684" s="33">
        <v>0</v>
      </c>
      <c r="B684" s="33">
        <v>0</v>
      </c>
      <c r="C684" s="33">
        <v>0</v>
      </c>
      <c r="D684" s="43">
        <v>0</v>
      </c>
      <c r="E684" s="43">
        <v>0</v>
      </c>
      <c r="F684" s="43">
        <v>0</v>
      </c>
      <c r="G684" s="43">
        <v>0</v>
      </c>
      <c r="H684" s="43">
        <v>0</v>
      </c>
      <c r="I684" s="43">
        <v>0</v>
      </c>
      <c r="J684" s="43">
        <v>0</v>
      </c>
      <c r="K684" s="43">
        <v>0</v>
      </c>
      <c r="L684" s="43">
        <v>0</v>
      </c>
      <c r="M684" s="43">
        <v>0</v>
      </c>
      <c r="N684" s="43">
        <v>0</v>
      </c>
      <c r="O684" s="43">
        <v>0</v>
      </c>
      <c r="P684" s="4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59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59">
        <v>0</v>
      </c>
      <c r="AT684" s="59">
        <v>0</v>
      </c>
      <c r="AU684" s="45"/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>
        <v>0</v>
      </c>
      <c r="BB684" s="37">
        <v>0</v>
      </c>
      <c r="BC684" s="37">
        <v>0</v>
      </c>
      <c r="BD684" s="37">
        <v>0</v>
      </c>
      <c r="BE684" s="37">
        <v>0</v>
      </c>
      <c r="BF684" s="37">
        <v>0</v>
      </c>
      <c r="BG684" s="37">
        <v>0</v>
      </c>
      <c r="BH684" s="37">
        <v>0</v>
      </c>
      <c r="BI684" s="37">
        <v>0</v>
      </c>
      <c r="BJ684" s="37">
        <v>0</v>
      </c>
      <c r="BK684" s="59">
        <v>0</v>
      </c>
      <c r="BL684" s="37">
        <v>0</v>
      </c>
      <c r="BM684" s="37">
        <v>0</v>
      </c>
      <c r="BN684" s="37">
        <v>0</v>
      </c>
      <c r="BO684" s="37">
        <v>0</v>
      </c>
      <c r="BP684" s="37">
        <v>0</v>
      </c>
      <c r="BQ684" s="37">
        <v>0</v>
      </c>
      <c r="BR684" s="37">
        <v>0</v>
      </c>
      <c r="BS684" s="37">
        <v>0</v>
      </c>
      <c r="BT684" s="37">
        <v>0</v>
      </c>
      <c r="BU684" s="37">
        <v>0</v>
      </c>
      <c r="BV684" s="37">
        <v>0</v>
      </c>
      <c r="BW684" s="59">
        <v>0</v>
      </c>
      <c r="BX684" s="59">
        <v>0</v>
      </c>
      <c r="BZ684" s="37">
        <v>0</v>
      </c>
      <c r="CA684" s="37">
        <v>0</v>
      </c>
      <c r="CB684" s="37">
        <v>0</v>
      </c>
      <c r="CC684" s="37">
        <v>0</v>
      </c>
      <c r="CD684" s="37">
        <v>0</v>
      </c>
      <c r="CE684" s="37">
        <v>0</v>
      </c>
      <c r="CF684" s="37">
        <v>0</v>
      </c>
      <c r="CG684" s="59">
        <v>0</v>
      </c>
      <c r="CH684" s="37">
        <v>0</v>
      </c>
      <c r="CI684" s="37">
        <v>0</v>
      </c>
      <c r="CJ684" s="37">
        <v>0</v>
      </c>
      <c r="CK684" s="37">
        <v>0</v>
      </c>
      <c r="CL684" s="37">
        <v>0</v>
      </c>
      <c r="CM684" s="37">
        <v>0</v>
      </c>
      <c r="CN684" s="59">
        <v>0</v>
      </c>
      <c r="CO684" s="59">
        <v>0</v>
      </c>
      <c r="CP684" s="58"/>
      <c r="CQ684" s="3">
        <v>0</v>
      </c>
    </row>
    <row r="685" spans="1:95" customFormat="1" x14ac:dyDescent="0.2">
      <c r="A685" s="33">
        <v>0</v>
      </c>
      <c r="B685" s="33">
        <v>0</v>
      </c>
      <c r="C685" s="33">
        <v>0</v>
      </c>
      <c r="D685" s="43">
        <v>0</v>
      </c>
      <c r="E685" s="43">
        <v>0</v>
      </c>
      <c r="F685" s="43">
        <v>0</v>
      </c>
      <c r="G685" s="43">
        <v>0</v>
      </c>
      <c r="H685" s="43">
        <v>0</v>
      </c>
      <c r="I685" s="43">
        <v>0</v>
      </c>
      <c r="J685" s="43">
        <v>0</v>
      </c>
      <c r="K685" s="43">
        <v>0</v>
      </c>
      <c r="L685" s="43">
        <v>0</v>
      </c>
      <c r="M685" s="43">
        <v>0</v>
      </c>
      <c r="N685" s="43">
        <v>0</v>
      </c>
      <c r="O685" s="43">
        <v>0</v>
      </c>
      <c r="P685" s="47">
        <v>0</v>
      </c>
      <c r="R685" s="37">
        <v>0</v>
      </c>
      <c r="S685" s="37">
        <v>0</v>
      </c>
      <c r="T685" s="37">
        <v>0</v>
      </c>
      <c r="U685" s="37">
        <v>0</v>
      </c>
      <c r="V685" s="37">
        <v>0</v>
      </c>
      <c r="W685" s="37">
        <v>0</v>
      </c>
      <c r="X685" s="37">
        <v>0</v>
      </c>
      <c r="Y685" s="37">
        <v>0</v>
      </c>
      <c r="Z685" s="37">
        <v>0</v>
      </c>
      <c r="AA685" s="37">
        <v>0</v>
      </c>
      <c r="AB685" s="37">
        <v>0</v>
      </c>
      <c r="AC685" s="37">
        <v>0</v>
      </c>
      <c r="AD685" s="37">
        <v>0</v>
      </c>
      <c r="AE685" s="37">
        <v>0</v>
      </c>
      <c r="AF685" s="37">
        <v>0</v>
      </c>
      <c r="AG685" s="59">
        <v>0</v>
      </c>
      <c r="AH685" s="37">
        <v>0</v>
      </c>
      <c r="AI685" s="37">
        <v>0</v>
      </c>
      <c r="AJ685" s="37">
        <v>0</v>
      </c>
      <c r="AK685" s="37">
        <v>0</v>
      </c>
      <c r="AL685" s="37">
        <v>0</v>
      </c>
      <c r="AM685" s="37">
        <v>0</v>
      </c>
      <c r="AN685" s="37">
        <v>0</v>
      </c>
      <c r="AO685" s="37">
        <v>0</v>
      </c>
      <c r="AP685" s="37">
        <v>0</v>
      </c>
      <c r="AQ685" s="37">
        <v>0</v>
      </c>
      <c r="AR685" s="37">
        <v>0</v>
      </c>
      <c r="AS685" s="59">
        <v>0</v>
      </c>
      <c r="AT685" s="59">
        <v>0</v>
      </c>
      <c r="AU685" s="45"/>
      <c r="AV685" s="37">
        <v>0</v>
      </c>
      <c r="AW685" s="37">
        <v>0</v>
      </c>
      <c r="AX685" s="37">
        <v>0</v>
      </c>
      <c r="AY685" s="37">
        <v>0</v>
      </c>
      <c r="AZ685" s="37">
        <v>0</v>
      </c>
      <c r="BA685" s="37">
        <v>0</v>
      </c>
      <c r="BB685" s="37">
        <v>0</v>
      </c>
      <c r="BC685" s="37">
        <v>0</v>
      </c>
      <c r="BD685" s="37">
        <v>0</v>
      </c>
      <c r="BE685" s="37">
        <v>0</v>
      </c>
      <c r="BF685" s="37">
        <v>0</v>
      </c>
      <c r="BG685" s="37">
        <v>0</v>
      </c>
      <c r="BH685" s="37">
        <v>0</v>
      </c>
      <c r="BI685" s="37">
        <v>0</v>
      </c>
      <c r="BJ685" s="37">
        <v>0</v>
      </c>
      <c r="BK685" s="59">
        <v>0</v>
      </c>
      <c r="BL685" s="37">
        <v>0</v>
      </c>
      <c r="BM685" s="37">
        <v>0</v>
      </c>
      <c r="BN685" s="37">
        <v>0</v>
      </c>
      <c r="BO685" s="37">
        <v>0</v>
      </c>
      <c r="BP685" s="37">
        <v>0</v>
      </c>
      <c r="BQ685" s="37">
        <v>0</v>
      </c>
      <c r="BR685" s="37">
        <v>0</v>
      </c>
      <c r="BS685" s="37">
        <v>0</v>
      </c>
      <c r="BT685" s="37">
        <v>0</v>
      </c>
      <c r="BU685" s="37">
        <v>0</v>
      </c>
      <c r="BV685" s="37">
        <v>0</v>
      </c>
      <c r="BW685" s="59">
        <v>0</v>
      </c>
      <c r="BX685" s="59">
        <v>0</v>
      </c>
      <c r="BZ685" s="37">
        <v>0</v>
      </c>
      <c r="CA685" s="37">
        <v>0</v>
      </c>
      <c r="CB685" s="37">
        <v>0</v>
      </c>
      <c r="CC685" s="37">
        <v>0</v>
      </c>
      <c r="CD685" s="37">
        <v>0</v>
      </c>
      <c r="CE685" s="37">
        <v>0</v>
      </c>
      <c r="CF685" s="37">
        <v>0</v>
      </c>
      <c r="CG685" s="59">
        <v>0</v>
      </c>
      <c r="CH685" s="37">
        <v>0</v>
      </c>
      <c r="CI685" s="37">
        <v>0</v>
      </c>
      <c r="CJ685" s="37">
        <v>0</v>
      </c>
      <c r="CK685" s="37">
        <v>0</v>
      </c>
      <c r="CL685" s="37">
        <v>0</v>
      </c>
      <c r="CM685" s="37">
        <v>0</v>
      </c>
      <c r="CN685" s="59">
        <v>0</v>
      </c>
      <c r="CO685" s="59">
        <v>0</v>
      </c>
      <c r="CP685" s="58"/>
      <c r="CQ685" s="3">
        <v>0</v>
      </c>
    </row>
    <row r="686" spans="1:95" customFormat="1" x14ac:dyDescent="0.2">
      <c r="A686" s="33">
        <v>0</v>
      </c>
      <c r="B686" s="33">
        <v>0</v>
      </c>
      <c r="C686" s="33">
        <v>0</v>
      </c>
      <c r="D686" s="43">
        <v>0</v>
      </c>
      <c r="E686" s="43">
        <v>0</v>
      </c>
      <c r="F686" s="43">
        <v>0</v>
      </c>
      <c r="G686" s="43">
        <v>0</v>
      </c>
      <c r="H686" s="43">
        <v>0</v>
      </c>
      <c r="I686" s="43">
        <v>0</v>
      </c>
      <c r="J686" s="43">
        <v>0</v>
      </c>
      <c r="K686" s="43">
        <v>0</v>
      </c>
      <c r="L686" s="43">
        <v>0</v>
      </c>
      <c r="M686" s="43">
        <v>0</v>
      </c>
      <c r="N686" s="43">
        <v>0</v>
      </c>
      <c r="O686" s="43">
        <v>0</v>
      </c>
      <c r="P686" s="47">
        <v>0</v>
      </c>
      <c r="R686" s="37">
        <v>0</v>
      </c>
      <c r="S686" s="37">
        <v>0</v>
      </c>
      <c r="T686" s="37">
        <v>0</v>
      </c>
      <c r="U686" s="37">
        <v>0</v>
      </c>
      <c r="V686" s="37">
        <v>0</v>
      </c>
      <c r="W686" s="37">
        <v>0</v>
      </c>
      <c r="X686" s="37">
        <v>0</v>
      </c>
      <c r="Y686" s="37">
        <v>0</v>
      </c>
      <c r="Z686" s="37">
        <v>0</v>
      </c>
      <c r="AA686" s="37">
        <v>0</v>
      </c>
      <c r="AB686" s="37">
        <v>0</v>
      </c>
      <c r="AC686" s="37">
        <v>0</v>
      </c>
      <c r="AD686" s="37">
        <v>0</v>
      </c>
      <c r="AE686" s="37">
        <v>0</v>
      </c>
      <c r="AF686" s="37">
        <v>0</v>
      </c>
      <c r="AG686" s="59">
        <v>0</v>
      </c>
      <c r="AH686" s="37">
        <v>0</v>
      </c>
      <c r="AI686" s="37">
        <v>0</v>
      </c>
      <c r="AJ686" s="37">
        <v>0</v>
      </c>
      <c r="AK686" s="37">
        <v>0</v>
      </c>
      <c r="AL686" s="37">
        <v>0</v>
      </c>
      <c r="AM686" s="37">
        <v>0</v>
      </c>
      <c r="AN686" s="37">
        <v>0</v>
      </c>
      <c r="AO686" s="37">
        <v>0</v>
      </c>
      <c r="AP686" s="37">
        <v>0</v>
      </c>
      <c r="AQ686" s="37">
        <v>0</v>
      </c>
      <c r="AR686" s="37">
        <v>0</v>
      </c>
      <c r="AS686" s="59">
        <v>0</v>
      </c>
      <c r="AT686" s="59">
        <v>0</v>
      </c>
      <c r="AU686" s="45"/>
      <c r="AV686" s="37">
        <v>0</v>
      </c>
      <c r="AW686" s="37">
        <v>0</v>
      </c>
      <c r="AX686" s="37">
        <v>0</v>
      </c>
      <c r="AY686" s="37">
        <v>0</v>
      </c>
      <c r="AZ686" s="37">
        <v>0</v>
      </c>
      <c r="BA686" s="37">
        <v>0</v>
      </c>
      <c r="BB686" s="37">
        <v>0</v>
      </c>
      <c r="BC686" s="37">
        <v>0</v>
      </c>
      <c r="BD686" s="37">
        <v>0</v>
      </c>
      <c r="BE686" s="37">
        <v>0</v>
      </c>
      <c r="BF686" s="37">
        <v>0</v>
      </c>
      <c r="BG686" s="37">
        <v>0</v>
      </c>
      <c r="BH686" s="37">
        <v>0</v>
      </c>
      <c r="BI686" s="37">
        <v>0</v>
      </c>
      <c r="BJ686" s="37">
        <v>0</v>
      </c>
      <c r="BK686" s="59">
        <v>0</v>
      </c>
      <c r="BL686" s="37">
        <v>0</v>
      </c>
      <c r="BM686" s="37">
        <v>0</v>
      </c>
      <c r="BN686" s="37">
        <v>0</v>
      </c>
      <c r="BO686" s="37">
        <v>0</v>
      </c>
      <c r="BP686" s="37">
        <v>0</v>
      </c>
      <c r="BQ686" s="37">
        <v>0</v>
      </c>
      <c r="BR686" s="37">
        <v>0</v>
      </c>
      <c r="BS686" s="37">
        <v>0</v>
      </c>
      <c r="BT686" s="37">
        <v>0</v>
      </c>
      <c r="BU686" s="37">
        <v>0</v>
      </c>
      <c r="BV686" s="37">
        <v>0</v>
      </c>
      <c r="BW686" s="59">
        <v>0</v>
      </c>
      <c r="BX686" s="59">
        <v>0</v>
      </c>
      <c r="BZ686" s="37">
        <v>0</v>
      </c>
      <c r="CA686" s="37">
        <v>0</v>
      </c>
      <c r="CB686" s="37">
        <v>0</v>
      </c>
      <c r="CC686" s="37">
        <v>0</v>
      </c>
      <c r="CD686" s="37">
        <v>0</v>
      </c>
      <c r="CE686" s="37">
        <v>0</v>
      </c>
      <c r="CF686" s="37">
        <v>0</v>
      </c>
      <c r="CG686" s="59">
        <v>0</v>
      </c>
      <c r="CH686" s="37">
        <v>0</v>
      </c>
      <c r="CI686" s="37">
        <v>0</v>
      </c>
      <c r="CJ686" s="37">
        <v>0</v>
      </c>
      <c r="CK686" s="37">
        <v>0</v>
      </c>
      <c r="CL686" s="37">
        <v>0</v>
      </c>
      <c r="CM686" s="37">
        <v>0</v>
      </c>
      <c r="CN686" s="59">
        <v>0</v>
      </c>
      <c r="CO686" s="59">
        <v>0</v>
      </c>
      <c r="CP686" s="58"/>
      <c r="CQ686" s="3">
        <v>0</v>
      </c>
    </row>
    <row r="687" spans="1:95" customFormat="1" x14ac:dyDescent="0.2">
      <c r="A687" s="33">
        <v>0</v>
      </c>
      <c r="B687" s="33">
        <v>0</v>
      </c>
      <c r="C687" s="33">
        <v>0</v>
      </c>
      <c r="D687" s="43">
        <v>0</v>
      </c>
      <c r="E687" s="43">
        <v>0</v>
      </c>
      <c r="F687" s="43">
        <v>0</v>
      </c>
      <c r="G687" s="43">
        <v>0</v>
      </c>
      <c r="H687" s="43">
        <v>0</v>
      </c>
      <c r="I687" s="43">
        <v>0</v>
      </c>
      <c r="J687" s="43">
        <v>0</v>
      </c>
      <c r="K687" s="43">
        <v>0</v>
      </c>
      <c r="L687" s="43">
        <v>0</v>
      </c>
      <c r="M687" s="43">
        <v>0</v>
      </c>
      <c r="N687" s="43">
        <v>0</v>
      </c>
      <c r="O687" s="43">
        <v>0</v>
      </c>
      <c r="P687" s="47">
        <v>0</v>
      </c>
      <c r="R687" s="37">
        <v>0</v>
      </c>
      <c r="S687" s="37">
        <v>0</v>
      </c>
      <c r="T687" s="37">
        <v>0</v>
      </c>
      <c r="U687" s="37">
        <v>0</v>
      </c>
      <c r="V687" s="37">
        <v>0</v>
      </c>
      <c r="W687" s="37">
        <v>0</v>
      </c>
      <c r="X687" s="37">
        <v>0</v>
      </c>
      <c r="Y687" s="37">
        <v>0</v>
      </c>
      <c r="Z687" s="37">
        <v>0</v>
      </c>
      <c r="AA687" s="37">
        <v>0</v>
      </c>
      <c r="AB687" s="37">
        <v>0</v>
      </c>
      <c r="AC687" s="37">
        <v>0</v>
      </c>
      <c r="AD687" s="37">
        <v>0</v>
      </c>
      <c r="AE687" s="37">
        <v>0</v>
      </c>
      <c r="AF687" s="37">
        <v>0</v>
      </c>
      <c r="AG687" s="59">
        <v>0</v>
      </c>
      <c r="AH687" s="37">
        <v>0</v>
      </c>
      <c r="AI687" s="37">
        <v>0</v>
      </c>
      <c r="AJ687" s="37">
        <v>0</v>
      </c>
      <c r="AK687" s="37">
        <v>0</v>
      </c>
      <c r="AL687" s="37">
        <v>0</v>
      </c>
      <c r="AM687" s="37">
        <v>0</v>
      </c>
      <c r="AN687" s="37">
        <v>0</v>
      </c>
      <c r="AO687" s="37">
        <v>0</v>
      </c>
      <c r="AP687" s="37">
        <v>0</v>
      </c>
      <c r="AQ687" s="37">
        <v>0</v>
      </c>
      <c r="AR687" s="37">
        <v>0</v>
      </c>
      <c r="AS687" s="59">
        <v>0</v>
      </c>
      <c r="AT687" s="59">
        <v>0</v>
      </c>
      <c r="AU687" s="45"/>
      <c r="AV687" s="37">
        <v>0</v>
      </c>
      <c r="AW687" s="37">
        <v>0</v>
      </c>
      <c r="AX687" s="37">
        <v>0</v>
      </c>
      <c r="AY687" s="37">
        <v>0</v>
      </c>
      <c r="AZ687" s="37">
        <v>0</v>
      </c>
      <c r="BA687" s="37">
        <v>0</v>
      </c>
      <c r="BB687" s="37">
        <v>0</v>
      </c>
      <c r="BC687" s="37">
        <v>0</v>
      </c>
      <c r="BD687" s="37">
        <v>0</v>
      </c>
      <c r="BE687" s="37">
        <v>0</v>
      </c>
      <c r="BF687" s="37">
        <v>0</v>
      </c>
      <c r="BG687" s="37">
        <v>0</v>
      </c>
      <c r="BH687" s="37">
        <v>0</v>
      </c>
      <c r="BI687" s="37">
        <v>0</v>
      </c>
      <c r="BJ687" s="37">
        <v>0</v>
      </c>
      <c r="BK687" s="59">
        <v>0</v>
      </c>
      <c r="BL687" s="37">
        <v>0</v>
      </c>
      <c r="BM687" s="37">
        <v>0</v>
      </c>
      <c r="BN687" s="37">
        <v>0</v>
      </c>
      <c r="BO687" s="37">
        <v>0</v>
      </c>
      <c r="BP687" s="37">
        <v>0</v>
      </c>
      <c r="BQ687" s="37">
        <v>0</v>
      </c>
      <c r="BR687" s="37">
        <v>0</v>
      </c>
      <c r="BS687" s="37">
        <v>0</v>
      </c>
      <c r="BT687" s="37">
        <v>0</v>
      </c>
      <c r="BU687" s="37">
        <v>0</v>
      </c>
      <c r="BV687" s="37">
        <v>0</v>
      </c>
      <c r="BW687" s="59">
        <v>0</v>
      </c>
      <c r="BX687" s="59">
        <v>0</v>
      </c>
      <c r="BZ687" s="37">
        <v>0</v>
      </c>
      <c r="CA687" s="37">
        <v>0</v>
      </c>
      <c r="CB687" s="37">
        <v>0</v>
      </c>
      <c r="CC687" s="37">
        <v>0</v>
      </c>
      <c r="CD687" s="37">
        <v>0</v>
      </c>
      <c r="CE687" s="37">
        <v>0</v>
      </c>
      <c r="CF687" s="37">
        <v>0</v>
      </c>
      <c r="CG687" s="59">
        <v>0</v>
      </c>
      <c r="CH687" s="37">
        <v>0</v>
      </c>
      <c r="CI687" s="37">
        <v>0</v>
      </c>
      <c r="CJ687" s="37">
        <v>0</v>
      </c>
      <c r="CK687" s="37">
        <v>0</v>
      </c>
      <c r="CL687" s="37">
        <v>0</v>
      </c>
      <c r="CM687" s="37">
        <v>0</v>
      </c>
      <c r="CN687" s="59">
        <v>0</v>
      </c>
      <c r="CO687" s="59">
        <v>0</v>
      </c>
      <c r="CP687" s="58"/>
      <c r="CQ687" s="3">
        <v>0</v>
      </c>
    </row>
    <row r="688" spans="1:95" customFormat="1" x14ac:dyDescent="0.2">
      <c r="A688" s="33">
        <v>0</v>
      </c>
      <c r="B688" s="33">
        <v>0</v>
      </c>
      <c r="C688" s="33">
        <v>0</v>
      </c>
      <c r="D688" s="43">
        <v>0</v>
      </c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0</v>
      </c>
      <c r="K688" s="43">
        <v>0</v>
      </c>
      <c r="L688" s="43">
        <v>0</v>
      </c>
      <c r="M688" s="43">
        <v>0</v>
      </c>
      <c r="N688" s="43">
        <v>0</v>
      </c>
      <c r="O688" s="43">
        <v>0</v>
      </c>
      <c r="P688" s="47">
        <v>0</v>
      </c>
      <c r="R688" s="37">
        <v>0</v>
      </c>
      <c r="S688" s="37">
        <v>0</v>
      </c>
      <c r="T688" s="37">
        <v>0</v>
      </c>
      <c r="U688" s="37">
        <v>0</v>
      </c>
      <c r="V688" s="37">
        <v>0</v>
      </c>
      <c r="W688" s="37">
        <v>0</v>
      </c>
      <c r="X688" s="37">
        <v>0</v>
      </c>
      <c r="Y688" s="37">
        <v>0</v>
      </c>
      <c r="Z688" s="37">
        <v>0</v>
      </c>
      <c r="AA688" s="37">
        <v>0</v>
      </c>
      <c r="AB688" s="37">
        <v>0</v>
      </c>
      <c r="AC688" s="37">
        <v>0</v>
      </c>
      <c r="AD688" s="37">
        <v>0</v>
      </c>
      <c r="AE688" s="37">
        <v>0</v>
      </c>
      <c r="AF688" s="37">
        <v>0</v>
      </c>
      <c r="AG688" s="59">
        <v>0</v>
      </c>
      <c r="AH688" s="37">
        <v>0</v>
      </c>
      <c r="AI688" s="37">
        <v>0</v>
      </c>
      <c r="AJ688" s="37">
        <v>0</v>
      </c>
      <c r="AK688" s="37">
        <v>0</v>
      </c>
      <c r="AL688" s="37">
        <v>0</v>
      </c>
      <c r="AM688" s="37">
        <v>0</v>
      </c>
      <c r="AN688" s="37">
        <v>0</v>
      </c>
      <c r="AO688" s="37">
        <v>0</v>
      </c>
      <c r="AP688" s="37">
        <v>0</v>
      </c>
      <c r="AQ688" s="37">
        <v>0</v>
      </c>
      <c r="AR688" s="37">
        <v>0</v>
      </c>
      <c r="AS688" s="59">
        <v>0</v>
      </c>
      <c r="AT688" s="59">
        <v>0</v>
      </c>
      <c r="AU688" s="45"/>
      <c r="AV688" s="37">
        <v>0</v>
      </c>
      <c r="AW688" s="37">
        <v>0</v>
      </c>
      <c r="AX688" s="37">
        <v>0</v>
      </c>
      <c r="AY688" s="37">
        <v>0</v>
      </c>
      <c r="AZ688" s="37">
        <v>0</v>
      </c>
      <c r="BA688" s="37">
        <v>0</v>
      </c>
      <c r="BB688" s="37">
        <v>0</v>
      </c>
      <c r="BC688" s="37">
        <v>0</v>
      </c>
      <c r="BD688" s="37">
        <v>0</v>
      </c>
      <c r="BE688" s="37">
        <v>0</v>
      </c>
      <c r="BF688" s="37">
        <v>0</v>
      </c>
      <c r="BG688" s="37">
        <v>0</v>
      </c>
      <c r="BH688" s="37">
        <v>0</v>
      </c>
      <c r="BI688" s="37">
        <v>0</v>
      </c>
      <c r="BJ688" s="37">
        <v>0</v>
      </c>
      <c r="BK688" s="59">
        <v>0</v>
      </c>
      <c r="BL688" s="37">
        <v>0</v>
      </c>
      <c r="BM688" s="37">
        <v>0</v>
      </c>
      <c r="BN688" s="37">
        <v>0</v>
      </c>
      <c r="BO688" s="37">
        <v>0</v>
      </c>
      <c r="BP688" s="37">
        <v>0</v>
      </c>
      <c r="BQ688" s="37">
        <v>0</v>
      </c>
      <c r="BR688" s="37">
        <v>0</v>
      </c>
      <c r="BS688" s="37">
        <v>0</v>
      </c>
      <c r="BT688" s="37">
        <v>0</v>
      </c>
      <c r="BU688" s="37">
        <v>0</v>
      </c>
      <c r="BV688" s="37">
        <v>0</v>
      </c>
      <c r="BW688" s="59">
        <v>0</v>
      </c>
      <c r="BX688" s="59">
        <v>0</v>
      </c>
      <c r="BZ688" s="37">
        <v>0</v>
      </c>
      <c r="CA688" s="37">
        <v>0</v>
      </c>
      <c r="CB688" s="37">
        <v>0</v>
      </c>
      <c r="CC688" s="37">
        <v>0</v>
      </c>
      <c r="CD688" s="37">
        <v>0</v>
      </c>
      <c r="CE688" s="37">
        <v>0</v>
      </c>
      <c r="CF688" s="37">
        <v>0</v>
      </c>
      <c r="CG688" s="59">
        <v>0</v>
      </c>
      <c r="CH688" s="37">
        <v>0</v>
      </c>
      <c r="CI688" s="37">
        <v>0</v>
      </c>
      <c r="CJ688" s="37">
        <v>0</v>
      </c>
      <c r="CK688" s="37">
        <v>0</v>
      </c>
      <c r="CL688" s="37">
        <v>0</v>
      </c>
      <c r="CM688" s="37">
        <v>0</v>
      </c>
      <c r="CN688" s="59">
        <v>0</v>
      </c>
      <c r="CO688" s="59">
        <v>0</v>
      </c>
      <c r="CP688" s="58"/>
      <c r="CQ688" s="3">
        <v>0</v>
      </c>
    </row>
    <row r="689" spans="1:95" customFormat="1" x14ac:dyDescent="0.2">
      <c r="A689" s="33">
        <v>0</v>
      </c>
      <c r="B689" s="33">
        <v>0</v>
      </c>
      <c r="C689" s="33">
        <v>0</v>
      </c>
      <c r="D689" s="43">
        <v>0</v>
      </c>
      <c r="E689" s="43">
        <v>0</v>
      </c>
      <c r="F689" s="43">
        <v>0</v>
      </c>
      <c r="G689" s="43">
        <v>0</v>
      </c>
      <c r="H689" s="43">
        <v>0</v>
      </c>
      <c r="I689" s="43">
        <v>0</v>
      </c>
      <c r="J689" s="43">
        <v>0</v>
      </c>
      <c r="K689" s="43">
        <v>0</v>
      </c>
      <c r="L689" s="43">
        <v>0</v>
      </c>
      <c r="M689" s="43">
        <v>0</v>
      </c>
      <c r="N689" s="43">
        <v>0</v>
      </c>
      <c r="O689" s="43">
        <v>0</v>
      </c>
      <c r="P689" s="47">
        <v>0</v>
      </c>
      <c r="R689" s="37">
        <v>0</v>
      </c>
      <c r="S689" s="37">
        <v>0</v>
      </c>
      <c r="T689" s="37">
        <v>0</v>
      </c>
      <c r="U689" s="37">
        <v>0</v>
      </c>
      <c r="V689" s="37">
        <v>0</v>
      </c>
      <c r="W689" s="37">
        <v>0</v>
      </c>
      <c r="X689" s="37">
        <v>0</v>
      </c>
      <c r="Y689" s="37">
        <v>0</v>
      </c>
      <c r="Z689" s="37">
        <v>0</v>
      </c>
      <c r="AA689" s="37">
        <v>0</v>
      </c>
      <c r="AB689" s="37">
        <v>0</v>
      </c>
      <c r="AC689" s="37">
        <v>0</v>
      </c>
      <c r="AD689" s="37">
        <v>0</v>
      </c>
      <c r="AE689" s="37">
        <v>0</v>
      </c>
      <c r="AF689" s="37">
        <v>0</v>
      </c>
      <c r="AG689" s="59">
        <v>0</v>
      </c>
      <c r="AH689" s="37">
        <v>0</v>
      </c>
      <c r="AI689" s="37">
        <v>0</v>
      </c>
      <c r="AJ689" s="37">
        <v>0</v>
      </c>
      <c r="AK689" s="37">
        <v>0</v>
      </c>
      <c r="AL689" s="37">
        <v>0</v>
      </c>
      <c r="AM689" s="37">
        <v>0</v>
      </c>
      <c r="AN689" s="37">
        <v>0</v>
      </c>
      <c r="AO689" s="37">
        <v>0</v>
      </c>
      <c r="AP689" s="37">
        <v>0</v>
      </c>
      <c r="AQ689" s="37">
        <v>0</v>
      </c>
      <c r="AR689" s="37">
        <v>0</v>
      </c>
      <c r="AS689" s="59">
        <v>0</v>
      </c>
      <c r="AT689" s="59">
        <v>0</v>
      </c>
      <c r="AU689" s="45"/>
      <c r="AV689" s="37">
        <v>0</v>
      </c>
      <c r="AW689" s="37">
        <v>0</v>
      </c>
      <c r="AX689" s="37">
        <v>0</v>
      </c>
      <c r="AY689" s="37">
        <v>0</v>
      </c>
      <c r="AZ689" s="37">
        <v>0</v>
      </c>
      <c r="BA689" s="37">
        <v>0</v>
      </c>
      <c r="BB689" s="37">
        <v>0</v>
      </c>
      <c r="BC689" s="37">
        <v>0</v>
      </c>
      <c r="BD689" s="37">
        <v>0</v>
      </c>
      <c r="BE689" s="37">
        <v>0</v>
      </c>
      <c r="BF689" s="37">
        <v>0</v>
      </c>
      <c r="BG689" s="37">
        <v>0</v>
      </c>
      <c r="BH689" s="37">
        <v>0</v>
      </c>
      <c r="BI689" s="37">
        <v>0</v>
      </c>
      <c r="BJ689" s="37">
        <v>0</v>
      </c>
      <c r="BK689" s="59">
        <v>0</v>
      </c>
      <c r="BL689" s="37">
        <v>0</v>
      </c>
      <c r="BM689" s="37">
        <v>0</v>
      </c>
      <c r="BN689" s="37">
        <v>0</v>
      </c>
      <c r="BO689" s="37">
        <v>0</v>
      </c>
      <c r="BP689" s="37">
        <v>0</v>
      </c>
      <c r="BQ689" s="37">
        <v>0</v>
      </c>
      <c r="BR689" s="37">
        <v>0</v>
      </c>
      <c r="BS689" s="37">
        <v>0</v>
      </c>
      <c r="BT689" s="37">
        <v>0</v>
      </c>
      <c r="BU689" s="37">
        <v>0</v>
      </c>
      <c r="BV689" s="37">
        <v>0</v>
      </c>
      <c r="BW689" s="59">
        <v>0</v>
      </c>
      <c r="BX689" s="59">
        <v>0</v>
      </c>
      <c r="BZ689" s="37">
        <v>0</v>
      </c>
      <c r="CA689" s="37">
        <v>0</v>
      </c>
      <c r="CB689" s="37">
        <v>0</v>
      </c>
      <c r="CC689" s="37">
        <v>0</v>
      </c>
      <c r="CD689" s="37">
        <v>0</v>
      </c>
      <c r="CE689" s="37">
        <v>0</v>
      </c>
      <c r="CF689" s="37">
        <v>0</v>
      </c>
      <c r="CG689" s="59">
        <v>0</v>
      </c>
      <c r="CH689" s="37">
        <v>0</v>
      </c>
      <c r="CI689" s="37">
        <v>0</v>
      </c>
      <c r="CJ689" s="37">
        <v>0</v>
      </c>
      <c r="CK689" s="37">
        <v>0</v>
      </c>
      <c r="CL689" s="37">
        <v>0</v>
      </c>
      <c r="CM689" s="37">
        <v>0</v>
      </c>
      <c r="CN689" s="59">
        <v>0</v>
      </c>
      <c r="CO689" s="59">
        <v>0</v>
      </c>
      <c r="CP689" s="58"/>
      <c r="CQ689" s="3">
        <v>0</v>
      </c>
    </row>
    <row r="690" spans="1:95" customFormat="1" x14ac:dyDescent="0.2">
      <c r="A690" s="33">
        <v>0</v>
      </c>
      <c r="B690" s="33">
        <v>0</v>
      </c>
      <c r="C690" s="33">
        <v>0</v>
      </c>
      <c r="D690" s="43">
        <v>0</v>
      </c>
      <c r="E690" s="43">
        <v>0</v>
      </c>
      <c r="F690" s="43">
        <v>0</v>
      </c>
      <c r="G690" s="43">
        <v>0</v>
      </c>
      <c r="H690" s="43">
        <v>0</v>
      </c>
      <c r="I690" s="43">
        <v>0</v>
      </c>
      <c r="J690" s="43">
        <v>0</v>
      </c>
      <c r="K690" s="43">
        <v>0</v>
      </c>
      <c r="L690" s="43">
        <v>0</v>
      </c>
      <c r="M690" s="43">
        <v>0</v>
      </c>
      <c r="N690" s="43">
        <v>0</v>
      </c>
      <c r="O690" s="43">
        <v>0</v>
      </c>
      <c r="P690" s="47">
        <v>0</v>
      </c>
      <c r="R690" s="37">
        <v>0</v>
      </c>
      <c r="S690" s="37">
        <v>0</v>
      </c>
      <c r="T690" s="37">
        <v>0</v>
      </c>
      <c r="U690" s="37">
        <v>0</v>
      </c>
      <c r="V690" s="37">
        <v>0</v>
      </c>
      <c r="W690" s="37">
        <v>0</v>
      </c>
      <c r="X690" s="37">
        <v>0</v>
      </c>
      <c r="Y690" s="37">
        <v>0</v>
      </c>
      <c r="Z690" s="37">
        <v>0</v>
      </c>
      <c r="AA690" s="37">
        <v>0</v>
      </c>
      <c r="AB690" s="37">
        <v>0</v>
      </c>
      <c r="AC690" s="37">
        <v>0</v>
      </c>
      <c r="AD690" s="37">
        <v>0</v>
      </c>
      <c r="AE690" s="37">
        <v>0</v>
      </c>
      <c r="AF690" s="37">
        <v>0</v>
      </c>
      <c r="AG690" s="59">
        <v>0</v>
      </c>
      <c r="AH690" s="37">
        <v>0</v>
      </c>
      <c r="AI690" s="37">
        <v>0</v>
      </c>
      <c r="AJ690" s="37">
        <v>0</v>
      </c>
      <c r="AK690" s="37">
        <v>0</v>
      </c>
      <c r="AL690" s="37">
        <v>0</v>
      </c>
      <c r="AM690" s="37">
        <v>0</v>
      </c>
      <c r="AN690" s="37">
        <v>0</v>
      </c>
      <c r="AO690" s="37">
        <v>0</v>
      </c>
      <c r="AP690" s="37">
        <v>0</v>
      </c>
      <c r="AQ690" s="37">
        <v>0</v>
      </c>
      <c r="AR690" s="37">
        <v>0</v>
      </c>
      <c r="AS690" s="59">
        <v>0</v>
      </c>
      <c r="AT690" s="59">
        <v>0</v>
      </c>
      <c r="AU690" s="45"/>
      <c r="AV690" s="37">
        <v>0</v>
      </c>
      <c r="AW690" s="37">
        <v>0</v>
      </c>
      <c r="AX690" s="37">
        <v>0</v>
      </c>
      <c r="AY690" s="37">
        <v>0</v>
      </c>
      <c r="AZ690" s="37">
        <v>0</v>
      </c>
      <c r="BA690" s="37">
        <v>0</v>
      </c>
      <c r="BB690" s="37">
        <v>0</v>
      </c>
      <c r="BC690" s="37">
        <v>0</v>
      </c>
      <c r="BD690" s="37">
        <v>0</v>
      </c>
      <c r="BE690" s="37">
        <v>0</v>
      </c>
      <c r="BF690" s="37">
        <v>0</v>
      </c>
      <c r="BG690" s="37">
        <v>0</v>
      </c>
      <c r="BH690" s="37">
        <v>0</v>
      </c>
      <c r="BI690" s="37">
        <v>0</v>
      </c>
      <c r="BJ690" s="37">
        <v>0</v>
      </c>
      <c r="BK690" s="59">
        <v>0</v>
      </c>
      <c r="BL690" s="37">
        <v>0</v>
      </c>
      <c r="BM690" s="37">
        <v>0</v>
      </c>
      <c r="BN690" s="37">
        <v>0</v>
      </c>
      <c r="BO690" s="37">
        <v>0</v>
      </c>
      <c r="BP690" s="37">
        <v>0</v>
      </c>
      <c r="BQ690" s="37">
        <v>0</v>
      </c>
      <c r="BR690" s="37">
        <v>0</v>
      </c>
      <c r="BS690" s="37">
        <v>0</v>
      </c>
      <c r="BT690" s="37">
        <v>0</v>
      </c>
      <c r="BU690" s="37">
        <v>0</v>
      </c>
      <c r="BV690" s="37">
        <v>0</v>
      </c>
      <c r="BW690" s="59">
        <v>0</v>
      </c>
      <c r="BX690" s="59">
        <v>0</v>
      </c>
      <c r="BZ690" s="37">
        <v>0</v>
      </c>
      <c r="CA690" s="37">
        <v>0</v>
      </c>
      <c r="CB690" s="37">
        <v>0</v>
      </c>
      <c r="CC690" s="37">
        <v>0</v>
      </c>
      <c r="CD690" s="37">
        <v>0</v>
      </c>
      <c r="CE690" s="37">
        <v>0</v>
      </c>
      <c r="CF690" s="37">
        <v>0</v>
      </c>
      <c r="CG690" s="59">
        <v>0</v>
      </c>
      <c r="CH690" s="37">
        <v>0</v>
      </c>
      <c r="CI690" s="37">
        <v>0</v>
      </c>
      <c r="CJ690" s="37">
        <v>0</v>
      </c>
      <c r="CK690" s="37">
        <v>0</v>
      </c>
      <c r="CL690" s="37">
        <v>0</v>
      </c>
      <c r="CM690" s="37">
        <v>0</v>
      </c>
      <c r="CN690" s="59">
        <v>0</v>
      </c>
      <c r="CO690" s="59">
        <v>0</v>
      </c>
      <c r="CP690" s="58"/>
      <c r="CQ690" s="3">
        <v>0</v>
      </c>
    </row>
    <row r="691" spans="1:95" customFormat="1" x14ac:dyDescent="0.2">
      <c r="A691" s="33">
        <v>0</v>
      </c>
      <c r="B691" s="33">
        <v>0</v>
      </c>
      <c r="C691" s="33">
        <v>0</v>
      </c>
      <c r="D691" s="43">
        <v>0</v>
      </c>
      <c r="E691" s="43">
        <v>0</v>
      </c>
      <c r="F691" s="43">
        <v>0</v>
      </c>
      <c r="G691" s="43">
        <v>0</v>
      </c>
      <c r="H691" s="43">
        <v>0</v>
      </c>
      <c r="I691" s="43">
        <v>0</v>
      </c>
      <c r="J691" s="43">
        <v>0</v>
      </c>
      <c r="K691" s="43">
        <v>0</v>
      </c>
      <c r="L691" s="43">
        <v>0</v>
      </c>
      <c r="M691" s="43">
        <v>0</v>
      </c>
      <c r="N691" s="43">
        <v>0</v>
      </c>
      <c r="O691" s="43">
        <v>0</v>
      </c>
      <c r="P691" s="47">
        <v>0</v>
      </c>
      <c r="R691" s="37">
        <v>0</v>
      </c>
      <c r="S691" s="37">
        <v>0</v>
      </c>
      <c r="T691" s="37">
        <v>0</v>
      </c>
      <c r="U691" s="37">
        <v>0</v>
      </c>
      <c r="V691" s="37">
        <v>0</v>
      </c>
      <c r="W691" s="37">
        <v>0</v>
      </c>
      <c r="X691" s="37">
        <v>0</v>
      </c>
      <c r="Y691" s="37">
        <v>0</v>
      </c>
      <c r="Z691" s="37">
        <v>0</v>
      </c>
      <c r="AA691" s="37">
        <v>0</v>
      </c>
      <c r="AB691" s="37">
        <v>0</v>
      </c>
      <c r="AC691" s="37">
        <v>0</v>
      </c>
      <c r="AD691" s="37">
        <v>0</v>
      </c>
      <c r="AE691" s="37">
        <v>0</v>
      </c>
      <c r="AF691" s="37">
        <v>0</v>
      </c>
      <c r="AG691" s="59">
        <v>0</v>
      </c>
      <c r="AH691" s="37">
        <v>0</v>
      </c>
      <c r="AI691" s="37">
        <v>0</v>
      </c>
      <c r="AJ691" s="37">
        <v>0</v>
      </c>
      <c r="AK691" s="37">
        <v>0</v>
      </c>
      <c r="AL691" s="37">
        <v>0</v>
      </c>
      <c r="AM691" s="37">
        <v>0</v>
      </c>
      <c r="AN691" s="37">
        <v>0</v>
      </c>
      <c r="AO691" s="37">
        <v>0</v>
      </c>
      <c r="AP691" s="37">
        <v>0</v>
      </c>
      <c r="AQ691" s="37">
        <v>0</v>
      </c>
      <c r="AR691" s="37">
        <v>0</v>
      </c>
      <c r="AS691" s="59">
        <v>0</v>
      </c>
      <c r="AT691" s="59">
        <v>0</v>
      </c>
      <c r="AU691" s="45"/>
      <c r="AV691" s="37">
        <v>0</v>
      </c>
      <c r="AW691" s="37">
        <v>0</v>
      </c>
      <c r="AX691" s="37">
        <v>0</v>
      </c>
      <c r="AY691" s="37">
        <v>0</v>
      </c>
      <c r="AZ691" s="37">
        <v>0</v>
      </c>
      <c r="BA691" s="37">
        <v>0</v>
      </c>
      <c r="BB691" s="37">
        <v>0</v>
      </c>
      <c r="BC691" s="37">
        <v>0</v>
      </c>
      <c r="BD691" s="37">
        <v>0</v>
      </c>
      <c r="BE691" s="37">
        <v>0</v>
      </c>
      <c r="BF691" s="37">
        <v>0</v>
      </c>
      <c r="BG691" s="37">
        <v>0</v>
      </c>
      <c r="BH691" s="37">
        <v>0</v>
      </c>
      <c r="BI691" s="37">
        <v>0</v>
      </c>
      <c r="BJ691" s="37">
        <v>0</v>
      </c>
      <c r="BK691" s="59">
        <v>0</v>
      </c>
      <c r="BL691" s="37">
        <v>0</v>
      </c>
      <c r="BM691" s="37">
        <v>0</v>
      </c>
      <c r="BN691" s="37">
        <v>0</v>
      </c>
      <c r="BO691" s="37">
        <v>0</v>
      </c>
      <c r="BP691" s="37">
        <v>0</v>
      </c>
      <c r="BQ691" s="37">
        <v>0</v>
      </c>
      <c r="BR691" s="37">
        <v>0</v>
      </c>
      <c r="BS691" s="37">
        <v>0</v>
      </c>
      <c r="BT691" s="37">
        <v>0</v>
      </c>
      <c r="BU691" s="37">
        <v>0</v>
      </c>
      <c r="BV691" s="37">
        <v>0</v>
      </c>
      <c r="BW691" s="59">
        <v>0</v>
      </c>
      <c r="BX691" s="59">
        <v>0</v>
      </c>
      <c r="BZ691" s="37">
        <v>0</v>
      </c>
      <c r="CA691" s="37">
        <v>0</v>
      </c>
      <c r="CB691" s="37">
        <v>0</v>
      </c>
      <c r="CC691" s="37">
        <v>0</v>
      </c>
      <c r="CD691" s="37">
        <v>0</v>
      </c>
      <c r="CE691" s="37">
        <v>0</v>
      </c>
      <c r="CF691" s="37">
        <v>0</v>
      </c>
      <c r="CG691" s="59">
        <v>0</v>
      </c>
      <c r="CH691" s="37">
        <v>0</v>
      </c>
      <c r="CI691" s="37">
        <v>0</v>
      </c>
      <c r="CJ691" s="37">
        <v>0</v>
      </c>
      <c r="CK691" s="37">
        <v>0</v>
      </c>
      <c r="CL691" s="37">
        <v>0</v>
      </c>
      <c r="CM691" s="37">
        <v>0</v>
      </c>
      <c r="CN691" s="59">
        <v>0</v>
      </c>
      <c r="CO691" s="59">
        <v>0</v>
      </c>
      <c r="CP691" s="58"/>
      <c r="CQ691" s="3">
        <v>0</v>
      </c>
    </row>
    <row r="692" spans="1:95" customFormat="1" x14ac:dyDescent="0.2">
      <c r="A692" s="33">
        <v>0</v>
      </c>
      <c r="B692" s="33">
        <v>0</v>
      </c>
      <c r="C692" s="33">
        <v>0</v>
      </c>
      <c r="D692" s="43">
        <v>0</v>
      </c>
      <c r="E692" s="43">
        <v>0</v>
      </c>
      <c r="F692" s="43">
        <v>0</v>
      </c>
      <c r="G692" s="43">
        <v>0</v>
      </c>
      <c r="H692" s="43">
        <v>0</v>
      </c>
      <c r="I692" s="43">
        <v>0</v>
      </c>
      <c r="J692" s="43">
        <v>0</v>
      </c>
      <c r="K692" s="43">
        <v>0</v>
      </c>
      <c r="L692" s="43">
        <v>0</v>
      </c>
      <c r="M692" s="43">
        <v>0</v>
      </c>
      <c r="N692" s="43">
        <v>0</v>
      </c>
      <c r="O692" s="43">
        <v>0</v>
      </c>
      <c r="P692" s="47">
        <v>0</v>
      </c>
      <c r="R692" s="37">
        <v>0</v>
      </c>
      <c r="S692" s="37">
        <v>0</v>
      </c>
      <c r="T692" s="37">
        <v>0</v>
      </c>
      <c r="U692" s="37">
        <v>0</v>
      </c>
      <c r="V692" s="37">
        <v>0</v>
      </c>
      <c r="W692" s="37">
        <v>0</v>
      </c>
      <c r="X692" s="37">
        <v>0</v>
      </c>
      <c r="Y692" s="37">
        <v>0</v>
      </c>
      <c r="Z692" s="37">
        <v>0</v>
      </c>
      <c r="AA692" s="37">
        <v>0</v>
      </c>
      <c r="AB692" s="37">
        <v>0</v>
      </c>
      <c r="AC692" s="37">
        <v>0</v>
      </c>
      <c r="AD692" s="37">
        <v>0</v>
      </c>
      <c r="AE692" s="37">
        <v>0</v>
      </c>
      <c r="AF692" s="37">
        <v>0</v>
      </c>
      <c r="AG692" s="59">
        <v>0</v>
      </c>
      <c r="AH692" s="37">
        <v>0</v>
      </c>
      <c r="AI692" s="37">
        <v>0</v>
      </c>
      <c r="AJ692" s="37">
        <v>0</v>
      </c>
      <c r="AK692" s="37">
        <v>0</v>
      </c>
      <c r="AL692" s="37">
        <v>0</v>
      </c>
      <c r="AM692" s="37">
        <v>0</v>
      </c>
      <c r="AN692" s="37">
        <v>0</v>
      </c>
      <c r="AO692" s="37">
        <v>0</v>
      </c>
      <c r="AP692" s="37">
        <v>0</v>
      </c>
      <c r="AQ692" s="37">
        <v>0</v>
      </c>
      <c r="AR692" s="37">
        <v>0</v>
      </c>
      <c r="AS692" s="59">
        <v>0</v>
      </c>
      <c r="AT692" s="59">
        <v>0</v>
      </c>
      <c r="AU692" s="45"/>
      <c r="AV692" s="37">
        <v>0</v>
      </c>
      <c r="AW692" s="37">
        <v>0</v>
      </c>
      <c r="AX692" s="37">
        <v>0</v>
      </c>
      <c r="AY692" s="37">
        <v>0</v>
      </c>
      <c r="AZ692" s="37">
        <v>0</v>
      </c>
      <c r="BA692" s="37">
        <v>0</v>
      </c>
      <c r="BB692" s="37">
        <v>0</v>
      </c>
      <c r="BC692" s="37">
        <v>0</v>
      </c>
      <c r="BD692" s="37">
        <v>0</v>
      </c>
      <c r="BE692" s="37">
        <v>0</v>
      </c>
      <c r="BF692" s="37">
        <v>0</v>
      </c>
      <c r="BG692" s="37">
        <v>0</v>
      </c>
      <c r="BH692" s="37">
        <v>0</v>
      </c>
      <c r="BI692" s="37">
        <v>0</v>
      </c>
      <c r="BJ692" s="37">
        <v>0</v>
      </c>
      <c r="BK692" s="59">
        <v>0</v>
      </c>
      <c r="BL692" s="37">
        <v>0</v>
      </c>
      <c r="BM692" s="37">
        <v>0</v>
      </c>
      <c r="BN692" s="37">
        <v>0</v>
      </c>
      <c r="BO692" s="37">
        <v>0</v>
      </c>
      <c r="BP692" s="37">
        <v>0</v>
      </c>
      <c r="BQ692" s="37">
        <v>0</v>
      </c>
      <c r="BR692" s="37">
        <v>0</v>
      </c>
      <c r="BS692" s="37">
        <v>0</v>
      </c>
      <c r="BT692" s="37">
        <v>0</v>
      </c>
      <c r="BU692" s="37">
        <v>0</v>
      </c>
      <c r="BV692" s="37">
        <v>0</v>
      </c>
      <c r="BW692" s="59">
        <v>0</v>
      </c>
      <c r="BX692" s="59">
        <v>0</v>
      </c>
      <c r="BZ692" s="37">
        <v>0</v>
      </c>
      <c r="CA692" s="37">
        <v>0</v>
      </c>
      <c r="CB692" s="37">
        <v>0</v>
      </c>
      <c r="CC692" s="37">
        <v>0</v>
      </c>
      <c r="CD692" s="37">
        <v>0</v>
      </c>
      <c r="CE692" s="37">
        <v>0</v>
      </c>
      <c r="CF692" s="37">
        <v>0</v>
      </c>
      <c r="CG692" s="59">
        <v>0</v>
      </c>
      <c r="CH692" s="37">
        <v>0</v>
      </c>
      <c r="CI692" s="37">
        <v>0</v>
      </c>
      <c r="CJ692" s="37">
        <v>0</v>
      </c>
      <c r="CK692" s="37">
        <v>0</v>
      </c>
      <c r="CL692" s="37">
        <v>0</v>
      </c>
      <c r="CM692" s="37">
        <v>0</v>
      </c>
      <c r="CN692" s="59">
        <v>0</v>
      </c>
      <c r="CO692" s="59">
        <v>0</v>
      </c>
      <c r="CP692" s="58"/>
      <c r="CQ692" s="3">
        <v>0</v>
      </c>
    </row>
    <row r="693" spans="1:95" customFormat="1" x14ac:dyDescent="0.2">
      <c r="A693" s="33">
        <v>0</v>
      </c>
      <c r="B693" s="33">
        <v>0</v>
      </c>
      <c r="C693" s="33">
        <v>0</v>
      </c>
      <c r="D693" s="43">
        <v>0</v>
      </c>
      <c r="E693" s="43">
        <v>0</v>
      </c>
      <c r="F693" s="43">
        <v>0</v>
      </c>
      <c r="G693" s="43">
        <v>0</v>
      </c>
      <c r="H693" s="43">
        <v>0</v>
      </c>
      <c r="I693" s="43">
        <v>0</v>
      </c>
      <c r="J693" s="43">
        <v>0</v>
      </c>
      <c r="K693" s="43">
        <v>0</v>
      </c>
      <c r="L693" s="43">
        <v>0</v>
      </c>
      <c r="M693" s="43">
        <v>0</v>
      </c>
      <c r="N693" s="43">
        <v>0</v>
      </c>
      <c r="O693" s="43">
        <v>0</v>
      </c>
      <c r="P693" s="47">
        <v>0</v>
      </c>
      <c r="R693" s="37">
        <v>0</v>
      </c>
      <c r="S693" s="37">
        <v>0</v>
      </c>
      <c r="T693" s="37">
        <v>0</v>
      </c>
      <c r="U693" s="37">
        <v>0</v>
      </c>
      <c r="V693" s="37">
        <v>0</v>
      </c>
      <c r="W693" s="37">
        <v>0</v>
      </c>
      <c r="X693" s="37">
        <v>0</v>
      </c>
      <c r="Y693" s="37">
        <v>0</v>
      </c>
      <c r="Z693" s="37">
        <v>0</v>
      </c>
      <c r="AA693" s="37">
        <v>0</v>
      </c>
      <c r="AB693" s="37">
        <v>0</v>
      </c>
      <c r="AC693" s="37">
        <v>0</v>
      </c>
      <c r="AD693" s="37">
        <v>0</v>
      </c>
      <c r="AE693" s="37">
        <v>0</v>
      </c>
      <c r="AF693" s="37">
        <v>0</v>
      </c>
      <c r="AG693" s="59">
        <v>0</v>
      </c>
      <c r="AH693" s="37">
        <v>0</v>
      </c>
      <c r="AI693" s="37">
        <v>0</v>
      </c>
      <c r="AJ693" s="37">
        <v>0</v>
      </c>
      <c r="AK693" s="37">
        <v>0</v>
      </c>
      <c r="AL693" s="37">
        <v>0</v>
      </c>
      <c r="AM693" s="37">
        <v>0</v>
      </c>
      <c r="AN693" s="37">
        <v>0</v>
      </c>
      <c r="AO693" s="37">
        <v>0</v>
      </c>
      <c r="AP693" s="37">
        <v>0</v>
      </c>
      <c r="AQ693" s="37">
        <v>0</v>
      </c>
      <c r="AR693" s="37">
        <v>0</v>
      </c>
      <c r="AS693" s="59">
        <v>0</v>
      </c>
      <c r="AT693" s="59">
        <v>0</v>
      </c>
      <c r="AU693" s="45"/>
      <c r="AV693" s="37">
        <v>0</v>
      </c>
      <c r="AW693" s="37">
        <v>0</v>
      </c>
      <c r="AX693" s="37">
        <v>0</v>
      </c>
      <c r="AY693" s="37">
        <v>0</v>
      </c>
      <c r="AZ693" s="37">
        <v>0</v>
      </c>
      <c r="BA693" s="37">
        <v>0</v>
      </c>
      <c r="BB693" s="37">
        <v>0</v>
      </c>
      <c r="BC693" s="37">
        <v>0</v>
      </c>
      <c r="BD693" s="37">
        <v>0</v>
      </c>
      <c r="BE693" s="37">
        <v>0</v>
      </c>
      <c r="BF693" s="37">
        <v>0</v>
      </c>
      <c r="BG693" s="37">
        <v>0</v>
      </c>
      <c r="BH693" s="37">
        <v>0</v>
      </c>
      <c r="BI693" s="37">
        <v>0</v>
      </c>
      <c r="BJ693" s="37">
        <v>0</v>
      </c>
      <c r="BK693" s="59">
        <v>0</v>
      </c>
      <c r="BL693" s="37">
        <v>0</v>
      </c>
      <c r="BM693" s="37">
        <v>0</v>
      </c>
      <c r="BN693" s="37">
        <v>0</v>
      </c>
      <c r="BO693" s="37">
        <v>0</v>
      </c>
      <c r="BP693" s="37">
        <v>0</v>
      </c>
      <c r="BQ693" s="37">
        <v>0</v>
      </c>
      <c r="BR693" s="37">
        <v>0</v>
      </c>
      <c r="BS693" s="37">
        <v>0</v>
      </c>
      <c r="BT693" s="37">
        <v>0</v>
      </c>
      <c r="BU693" s="37">
        <v>0</v>
      </c>
      <c r="BV693" s="37">
        <v>0</v>
      </c>
      <c r="BW693" s="59">
        <v>0</v>
      </c>
      <c r="BX693" s="59">
        <v>0</v>
      </c>
      <c r="BZ693" s="37">
        <v>0</v>
      </c>
      <c r="CA693" s="37">
        <v>0</v>
      </c>
      <c r="CB693" s="37">
        <v>0</v>
      </c>
      <c r="CC693" s="37">
        <v>0</v>
      </c>
      <c r="CD693" s="37">
        <v>0</v>
      </c>
      <c r="CE693" s="37">
        <v>0</v>
      </c>
      <c r="CF693" s="37">
        <v>0</v>
      </c>
      <c r="CG693" s="59">
        <v>0</v>
      </c>
      <c r="CH693" s="37">
        <v>0</v>
      </c>
      <c r="CI693" s="37">
        <v>0</v>
      </c>
      <c r="CJ693" s="37">
        <v>0</v>
      </c>
      <c r="CK693" s="37">
        <v>0</v>
      </c>
      <c r="CL693" s="37">
        <v>0</v>
      </c>
      <c r="CM693" s="37">
        <v>0</v>
      </c>
      <c r="CN693" s="59">
        <v>0</v>
      </c>
      <c r="CO693" s="59">
        <v>0</v>
      </c>
      <c r="CP693" s="58"/>
      <c r="CQ693" s="3">
        <v>0</v>
      </c>
    </row>
    <row r="694" spans="1:95" customFormat="1" x14ac:dyDescent="0.2">
      <c r="A694" s="33">
        <v>0</v>
      </c>
      <c r="B694" s="33">
        <v>0</v>
      </c>
      <c r="C694" s="33">
        <v>0</v>
      </c>
      <c r="D694" s="43">
        <v>0</v>
      </c>
      <c r="E694" s="43">
        <v>0</v>
      </c>
      <c r="F694" s="43">
        <v>0</v>
      </c>
      <c r="G694" s="43">
        <v>0</v>
      </c>
      <c r="H694" s="43">
        <v>0</v>
      </c>
      <c r="I694" s="43">
        <v>0</v>
      </c>
      <c r="J694" s="43">
        <v>0</v>
      </c>
      <c r="K694" s="43">
        <v>0</v>
      </c>
      <c r="L694" s="43">
        <v>0</v>
      </c>
      <c r="M694" s="43">
        <v>0</v>
      </c>
      <c r="N694" s="43">
        <v>0</v>
      </c>
      <c r="O694" s="43">
        <v>0</v>
      </c>
      <c r="P694" s="47">
        <v>0</v>
      </c>
      <c r="R694" s="37">
        <v>0</v>
      </c>
      <c r="S694" s="37">
        <v>0</v>
      </c>
      <c r="T694" s="37">
        <v>0</v>
      </c>
      <c r="U694" s="37">
        <v>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7">
        <v>0</v>
      </c>
      <c r="AB694" s="37">
        <v>0</v>
      </c>
      <c r="AC694" s="37">
        <v>0</v>
      </c>
      <c r="AD694" s="37">
        <v>0</v>
      </c>
      <c r="AE694" s="37">
        <v>0</v>
      </c>
      <c r="AF694" s="37">
        <v>0</v>
      </c>
      <c r="AG694" s="59">
        <v>0</v>
      </c>
      <c r="AH694" s="37">
        <v>0</v>
      </c>
      <c r="AI694" s="37">
        <v>0</v>
      </c>
      <c r="AJ694" s="37">
        <v>0</v>
      </c>
      <c r="AK694" s="37">
        <v>0</v>
      </c>
      <c r="AL694" s="37">
        <v>0</v>
      </c>
      <c r="AM694" s="37">
        <v>0</v>
      </c>
      <c r="AN694" s="37">
        <v>0</v>
      </c>
      <c r="AO694" s="37">
        <v>0</v>
      </c>
      <c r="AP694" s="37">
        <v>0</v>
      </c>
      <c r="AQ694" s="37">
        <v>0</v>
      </c>
      <c r="AR694" s="37">
        <v>0</v>
      </c>
      <c r="AS694" s="59">
        <v>0</v>
      </c>
      <c r="AT694" s="59">
        <v>0</v>
      </c>
      <c r="AU694" s="45"/>
      <c r="AV694" s="37">
        <v>0</v>
      </c>
      <c r="AW694" s="37">
        <v>0</v>
      </c>
      <c r="AX694" s="37">
        <v>0</v>
      </c>
      <c r="AY694" s="37">
        <v>0</v>
      </c>
      <c r="AZ694" s="37">
        <v>0</v>
      </c>
      <c r="BA694" s="37">
        <v>0</v>
      </c>
      <c r="BB694" s="37">
        <v>0</v>
      </c>
      <c r="BC694" s="37">
        <v>0</v>
      </c>
      <c r="BD694" s="37">
        <v>0</v>
      </c>
      <c r="BE694" s="37">
        <v>0</v>
      </c>
      <c r="BF694" s="37">
        <v>0</v>
      </c>
      <c r="BG694" s="37">
        <v>0</v>
      </c>
      <c r="BH694" s="37">
        <v>0</v>
      </c>
      <c r="BI694" s="37">
        <v>0</v>
      </c>
      <c r="BJ694" s="37">
        <v>0</v>
      </c>
      <c r="BK694" s="59">
        <v>0</v>
      </c>
      <c r="BL694" s="37">
        <v>0</v>
      </c>
      <c r="BM694" s="37">
        <v>0</v>
      </c>
      <c r="BN694" s="37">
        <v>0</v>
      </c>
      <c r="BO694" s="37">
        <v>0</v>
      </c>
      <c r="BP694" s="37">
        <v>0</v>
      </c>
      <c r="BQ694" s="37">
        <v>0</v>
      </c>
      <c r="BR694" s="37">
        <v>0</v>
      </c>
      <c r="BS694" s="37">
        <v>0</v>
      </c>
      <c r="BT694" s="37">
        <v>0</v>
      </c>
      <c r="BU694" s="37">
        <v>0</v>
      </c>
      <c r="BV694" s="37">
        <v>0</v>
      </c>
      <c r="BW694" s="59">
        <v>0</v>
      </c>
      <c r="BX694" s="59">
        <v>0</v>
      </c>
      <c r="BZ694" s="37">
        <v>0</v>
      </c>
      <c r="CA694" s="37">
        <v>0</v>
      </c>
      <c r="CB694" s="37">
        <v>0</v>
      </c>
      <c r="CC694" s="37">
        <v>0</v>
      </c>
      <c r="CD694" s="37">
        <v>0</v>
      </c>
      <c r="CE694" s="37">
        <v>0</v>
      </c>
      <c r="CF694" s="37">
        <v>0</v>
      </c>
      <c r="CG694" s="59">
        <v>0</v>
      </c>
      <c r="CH694" s="37">
        <v>0</v>
      </c>
      <c r="CI694" s="37">
        <v>0</v>
      </c>
      <c r="CJ694" s="37">
        <v>0</v>
      </c>
      <c r="CK694" s="37">
        <v>0</v>
      </c>
      <c r="CL694" s="37">
        <v>0</v>
      </c>
      <c r="CM694" s="37">
        <v>0</v>
      </c>
      <c r="CN694" s="59">
        <v>0</v>
      </c>
      <c r="CO694" s="59">
        <v>0</v>
      </c>
      <c r="CP694" s="58"/>
      <c r="CQ694" s="3">
        <v>0</v>
      </c>
    </row>
    <row r="695" spans="1:95" customFormat="1" x14ac:dyDescent="0.2">
      <c r="A695" s="33">
        <v>0</v>
      </c>
      <c r="B695" s="33">
        <v>0</v>
      </c>
      <c r="C695" s="33">
        <v>0</v>
      </c>
      <c r="D695" s="43">
        <v>0</v>
      </c>
      <c r="E695" s="43">
        <v>0</v>
      </c>
      <c r="F695" s="43">
        <v>0</v>
      </c>
      <c r="G695" s="43">
        <v>0</v>
      </c>
      <c r="H695" s="43">
        <v>0</v>
      </c>
      <c r="I695" s="43">
        <v>0</v>
      </c>
      <c r="J695" s="43">
        <v>0</v>
      </c>
      <c r="K695" s="43">
        <v>0</v>
      </c>
      <c r="L695" s="43">
        <v>0</v>
      </c>
      <c r="M695" s="43">
        <v>0</v>
      </c>
      <c r="N695" s="43">
        <v>0</v>
      </c>
      <c r="O695" s="43">
        <v>0</v>
      </c>
      <c r="P695" s="47">
        <v>0</v>
      </c>
      <c r="R695" s="37">
        <v>0</v>
      </c>
      <c r="S695" s="37">
        <v>0</v>
      </c>
      <c r="T695" s="37">
        <v>0</v>
      </c>
      <c r="U695" s="37">
        <v>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7">
        <v>0</v>
      </c>
      <c r="AB695" s="37">
        <v>0</v>
      </c>
      <c r="AC695" s="37">
        <v>0</v>
      </c>
      <c r="AD695" s="37">
        <v>0</v>
      </c>
      <c r="AE695" s="37">
        <v>0</v>
      </c>
      <c r="AF695" s="37">
        <v>0</v>
      </c>
      <c r="AG695" s="59">
        <v>0</v>
      </c>
      <c r="AH695" s="37">
        <v>0</v>
      </c>
      <c r="AI695" s="37">
        <v>0</v>
      </c>
      <c r="AJ695" s="37">
        <v>0</v>
      </c>
      <c r="AK695" s="37">
        <v>0</v>
      </c>
      <c r="AL695" s="37">
        <v>0</v>
      </c>
      <c r="AM695" s="37">
        <v>0</v>
      </c>
      <c r="AN695" s="37">
        <v>0</v>
      </c>
      <c r="AO695" s="37">
        <v>0</v>
      </c>
      <c r="AP695" s="37">
        <v>0</v>
      </c>
      <c r="AQ695" s="37">
        <v>0</v>
      </c>
      <c r="AR695" s="37">
        <v>0</v>
      </c>
      <c r="AS695" s="59">
        <v>0</v>
      </c>
      <c r="AT695" s="59">
        <v>0</v>
      </c>
      <c r="AU695" s="45"/>
      <c r="AV695" s="37">
        <v>0</v>
      </c>
      <c r="AW695" s="37">
        <v>0</v>
      </c>
      <c r="AX695" s="37">
        <v>0</v>
      </c>
      <c r="AY695" s="37">
        <v>0</v>
      </c>
      <c r="AZ695" s="37">
        <v>0</v>
      </c>
      <c r="BA695" s="37">
        <v>0</v>
      </c>
      <c r="BB695" s="37">
        <v>0</v>
      </c>
      <c r="BC695" s="37">
        <v>0</v>
      </c>
      <c r="BD695" s="37">
        <v>0</v>
      </c>
      <c r="BE695" s="37">
        <v>0</v>
      </c>
      <c r="BF695" s="37">
        <v>0</v>
      </c>
      <c r="BG695" s="37">
        <v>0</v>
      </c>
      <c r="BH695" s="37">
        <v>0</v>
      </c>
      <c r="BI695" s="37">
        <v>0</v>
      </c>
      <c r="BJ695" s="37">
        <v>0</v>
      </c>
      <c r="BK695" s="59">
        <v>0</v>
      </c>
      <c r="BL695" s="37">
        <v>0</v>
      </c>
      <c r="BM695" s="37">
        <v>0</v>
      </c>
      <c r="BN695" s="37">
        <v>0</v>
      </c>
      <c r="BO695" s="37">
        <v>0</v>
      </c>
      <c r="BP695" s="37">
        <v>0</v>
      </c>
      <c r="BQ695" s="37">
        <v>0</v>
      </c>
      <c r="BR695" s="37">
        <v>0</v>
      </c>
      <c r="BS695" s="37">
        <v>0</v>
      </c>
      <c r="BT695" s="37">
        <v>0</v>
      </c>
      <c r="BU695" s="37">
        <v>0</v>
      </c>
      <c r="BV695" s="37">
        <v>0</v>
      </c>
      <c r="BW695" s="59">
        <v>0</v>
      </c>
      <c r="BX695" s="59">
        <v>0</v>
      </c>
      <c r="BZ695" s="37">
        <v>0</v>
      </c>
      <c r="CA695" s="37">
        <v>0</v>
      </c>
      <c r="CB695" s="37">
        <v>0</v>
      </c>
      <c r="CC695" s="37">
        <v>0</v>
      </c>
      <c r="CD695" s="37">
        <v>0</v>
      </c>
      <c r="CE695" s="37">
        <v>0</v>
      </c>
      <c r="CF695" s="37">
        <v>0</v>
      </c>
      <c r="CG695" s="59">
        <v>0</v>
      </c>
      <c r="CH695" s="37">
        <v>0</v>
      </c>
      <c r="CI695" s="37">
        <v>0</v>
      </c>
      <c r="CJ695" s="37">
        <v>0</v>
      </c>
      <c r="CK695" s="37">
        <v>0</v>
      </c>
      <c r="CL695" s="37">
        <v>0</v>
      </c>
      <c r="CM695" s="37">
        <v>0</v>
      </c>
      <c r="CN695" s="59">
        <v>0</v>
      </c>
      <c r="CO695" s="59">
        <v>0</v>
      </c>
      <c r="CP695" s="58"/>
      <c r="CQ695" s="3">
        <v>0</v>
      </c>
    </row>
    <row r="696" spans="1:95" customFormat="1" x14ac:dyDescent="0.2">
      <c r="A696" s="33">
        <v>0</v>
      </c>
      <c r="B696" s="33">
        <v>0</v>
      </c>
      <c r="C696" s="33">
        <v>0</v>
      </c>
      <c r="D696" s="43">
        <v>0</v>
      </c>
      <c r="E696" s="43">
        <v>0</v>
      </c>
      <c r="F696" s="43">
        <v>0</v>
      </c>
      <c r="G696" s="43">
        <v>0</v>
      </c>
      <c r="H696" s="43">
        <v>0</v>
      </c>
      <c r="I696" s="43">
        <v>0</v>
      </c>
      <c r="J696" s="43">
        <v>0</v>
      </c>
      <c r="K696" s="43">
        <v>0</v>
      </c>
      <c r="L696" s="43">
        <v>0</v>
      </c>
      <c r="M696" s="43">
        <v>0</v>
      </c>
      <c r="N696" s="43">
        <v>0</v>
      </c>
      <c r="O696" s="43">
        <v>0</v>
      </c>
      <c r="P696" s="4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59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59">
        <v>0</v>
      </c>
      <c r="AT696" s="59">
        <v>0</v>
      </c>
      <c r="AU696" s="45"/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>
        <v>0</v>
      </c>
      <c r="BB696" s="37">
        <v>0</v>
      </c>
      <c r="BC696" s="37">
        <v>0</v>
      </c>
      <c r="BD696" s="37">
        <v>0</v>
      </c>
      <c r="BE696" s="37">
        <v>0</v>
      </c>
      <c r="BF696" s="37">
        <v>0</v>
      </c>
      <c r="BG696" s="37">
        <v>0</v>
      </c>
      <c r="BH696" s="37">
        <v>0</v>
      </c>
      <c r="BI696" s="37">
        <v>0</v>
      </c>
      <c r="BJ696" s="37">
        <v>0</v>
      </c>
      <c r="BK696" s="59">
        <v>0</v>
      </c>
      <c r="BL696" s="37">
        <v>0</v>
      </c>
      <c r="BM696" s="37">
        <v>0</v>
      </c>
      <c r="BN696" s="37">
        <v>0</v>
      </c>
      <c r="BO696" s="37">
        <v>0</v>
      </c>
      <c r="BP696" s="37">
        <v>0</v>
      </c>
      <c r="BQ696" s="37">
        <v>0</v>
      </c>
      <c r="BR696" s="37">
        <v>0</v>
      </c>
      <c r="BS696" s="37">
        <v>0</v>
      </c>
      <c r="BT696" s="37">
        <v>0</v>
      </c>
      <c r="BU696" s="37">
        <v>0</v>
      </c>
      <c r="BV696" s="37">
        <v>0</v>
      </c>
      <c r="BW696" s="59">
        <v>0</v>
      </c>
      <c r="BX696" s="59">
        <v>0</v>
      </c>
      <c r="BZ696" s="37">
        <v>0</v>
      </c>
      <c r="CA696" s="37">
        <v>0</v>
      </c>
      <c r="CB696" s="37">
        <v>0</v>
      </c>
      <c r="CC696" s="37">
        <v>0</v>
      </c>
      <c r="CD696" s="37">
        <v>0</v>
      </c>
      <c r="CE696" s="37">
        <v>0</v>
      </c>
      <c r="CF696" s="37">
        <v>0</v>
      </c>
      <c r="CG696" s="59">
        <v>0</v>
      </c>
      <c r="CH696" s="37">
        <v>0</v>
      </c>
      <c r="CI696" s="37">
        <v>0</v>
      </c>
      <c r="CJ696" s="37">
        <v>0</v>
      </c>
      <c r="CK696" s="37">
        <v>0</v>
      </c>
      <c r="CL696" s="37">
        <v>0</v>
      </c>
      <c r="CM696" s="37">
        <v>0</v>
      </c>
      <c r="CN696" s="59">
        <v>0</v>
      </c>
      <c r="CO696" s="59">
        <v>0</v>
      </c>
      <c r="CP696" s="58"/>
      <c r="CQ696" s="3">
        <v>0</v>
      </c>
    </row>
    <row r="697" spans="1:95" customFormat="1" x14ac:dyDescent="0.2">
      <c r="A697" s="33">
        <v>0</v>
      </c>
      <c r="B697" s="33">
        <v>0</v>
      </c>
      <c r="C697" s="33">
        <v>0</v>
      </c>
      <c r="D697" s="43">
        <v>0</v>
      </c>
      <c r="E697" s="43">
        <v>0</v>
      </c>
      <c r="F697" s="43">
        <v>0</v>
      </c>
      <c r="G697" s="43">
        <v>0</v>
      </c>
      <c r="H697" s="43">
        <v>0</v>
      </c>
      <c r="I697" s="43">
        <v>0</v>
      </c>
      <c r="J697" s="43">
        <v>0</v>
      </c>
      <c r="K697" s="43">
        <v>0</v>
      </c>
      <c r="L697" s="43">
        <v>0</v>
      </c>
      <c r="M697" s="43">
        <v>0</v>
      </c>
      <c r="N697" s="43">
        <v>0</v>
      </c>
      <c r="O697" s="43">
        <v>0</v>
      </c>
      <c r="P697" s="47">
        <v>0</v>
      </c>
      <c r="R697" s="37">
        <v>0</v>
      </c>
      <c r="S697" s="37">
        <v>0</v>
      </c>
      <c r="T697" s="37">
        <v>0</v>
      </c>
      <c r="U697" s="37">
        <v>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7">
        <v>0</v>
      </c>
      <c r="AB697" s="37">
        <v>0</v>
      </c>
      <c r="AC697" s="37">
        <v>0</v>
      </c>
      <c r="AD697" s="37">
        <v>0</v>
      </c>
      <c r="AE697" s="37">
        <v>0</v>
      </c>
      <c r="AF697" s="37">
        <v>0</v>
      </c>
      <c r="AG697" s="59">
        <v>0</v>
      </c>
      <c r="AH697" s="37">
        <v>0</v>
      </c>
      <c r="AI697" s="37">
        <v>0</v>
      </c>
      <c r="AJ697" s="37">
        <v>0</v>
      </c>
      <c r="AK697" s="37">
        <v>0</v>
      </c>
      <c r="AL697" s="37">
        <v>0</v>
      </c>
      <c r="AM697" s="37">
        <v>0</v>
      </c>
      <c r="AN697" s="37">
        <v>0</v>
      </c>
      <c r="AO697" s="37">
        <v>0</v>
      </c>
      <c r="AP697" s="37">
        <v>0</v>
      </c>
      <c r="AQ697" s="37">
        <v>0</v>
      </c>
      <c r="AR697" s="37">
        <v>0</v>
      </c>
      <c r="AS697" s="59">
        <v>0</v>
      </c>
      <c r="AT697" s="59">
        <v>0</v>
      </c>
      <c r="AU697" s="45"/>
      <c r="AV697" s="37">
        <v>0</v>
      </c>
      <c r="AW697" s="37">
        <v>0</v>
      </c>
      <c r="AX697" s="37">
        <v>0</v>
      </c>
      <c r="AY697" s="37">
        <v>0</v>
      </c>
      <c r="AZ697" s="37">
        <v>0</v>
      </c>
      <c r="BA697" s="37">
        <v>0</v>
      </c>
      <c r="BB697" s="37">
        <v>0</v>
      </c>
      <c r="BC697" s="37">
        <v>0</v>
      </c>
      <c r="BD697" s="37">
        <v>0</v>
      </c>
      <c r="BE697" s="37">
        <v>0</v>
      </c>
      <c r="BF697" s="37">
        <v>0</v>
      </c>
      <c r="BG697" s="37">
        <v>0</v>
      </c>
      <c r="BH697" s="37">
        <v>0</v>
      </c>
      <c r="BI697" s="37">
        <v>0</v>
      </c>
      <c r="BJ697" s="37">
        <v>0</v>
      </c>
      <c r="BK697" s="59">
        <v>0</v>
      </c>
      <c r="BL697" s="37">
        <v>0</v>
      </c>
      <c r="BM697" s="37">
        <v>0</v>
      </c>
      <c r="BN697" s="37">
        <v>0</v>
      </c>
      <c r="BO697" s="37">
        <v>0</v>
      </c>
      <c r="BP697" s="37">
        <v>0</v>
      </c>
      <c r="BQ697" s="37">
        <v>0</v>
      </c>
      <c r="BR697" s="37">
        <v>0</v>
      </c>
      <c r="BS697" s="37">
        <v>0</v>
      </c>
      <c r="BT697" s="37">
        <v>0</v>
      </c>
      <c r="BU697" s="37">
        <v>0</v>
      </c>
      <c r="BV697" s="37">
        <v>0</v>
      </c>
      <c r="BW697" s="59">
        <v>0</v>
      </c>
      <c r="BX697" s="59">
        <v>0</v>
      </c>
      <c r="BZ697" s="37">
        <v>0</v>
      </c>
      <c r="CA697" s="37">
        <v>0</v>
      </c>
      <c r="CB697" s="37">
        <v>0</v>
      </c>
      <c r="CC697" s="37">
        <v>0</v>
      </c>
      <c r="CD697" s="37">
        <v>0</v>
      </c>
      <c r="CE697" s="37">
        <v>0</v>
      </c>
      <c r="CF697" s="37">
        <v>0</v>
      </c>
      <c r="CG697" s="59">
        <v>0</v>
      </c>
      <c r="CH697" s="37">
        <v>0</v>
      </c>
      <c r="CI697" s="37">
        <v>0</v>
      </c>
      <c r="CJ697" s="37">
        <v>0</v>
      </c>
      <c r="CK697" s="37">
        <v>0</v>
      </c>
      <c r="CL697" s="37">
        <v>0</v>
      </c>
      <c r="CM697" s="37">
        <v>0</v>
      </c>
      <c r="CN697" s="59">
        <v>0</v>
      </c>
      <c r="CO697" s="59">
        <v>0</v>
      </c>
      <c r="CP697" s="58"/>
      <c r="CQ697" s="3">
        <v>0</v>
      </c>
    </row>
    <row r="698" spans="1:95" customFormat="1" x14ac:dyDescent="0.2">
      <c r="A698" s="33">
        <v>0</v>
      </c>
      <c r="B698" s="33">
        <v>0</v>
      </c>
      <c r="C698" s="33">
        <v>0</v>
      </c>
      <c r="D698" s="43">
        <v>0</v>
      </c>
      <c r="E698" s="43">
        <v>0</v>
      </c>
      <c r="F698" s="43">
        <v>0</v>
      </c>
      <c r="G698" s="43">
        <v>0</v>
      </c>
      <c r="H698" s="43">
        <v>0</v>
      </c>
      <c r="I698" s="43">
        <v>0</v>
      </c>
      <c r="J698" s="43">
        <v>0</v>
      </c>
      <c r="K698" s="43">
        <v>0</v>
      </c>
      <c r="L698" s="43">
        <v>0</v>
      </c>
      <c r="M698" s="43">
        <v>0</v>
      </c>
      <c r="N698" s="43">
        <v>0</v>
      </c>
      <c r="O698" s="43">
        <v>0</v>
      </c>
      <c r="P698" s="47">
        <v>0</v>
      </c>
      <c r="R698" s="37">
        <v>0</v>
      </c>
      <c r="S698" s="37">
        <v>0</v>
      </c>
      <c r="T698" s="37">
        <v>0</v>
      </c>
      <c r="U698" s="37">
        <v>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7">
        <v>0</v>
      </c>
      <c r="AB698" s="37">
        <v>0</v>
      </c>
      <c r="AC698" s="37">
        <v>0</v>
      </c>
      <c r="AD698" s="37">
        <v>0</v>
      </c>
      <c r="AE698" s="37">
        <v>0</v>
      </c>
      <c r="AF698" s="37">
        <v>0</v>
      </c>
      <c r="AG698" s="59">
        <v>0</v>
      </c>
      <c r="AH698" s="37">
        <v>0</v>
      </c>
      <c r="AI698" s="37">
        <v>0</v>
      </c>
      <c r="AJ698" s="37">
        <v>0</v>
      </c>
      <c r="AK698" s="37">
        <v>0</v>
      </c>
      <c r="AL698" s="37">
        <v>0</v>
      </c>
      <c r="AM698" s="37">
        <v>0</v>
      </c>
      <c r="AN698" s="37">
        <v>0</v>
      </c>
      <c r="AO698" s="37">
        <v>0</v>
      </c>
      <c r="AP698" s="37">
        <v>0</v>
      </c>
      <c r="AQ698" s="37">
        <v>0</v>
      </c>
      <c r="AR698" s="37">
        <v>0</v>
      </c>
      <c r="AS698" s="59">
        <v>0</v>
      </c>
      <c r="AT698" s="59">
        <v>0</v>
      </c>
      <c r="AU698" s="45"/>
      <c r="AV698" s="37">
        <v>0</v>
      </c>
      <c r="AW698" s="37">
        <v>0</v>
      </c>
      <c r="AX698" s="37">
        <v>0</v>
      </c>
      <c r="AY698" s="37">
        <v>0</v>
      </c>
      <c r="AZ698" s="37">
        <v>0</v>
      </c>
      <c r="BA698" s="37">
        <v>0</v>
      </c>
      <c r="BB698" s="37">
        <v>0</v>
      </c>
      <c r="BC698" s="37">
        <v>0</v>
      </c>
      <c r="BD698" s="37">
        <v>0</v>
      </c>
      <c r="BE698" s="37">
        <v>0</v>
      </c>
      <c r="BF698" s="37">
        <v>0</v>
      </c>
      <c r="BG698" s="37">
        <v>0</v>
      </c>
      <c r="BH698" s="37">
        <v>0</v>
      </c>
      <c r="BI698" s="37">
        <v>0</v>
      </c>
      <c r="BJ698" s="37">
        <v>0</v>
      </c>
      <c r="BK698" s="59">
        <v>0</v>
      </c>
      <c r="BL698" s="37">
        <v>0</v>
      </c>
      <c r="BM698" s="37">
        <v>0</v>
      </c>
      <c r="BN698" s="37">
        <v>0</v>
      </c>
      <c r="BO698" s="37">
        <v>0</v>
      </c>
      <c r="BP698" s="37">
        <v>0</v>
      </c>
      <c r="BQ698" s="37">
        <v>0</v>
      </c>
      <c r="BR698" s="37">
        <v>0</v>
      </c>
      <c r="BS698" s="37">
        <v>0</v>
      </c>
      <c r="BT698" s="37">
        <v>0</v>
      </c>
      <c r="BU698" s="37">
        <v>0</v>
      </c>
      <c r="BV698" s="37">
        <v>0</v>
      </c>
      <c r="BW698" s="59">
        <v>0</v>
      </c>
      <c r="BX698" s="59">
        <v>0</v>
      </c>
      <c r="BZ698" s="37">
        <v>0</v>
      </c>
      <c r="CA698" s="37">
        <v>0</v>
      </c>
      <c r="CB698" s="37">
        <v>0</v>
      </c>
      <c r="CC698" s="37">
        <v>0</v>
      </c>
      <c r="CD698" s="37">
        <v>0</v>
      </c>
      <c r="CE698" s="37">
        <v>0</v>
      </c>
      <c r="CF698" s="37">
        <v>0</v>
      </c>
      <c r="CG698" s="59">
        <v>0</v>
      </c>
      <c r="CH698" s="37">
        <v>0</v>
      </c>
      <c r="CI698" s="37">
        <v>0</v>
      </c>
      <c r="CJ698" s="37">
        <v>0</v>
      </c>
      <c r="CK698" s="37">
        <v>0</v>
      </c>
      <c r="CL698" s="37">
        <v>0</v>
      </c>
      <c r="CM698" s="37">
        <v>0</v>
      </c>
      <c r="CN698" s="59">
        <v>0</v>
      </c>
      <c r="CO698" s="59">
        <v>0</v>
      </c>
      <c r="CP698" s="58"/>
      <c r="CQ698" s="3">
        <v>0</v>
      </c>
    </row>
    <row r="699" spans="1:95" customFormat="1" x14ac:dyDescent="0.2">
      <c r="A699" s="33">
        <v>0</v>
      </c>
      <c r="B699" s="33">
        <v>0</v>
      </c>
      <c r="C699" s="33">
        <v>0</v>
      </c>
      <c r="D699" s="43">
        <v>0</v>
      </c>
      <c r="E699" s="43">
        <v>0</v>
      </c>
      <c r="F699" s="43">
        <v>0</v>
      </c>
      <c r="G699" s="43">
        <v>0</v>
      </c>
      <c r="H699" s="43">
        <v>0</v>
      </c>
      <c r="I699" s="43">
        <v>0</v>
      </c>
      <c r="J699" s="43">
        <v>0</v>
      </c>
      <c r="K699" s="43">
        <v>0</v>
      </c>
      <c r="L699" s="43">
        <v>0</v>
      </c>
      <c r="M699" s="43">
        <v>0</v>
      </c>
      <c r="N699" s="43">
        <v>0</v>
      </c>
      <c r="O699" s="43">
        <v>0</v>
      </c>
      <c r="P699" s="47">
        <v>0</v>
      </c>
      <c r="R699" s="37">
        <v>0</v>
      </c>
      <c r="S699" s="37">
        <v>0</v>
      </c>
      <c r="T699" s="37">
        <v>0</v>
      </c>
      <c r="U699" s="37">
        <v>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7">
        <v>0</v>
      </c>
      <c r="AB699" s="37">
        <v>0</v>
      </c>
      <c r="AC699" s="37">
        <v>0</v>
      </c>
      <c r="AD699" s="37">
        <v>0</v>
      </c>
      <c r="AE699" s="37">
        <v>0</v>
      </c>
      <c r="AF699" s="37">
        <v>0</v>
      </c>
      <c r="AG699" s="59">
        <v>0</v>
      </c>
      <c r="AH699" s="37">
        <v>0</v>
      </c>
      <c r="AI699" s="37">
        <v>0</v>
      </c>
      <c r="AJ699" s="37">
        <v>0</v>
      </c>
      <c r="AK699" s="37">
        <v>0</v>
      </c>
      <c r="AL699" s="37">
        <v>0</v>
      </c>
      <c r="AM699" s="37">
        <v>0</v>
      </c>
      <c r="AN699" s="37">
        <v>0</v>
      </c>
      <c r="AO699" s="37">
        <v>0</v>
      </c>
      <c r="AP699" s="37">
        <v>0</v>
      </c>
      <c r="AQ699" s="37">
        <v>0</v>
      </c>
      <c r="AR699" s="37">
        <v>0</v>
      </c>
      <c r="AS699" s="59">
        <v>0</v>
      </c>
      <c r="AT699" s="59">
        <v>0</v>
      </c>
      <c r="AU699" s="45"/>
      <c r="AV699" s="37">
        <v>0</v>
      </c>
      <c r="AW699" s="37">
        <v>0</v>
      </c>
      <c r="AX699" s="37">
        <v>0</v>
      </c>
      <c r="AY699" s="37">
        <v>0</v>
      </c>
      <c r="AZ699" s="37">
        <v>0</v>
      </c>
      <c r="BA699" s="37">
        <v>0</v>
      </c>
      <c r="BB699" s="37">
        <v>0</v>
      </c>
      <c r="BC699" s="37">
        <v>0</v>
      </c>
      <c r="BD699" s="37">
        <v>0</v>
      </c>
      <c r="BE699" s="37">
        <v>0</v>
      </c>
      <c r="BF699" s="37">
        <v>0</v>
      </c>
      <c r="BG699" s="37">
        <v>0</v>
      </c>
      <c r="BH699" s="37">
        <v>0</v>
      </c>
      <c r="BI699" s="37">
        <v>0</v>
      </c>
      <c r="BJ699" s="37">
        <v>0</v>
      </c>
      <c r="BK699" s="59">
        <v>0</v>
      </c>
      <c r="BL699" s="37">
        <v>0</v>
      </c>
      <c r="BM699" s="37">
        <v>0</v>
      </c>
      <c r="BN699" s="37">
        <v>0</v>
      </c>
      <c r="BO699" s="37">
        <v>0</v>
      </c>
      <c r="BP699" s="37">
        <v>0</v>
      </c>
      <c r="BQ699" s="37">
        <v>0</v>
      </c>
      <c r="BR699" s="37">
        <v>0</v>
      </c>
      <c r="BS699" s="37">
        <v>0</v>
      </c>
      <c r="BT699" s="37">
        <v>0</v>
      </c>
      <c r="BU699" s="37">
        <v>0</v>
      </c>
      <c r="BV699" s="37">
        <v>0</v>
      </c>
      <c r="BW699" s="59">
        <v>0</v>
      </c>
      <c r="BX699" s="59">
        <v>0</v>
      </c>
      <c r="BZ699" s="37">
        <v>0</v>
      </c>
      <c r="CA699" s="37">
        <v>0</v>
      </c>
      <c r="CB699" s="37">
        <v>0</v>
      </c>
      <c r="CC699" s="37">
        <v>0</v>
      </c>
      <c r="CD699" s="37">
        <v>0</v>
      </c>
      <c r="CE699" s="37">
        <v>0</v>
      </c>
      <c r="CF699" s="37">
        <v>0</v>
      </c>
      <c r="CG699" s="59">
        <v>0</v>
      </c>
      <c r="CH699" s="37">
        <v>0</v>
      </c>
      <c r="CI699" s="37">
        <v>0</v>
      </c>
      <c r="CJ699" s="37">
        <v>0</v>
      </c>
      <c r="CK699" s="37">
        <v>0</v>
      </c>
      <c r="CL699" s="37">
        <v>0</v>
      </c>
      <c r="CM699" s="37">
        <v>0</v>
      </c>
      <c r="CN699" s="59">
        <v>0</v>
      </c>
      <c r="CO699" s="59">
        <v>0</v>
      </c>
      <c r="CP699" s="58"/>
      <c r="CQ699" s="3">
        <v>0</v>
      </c>
    </row>
    <row r="700" spans="1:95" customFormat="1" x14ac:dyDescent="0.2">
      <c r="A700" s="33">
        <v>0</v>
      </c>
      <c r="B700" s="33">
        <v>0</v>
      </c>
      <c r="C700" s="33">
        <v>0</v>
      </c>
      <c r="D700" s="43">
        <v>0</v>
      </c>
      <c r="E700" s="43">
        <v>0</v>
      </c>
      <c r="F700" s="43">
        <v>0</v>
      </c>
      <c r="G700" s="43">
        <v>0</v>
      </c>
      <c r="H700" s="43">
        <v>0</v>
      </c>
      <c r="I700" s="43">
        <v>0</v>
      </c>
      <c r="J700" s="43">
        <v>0</v>
      </c>
      <c r="K700" s="43">
        <v>0</v>
      </c>
      <c r="L700" s="43">
        <v>0</v>
      </c>
      <c r="M700" s="43">
        <v>0</v>
      </c>
      <c r="N700" s="43">
        <v>0</v>
      </c>
      <c r="O700" s="43">
        <v>0</v>
      </c>
      <c r="P700" s="47">
        <v>0</v>
      </c>
      <c r="R700" s="37">
        <v>0</v>
      </c>
      <c r="S700" s="37">
        <v>0</v>
      </c>
      <c r="T700" s="37">
        <v>0</v>
      </c>
      <c r="U700" s="37">
        <v>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7">
        <v>0</v>
      </c>
      <c r="AB700" s="37">
        <v>0</v>
      </c>
      <c r="AC700" s="37">
        <v>0</v>
      </c>
      <c r="AD700" s="37">
        <v>0</v>
      </c>
      <c r="AE700" s="37">
        <v>0</v>
      </c>
      <c r="AF700" s="37">
        <v>0</v>
      </c>
      <c r="AG700" s="59">
        <v>0</v>
      </c>
      <c r="AH700" s="37">
        <v>0</v>
      </c>
      <c r="AI700" s="37">
        <v>0</v>
      </c>
      <c r="AJ700" s="37">
        <v>0</v>
      </c>
      <c r="AK700" s="37">
        <v>0</v>
      </c>
      <c r="AL700" s="37">
        <v>0</v>
      </c>
      <c r="AM700" s="37">
        <v>0</v>
      </c>
      <c r="AN700" s="37">
        <v>0</v>
      </c>
      <c r="AO700" s="37">
        <v>0</v>
      </c>
      <c r="AP700" s="37">
        <v>0</v>
      </c>
      <c r="AQ700" s="37">
        <v>0</v>
      </c>
      <c r="AR700" s="37">
        <v>0</v>
      </c>
      <c r="AS700" s="59">
        <v>0</v>
      </c>
      <c r="AT700" s="59">
        <v>0</v>
      </c>
      <c r="AU700" s="45"/>
      <c r="AV700" s="37">
        <v>0</v>
      </c>
      <c r="AW700" s="37">
        <v>0</v>
      </c>
      <c r="AX700" s="37">
        <v>0</v>
      </c>
      <c r="AY700" s="37">
        <v>0</v>
      </c>
      <c r="AZ700" s="37">
        <v>0</v>
      </c>
      <c r="BA700" s="37">
        <v>0</v>
      </c>
      <c r="BB700" s="37">
        <v>0</v>
      </c>
      <c r="BC700" s="37">
        <v>0</v>
      </c>
      <c r="BD700" s="37">
        <v>0</v>
      </c>
      <c r="BE700" s="37">
        <v>0</v>
      </c>
      <c r="BF700" s="37">
        <v>0</v>
      </c>
      <c r="BG700" s="37">
        <v>0</v>
      </c>
      <c r="BH700" s="37">
        <v>0</v>
      </c>
      <c r="BI700" s="37">
        <v>0</v>
      </c>
      <c r="BJ700" s="37">
        <v>0</v>
      </c>
      <c r="BK700" s="59">
        <v>0</v>
      </c>
      <c r="BL700" s="37">
        <v>0</v>
      </c>
      <c r="BM700" s="37">
        <v>0</v>
      </c>
      <c r="BN700" s="37">
        <v>0</v>
      </c>
      <c r="BO700" s="37">
        <v>0</v>
      </c>
      <c r="BP700" s="37">
        <v>0</v>
      </c>
      <c r="BQ700" s="37">
        <v>0</v>
      </c>
      <c r="BR700" s="37">
        <v>0</v>
      </c>
      <c r="BS700" s="37">
        <v>0</v>
      </c>
      <c r="BT700" s="37">
        <v>0</v>
      </c>
      <c r="BU700" s="37">
        <v>0</v>
      </c>
      <c r="BV700" s="37">
        <v>0</v>
      </c>
      <c r="BW700" s="59">
        <v>0</v>
      </c>
      <c r="BX700" s="59">
        <v>0</v>
      </c>
      <c r="BZ700" s="37">
        <v>0</v>
      </c>
      <c r="CA700" s="37">
        <v>0</v>
      </c>
      <c r="CB700" s="37">
        <v>0</v>
      </c>
      <c r="CC700" s="37">
        <v>0</v>
      </c>
      <c r="CD700" s="37">
        <v>0</v>
      </c>
      <c r="CE700" s="37">
        <v>0</v>
      </c>
      <c r="CF700" s="37">
        <v>0</v>
      </c>
      <c r="CG700" s="59">
        <v>0</v>
      </c>
      <c r="CH700" s="37">
        <v>0</v>
      </c>
      <c r="CI700" s="37">
        <v>0</v>
      </c>
      <c r="CJ700" s="37">
        <v>0</v>
      </c>
      <c r="CK700" s="37">
        <v>0</v>
      </c>
      <c r="CL700" s="37">
        <v>0</v>
      </c>
      <c r="CM700" s="37">
        <v>0</v>
      </c>
      <c r="CN700" s="59">
        <v>0</v>
      </c>
      <c r="CO700" s="59">
        <v>0</v>
      </c>
      <c r="CP700" s="58"/>
      <c r="CQ700" s="3">
        <v>0</v>
      </c>
    </row>
    <row r="701" spans="1:95" customFormat="1" x14ac:dyDescent="0.2">
      <c r="A701" s="33">
        <v>0</v>
      </c>
      <c r="B701" s="33">
        <v>0</v>
      </c>
      <c r="C701" s="33">
        <v>0</v>
      </c>
      <c r="D701" s="43">
        <v>0</v>
      </c>
      <c r="E701" s="43">
        <v>0</v>
      </c>
      <c r="F701" s="43">
        <v>0</v>
      </c>
      <c r="G701" s="43">
        <v>0</v>
      </c>
      <c r="H701" s="43">
        <v>0</v>
      </c>
      <c r="I701" s="43">
        <v>0</v>
      </c>
      <c r="J701" s="43">
        <v>0</v>
      </c>
      <c r="K701" s="43">
        <v>0</v>
      </c>
      <c r="L701" s="43">
        <v>0</v>
      </c>
      <c r="M701" s="43">
        <v>0</v>
      </c>
      <c r="N701" s="43">
        <v>0</v>
      </c>
      <c r="O701" s="43">
        <v>0</v>
      </c>
      <c r="P701" s="47">
        <v>0</v>
      </c>
      <c r="R701" s="37">
        <v>0</v>
      </c>
      <c r="S701" s="37">
        <v>0</v>
      </c>
      <c r="T701" s="37">
        <v>0</v>
      </c>
      <c r="U701" s="37">
        <v>0</v>
      </c>
      <c r="V701" s="37">
        <v>0</v>
      </c>
      <c r="W701" s="37">
        <v>0</v>
      </c>
      <c r="X701" s="37">
        <v>0</v>
      </c>
      <c r="Y701" s="37">
        <v>0</v>
      </c>
      <c r="Z701" s="37">
        <v>0</v>
      </c>
      <c r="AA701" s="37">
        <v>0</v>
      </c>
      <c r="AB701" s="37">
        <v>0</v>
      </c>
      <c r="AC701" s="37">
        <v>0</v>
      </c>
      <c r="AD701" s="37">
        <v>0</v>
      </c>
      <c r="AE701" s="37">
        <v>0</v>
      </c>
      <c r="AF701" s="37">
        <v>0</v>
      </c>
      <c r="AG701" s="59">
        <v>0</v>
      </c>
      <c r="AH701" s="37">
        <v>0</v>
      </c>
      <c r="AI701" s="37">
        <v>0</v>
      </c>
      <c r="AJ701" s="37"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v>0</v>
      </c>
      <c r="AP701" s="37">
        <v>0</v>
      </c>
      <c r="AQ701" s="37">
        <v>0</v>
      </c>
      <c r="AR701" s="37">
        <v>0</v>
      </c>
      <c r="AS701" s="59">
        <v>0</v>
      </c>
      <c r="AT701" s="59">
        <v>0</v>
      </c>
      <c r="AU701" s="45"/>
      <c r="AV701" s="37">
        <v>0</v>
      </c>
      <c r="AW701" s="37">
        <v>0</v>
      </c>
      <c r="AX701" s="37">
        <v>0</v>
      </c>
      <c r="AY701" s="37">
        <v>0</v>
      </c>
      <c r="AZ701" s="37">
        <v>0</v>
      </c>
      <c r="BA701" s="37">
        <v>0</v>
      </c>
      <c r="BB701" s="37">
        <v>0</v>
      </c>
      <c r="BC701" s="37">
        <v>0</v>
      </c>
      <c r="BD701" s="37">
        <v>0</v>
      </c>
      <c r="BE701" s="37">
        <v>0</v>
      </c>
      <c r="BF701" s="37">
        <v>0</v>
      </c>
      <c r="BG701" s="37">
        <v>0</v>
      </c>
      <c r="BH701" s="37">
        <v>0</v>
      </c>
      <c r="BI701" s="37">
        <v>0</v>
      </c>
      <c r="BJ701" s="37">
        <v>0</v>
      </c>
      <c r="BK701" s="59">
        <v>0</v>
      </c>
      <c r="BL701" s="37">
        <v>0</v>
      </c>
      <c r="BM701" s="37">
        <v>0</v>
      </c>
      <c r="BN701" s="37">
        <v>0</v>
      </c>
      <c r="BO701" s="37">
        <v>0</v>
      </c>
      <c r="BP701" s="37">
        <v>0</v>
      </c>
      <c r="BQ701" s="37">
        <v>0</v>
      </c>
      <c r="BR701" s="37">
        <v>0</v>
      </c>
      <c r="BS701" s="37">
        <v>0</v>
      </c>
      <c r="BT701" s="37">
        <v>0</v>
      </c>
      <c r="BU701" s="37">
        <v>0</v>
      </c>
      <c r="BV701" s="37">
        <v>0</v>
      </c>
      <c r="BW701" s="59">
        <v>0</v>
      </c>
      <c r="BX701" s="59">
        <v>0</v>
      </c>
      <c r="BZ701" s="37">
        <v>0</v>
      </c>
      <c r="CA701" s="37">
        <v>0</v>
      </c>
      <c r="CB701" s="37">
        <v>0</v>
      </c>
      <c r="CC701" s="37">
        <v>0</v>
      </c>
      <c r="CD701" s="37">
        <v>0</v>
      </c>
      <c r="CE701" s="37">
        <v>0</v>
      </c>
      <c r="CF701" s="37">
        <v>0</v>
      </c>
      <c r="CG701" s="59">
        <v>0</v>
      </c>
      <c r="CH701" s="37">
        <v>0</v>
      </c>
      <c r="CI701" s="37">
        <v>0</v>
      </c>
      <c r="CJ701" s="37">
        <v>0</v>
      </c>
      <c r="CK701" s="37">
        <v>0</v>
      </c>
      <c r="CL701" s="37">
        <v>0</v>
      </c>
      <c r="CM701" s="37">
        <v>0</v>
      </c>
      <c r="CN701" s="59">
        <v>0</v>
      </c>
      <c r="CO701" s="59">
        <v>0</v>
      </c>
      <c r="CP701" s="58"/>
      <c r="CQ701" s="3">
        <v>0</v>
      </c>
    </row>
    <row r="702" spans="1:95" customFormat="1" x14ac:dyDescent="0.2">
      <c r="A702" s="33">
        <v>0</v>
      </c>
      <c r="B702" s="33">
        <v>0</v>
      </c>
      <c r="C702" s="33">
        <v>0</v>
      </c>
      <c r="D702" s="43">
        <v>0</v>
      </c>
      <c r="E702" s="43">
        <v>0</v>
      </c>
      <c r="F702" s="43">
        <v>0</v>
      </c>
      <c r="G702" s="43">
        <v>0</v>
      </c>
      <c r="H702" s="43">
        <v>0</v>
      </c>
      <c r="I702" s="43">
        <v>0</v>
      </c>
      <c r="J702" s="43">
        <v>0</v>
      </c>
      <c r="K702" s="43">
        <v>0</v>
      </c>
      <c r="L702" s="43">
        <v>0</v>
      </c>
      <c r="M702" s="43">
        <v>0</v>
      </c>
      <c r="N702" s="43">
        <v>0</v>
      </c>
      <c r="O702" s="43">
        <v>0</v>
      </c>
      <c r="P702" s="47">
        <v>0</v>
      </c>
      <c r="R702" s="37">
        <v>0</v>
      </c>
      <c r="S702" s="37">
        <v>0</v>
      </c>
      <c r="T702" s="37">
        <v>0</v>
      </c>
      <c r="U702" s="37">
        <v>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7">
        <v>0</v>
      </c>
      <c r="AB702" s="37">
        <v>0</v>
      </c>
      <c r="AC702" s="37">
        <v>0</v>
      </c>
      <c r="AD702" s="37">
        <v>0</v>
      </c>
      <c r="AE702" s="37">
        <v>0</v>
      </c>
      <c r="AF702" s="37">
        <v>0</v>
      </c>
      <c r="AG702" s="59">
        <v>0</v>
      </c>
      <c r="AH702" s="37">
        <v>0</v>
      </c>
      <c r="AI702" s="37">
        <v>0</v>
      </c>
      <c r="AJ702" s="37">
        <v>0</v>
      </c>
      <c r="AK702" s="37">
        <v>0</v>
      </c>
      <c r="AL702" s="37">
        <v>0</v>
      </c>
      <c r="AM702" s="37">
        <v>0</v>
      </c>
      <c r="AN702" s="37">
        <v>0</v>
      </c>
      <c r="AO702" s="37">
        <v>0</v>
      </c>
      <c r="AP702" s="37">
        <v>0</v>
      </c>
      <c r="AQ702" s="37">
        <v>0</v>
      </c>
      <c r="AR702" s="37">
        <v>0</v>
      </c>
      <c r="AS702" s="59">
        <v>0</v>
      </c>
      <c r="AT702" s="59">
        <v>0</v>
      </c>
      <c r="AU702" s="45"/>
      <c r="AV702" s="37">
        <v>0</v>
      </c>
      <c r="AW702" s="37">
        <v>0</v>
      </c>
      <c r="AX702" s="37">
        <v>0</v>
      </c>
      <c r="AY702" s="37">
        <v>0</v>
      </c>
      <c r="AZ702" s="37">
        <v>0</v>
      </c>
      <c r="BA702" s="37">
        <v>0</v>
      </c>
      <c r="BB702" s="37">
        <v>0</v>
      </c>
      <c r="BC702" s="37">
        <v>0</v>
      </c>
      <c r="BD702" s="37">
        <v>0</v>
      </c>
      <c r="BE702" s="37">
        <v>0</v>
      </c>
      <c r="BF702" s="37">
        <v>0</v>
      </c>
      <c r="BG702" s="37">
        <v>0</v>
      </c>
      <c r="BH702" s="37">
        <v>0</v>
      </c>
      <c r="BI702" s="37">
        <v>0</v>
      </c>
      <c r="BJ702" s="37">
        <v>0</v>
      </c>
      <c r="BK702" s="59">
        <v>0</v>
      </c>
      <c r="BL702" s="37">
        <v>0</v>
      </c>
      <c r="BM702" s="37">
        <v>0</v>
      </c>
      <c r="BN702" s="37">
        <v>0</v>
      </c>
      <c r="BO702" s="37">
        <v>0</v>
      </c>
      <c r="BP702" s="37">
        <v>0</v>
      </c>
      <c r="BQ702" s="37">
        <v>0</v>
      </c>
      <c r="BR702" s="37">
        <v>0</v>
      </c>
      <c r="BS702" s="37">
        <v>0</v>
      </c>
      <c r="BT702" s="37">
        <v>0</v>
      </c>
      <c r="BU702" s="37">
        <v>0</v>
      </c>
      <c r="BV702" s="37">
        <v>0</v>
      </c>
      <c r="BW702" s="59">
        <v>0</v>
      </c>
      <c r="BX702" s="59">
        <v>0</v>
      </c>
      <c r="BZ702" s="37">
        <v>0</v>
      </c>
      <c r="CA702" s="37">
        <v>0</v>
      </c>
      <c r="CB702" s="37">
        <v>0</v>
      </c>
      <c r="CC702" s="37">
        <v>0</v>
      </c>
      <c r="CD702" s="37">
        <v>0</v>
      </c>
      <c r="CE702" s="37">
        <v>0</v>
      </c>
      <c r="CF702" s="37">
        <v>0</v>
      </c>
      <c r="CG702" s="59">
        <v>0</v>
      </c>
      <c r="CH702" s="37">
        <v>0</v>
      </c>
      <c r="CI702" s="37">
        <v>0</v>
      </c>
      <c r="CJ702" s="37">
        <v>0</v>
      </c>
      <c r="CK702" s="37">
        <v>0</v>
      </c>
      <c r="CL702" s="37">
        <v>0</v>
      </c>
      <c r="CM702" s="37">
        <v>0</v>
      </c>
      <c r="CN702" s="59">
        <v>0</v>
      </c>
      <c r="CO702" s="59">
        <v>0</v>
      </c>
      <c r="CP702" s="58"/>
      <c r="CQ702" s="3">
        <v>0</v>
      </c>
    </row>
    <row r="703" spans="1:95" customFormat="1" x14ac:dyDescent="0.2">
      <c r="A703" s="33">
        <v>0</v>
      </c>
      <c r="B703" s="33">
        <v>0</v>
      </c>
      <c r="C703" s="33">
        <v>0</v>
      </c>
      <c r="D703" s="43">
        <v>0</v>
      </c>
      <c r="E703" s="43">
        <v>0</v>
      </c>
      <c r="F703" s="43">
        <v>0</v>
      </c>
      <c r="G703" s="43">
        <v>0</v>
      </c>
      <c r="H703" s="43">
        <v>0</v>
      </c>
      <c r="I703" s="43">
        <v>0</v>
      </c>
      <c r="J703" s="43">
        <v>0</v>
      </c>
      <c r="K703" s="43">
        <v>0</v>
      </c>
      <c r="L703" s="43">
        <v>0</v>
      </c>
      <c r="M703" s="43">
        <v>0</v>
      </c>
      <c r="N703" s="43">
        <v>0</v>
      </c>
      <c r="O703" s="43">
        <v>0</v>
      </c>
      <c r="P703" s="47">
        <v>0</v>
      </c>
      <c r="R703" s="37">
        <v>0</v>
      </c>
      <c r="S703" s="37">
        <v>0</v>
      </c>
      <c r="T703" s="37">
        <v>0</v>
      </c>
      <c r="U703" s="37">
        <v>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7">
        <v>0</v>
      </c>
      <c r="AB703" s="37">
        <v>0</v>
      </c>
      <c r="AC703" s="37">
        <v>0</v>
      </c>
      <c r="AD703" s="37">
        <v>0</v>
      </c>
      <c r="AE703" s="37">
        <v>0</v>
      </c>
      <c r="AF703" s="37">
        <v>0</v>
      </c>
      <c r="AG703" s="59">
        <v>0</v>
      </c>
      <c r="AH703" s="37">
        <v>0</v>
      </c>
      <c r="AI703" s="37">
        <v>0</v>
      </c>
      <c r="AJ703" s="37">
        <v>0</v>
      </c>
      <c r="AK703" s="37">
        <v>0</v>
      </c>
      <c r="AL703" s="37">
        <v>0</v>
      </c>
      <c r="AM703" s="37">
        <v>0</v>
      </c>
      <c r="AN703" s="37">
        <v>0</v>
      </c>
      <c r="AO703" s="37">
        <v>0</v>
      </c>
      <c r="AP703" s="37">
        <v>0</v>
      </c>
      <c r="AQ703" s="37">
        <v>0</v>
      </c>
      <c r="AR703" s="37">
        <v>0</v>
      </c>
      <c r="AS703" s="59">
        <v>0</v>
      </c>
      <c r="AT703" s="59">
        <v>0</v>
      </c>
      <c r="AU703" s="45"/>
      <c r="AV703" s="37">
        <v>0</v>
      </c>
      <c r="AW703" s="37">
        <v>0</v>
      </c>
      <c r="AX703" s="37">
        <v>0</v>
      </c>
      <c r="AY703" s="37">
        <v>0</v>
      </c>
      <c r="AZ703" s="37">
        <v>0</v>
      </c>
      <c r="BA703" s="37">
        <v>0</v>
      </c>
      <c r="BB703" s="37">
        <v>0</v>
      </c>
      <c r="BC703" s="37">
        <v>0</v>
      </c>
      <c r="BD703" s="37">
        <v>0</v>
      </c>
      <c r="BE703" s="37">
        <v>0</v>
      </c>
      <c r="BF703" s="37">
        <v>0</v>
      </c>
      <c r="BG703" s="37">
        <v>0</v>
      </c>
      <c r="BH703" s="37">
        <v>0</v>
      </c>
      <c r="BI703" s="37">
        <v>0</v>
      </c>
      <c r="BJ703" s="37">
        <v>0</v>
      </c>
      <c r="BK703" s="59">
        <v>0</v>
      </c>
      <c r="BL703" s="37">
        <v>0</v>
      </c>
      <c r="BM703" s="37">
        <v>0</v>
      </c>
      <c r="BN703" s="37">
        <v>0</v>
      </c>
      <c r="BO703" s="37">
        <v>0</v>
      </c>
      <c r="BP703" s="37">
        <v>0</v>
      </c>
      <c r="BQ703" s="37">
        <v>0</v>
      </c>
      <c r="BR703" s="37">
        <v>0</v>
      </c>
      <c r="BS703" s="37">
        <v>0</v>
      </c>
      <c r="BT703" s="37">
        <v>0</v>
      </c>
      <c r="BU703" s="37">
        <v>0</v>
      </c>
      <c r="BV703" s="37">
        <v>0</v>
      </c>
      <c r="BW703" s="59">
        <v>0</v>
      </c>
      <c r="BX703" s="59">
        <v>0</v>
      </c>
      <c r="BZ703" s="37">
        <v>0</v>
      </c>
      <c r="CA703" s="37">
        <v>0</v>
      </c>
      <c r="CB703" s="37">
        <v>0</v>
      </c>
      <c r="CC703" s="37">
        <v>0</v>
      </c>
      <c r="CD703" s="37">
        <v>0</v>
      </c>
      <c r="CE703" s="37">
        <v>0</v>
      </c>
      <c r="CF703" s="37">
        <v>0</v>
      </c>
      <c r="CG703" s="59">
        <v>0</v>
      </c>
      <c r="CH703" s="37">
        <v>0</v>
      </c>
      <c r="CI703" s="37">
        <v>0</v>
      </c>
      <c r="CJ703" s="37">
        <v>0</v>
      </c>
      <c r="CK703" s="37">
        <v>0</v>
      </c>
      <c r="CL703" s="37">
        <v>0</v>
      </c>
      <c r="CM703" s="37">
        <v>0</v>
      </c>
      <c r="CN703" s="59">
        <v>0</v>
      </c>
      <c r="CO703" s="59">
        <v>0</v>
      </c>
      <c r="CP703" s="58"/>
      <c r="CQ703" s="3">
        <v>0</v>
      </c>
    </row>
    <row r="704" spans="1:95" customFormat="1" x14ac:dyDescent="0.2">
      <c r="A704" s="33">
        <v>0</v>
      </c>
      <c r="B704" s="33">
        <v>0</v>
      </c>
      <c r="C704" s="33">
        <v>0</v>
      </c>
      <c r="D704" s="43">
        <v>0</v>
      </c>
      <c r="E704" s="43">
        <v>0</v>
      </c>
      <c r="F704" s="43">
        <v>0</v>
      </c>
      <c r="G704" s="43">
        <v>0</v>
      </c>
      <c r="H704" s="43">
        <v>0</v>
      </c>
      <c r="I704" s="43">
        <v>0</v>
      </c>
      <c r="J704" s="43">
        <v>0</v>
      </c>
      <c r="K704" s="43">
        <v>0</v>
      </c>
      <c r="L704" s="43">
        <v>0</v>
      </c>
      <c r="M704" s="43">
        <v>0</v>
      </c>
      <c r="N704" s="43">
        <v>0</v>
      </c>
      <c r="O704" s="43">
        <v>0</v>
      </c>
      <c r="P704" s="47">
        <v>0</v>
      </c>
      <c r="R704" s="37">
        <v>0</v>
      </c>
      <c r="S704" s="37">
        <v>0</v>
      </c>
      <c r="T704" s="37">
        <v>0</v>
      </c>
      <c r="U704" s="37">
        <v>0</v>
      </c>
      <c r="V704" s="37">
        <v>0</v>
      </c>
      <c r="W704" s="37">
        <v>0</v>
      </c>
      <c r="X704" s="37">
        <v>0</v>
      </c>
      <c r="Y704" s="37">
        <v>0</v>
      </c>
      <c r="Z704" s="37">
        <v>0</v>
      </c>
      <c r="AA704" s="37">
        <v>0</v>
      </c>
      <c r="AB704" s="37">
        <v>0</v>
      </c>
      <c r="AC704" s="37">
        <v>0</v>
      </c>
      <c r="AD704" s="37">
        <v>0</v>
      </c>
      <c r="AE704" s="37">
        <v>0</v>
      </c>
      <c r="AF704" s="37">
        <v>0</v>
      </c>
      <c r="AG704" s="59">
        <v>0</v>
      </c>
      <c r="AH704" s="37">
        <v>0</v>
      </c>
      <c r="AI704" s="37">
        <v>0</v>
      </c>
      <c r="AJ704" s="37">
        <v>0</v>
      </c>
      <c r="AK704" s="37">
        <v>0</v>
      </c>
      <c r="AL704" s="37">
        <v>0</v>
      </c>
      <c r="AM704" s="37">
        <v>0</v>
      </c>
      <c r="AN704" s="37">
        <v>0</v>
      </c>
      <c r="AO704" s="37">
        <v>0</v>
      </c>
      <c r="AP704" s="37">
        <v>0</v>
      </c>
      <c r="AQ704" s="37">
        <v>0</v>
      </c>
      <c r="AR704" s="37">
        <v>0</v>
      </c>
      <c r="AS704" s="59">
        <v>0</v>
      </c>
      <c r="AT704" s="59">
        <v>0</v>
      </c>
      <c r="AU704" s="45"/>
      <c r="AV704" s="37">
        <v>0</v>
      </c>
      <c r="AW704" s="37">
        <v>0</v>
      </c>
      <c r="AX704" s="37">
        <v>0</v>
      </c>
      <c r="AY704" s="37">
        <v>0</v>
      </c>
      <c r="AZ704" s="37">
        <v>0</v>
      </c>
      <c r="BA704" s="37">
        <v>0</v>
      </c>
      <c r="BB704" s="37">
        <v>0</v>
      </c>
      <c r="BC704" s="37">
        <v>0</v>
      </c>
      <c r="BD704" s="37">
        <v>0</v>
      </c>
      <c r="BE704" s="37">
        <v>0</v>
      </c>
      <c r="BF704" s="37">
        <v>0</v>
      </c>
      <c r="BG704" s="37">
        <v>0</v>
      </c>
      <c r="BH704" s="37">
        <v>0</v>
      </c>
      <c r="BI704" s="37">
        <v>0</v>
      </c>
      <c r="BJ704" s="37">
        <v>0</v>
      </c>
      <c r="BK704" s="59">
        <v>0</v>
      </c>
      <c r="BL704" s="37">
        <v>0</v>
      </c>
      <c r="BM704" s="37">
        <v>0</v>
      </c>
      <c r="BN704" s="37">
        <v>0</v>
      </c>
      <c r="BO704" s="37">
        <v>0</v>
      </c>
      <c r="BP704" s="37">
        <v>0</v>
      </c>
      <c r="BQ704" s="37">
        <v>0</v>
      </c>
      <c r="BR704" s="37">
        <v>0</v>
      </c>
      <c r="BS704" s="37">
        <v>0</v>
      </c>
      <c r="BT704" s="37">
        <v>0</v>
      </c>
      <c r="BU704" s="37">
        <v>0</v>
      </c>
      <c r="BV704" s="37">
        <v>0</v>
      </c>
      <c r="BW704" s="59">
        <v>0</v>
      </c>
      <c r="BX704" s="59">
        <v>0</v>
      </c>
      <c r="BZ704" s="37">
        <v>0</v>
      </c>
      <c r="CA704" s="37">
        <v>0</v>
      </c>
      <c r="CB704" s="37">
        <v>0</v>
      </c>
      <c r="CC704" s="37">
        <v>0</v>
      </c>
      <c r="CD704" s="37">
        <v>0</v>
      </c>
      <c r="CE704" s="37">
        <v>0</v>
      </c>
      <c r="CF704" s="37">
        <v>0</v>
      </c>
      <c r="CG704" s="59">
        <v>0</v>
      </c>
      <c r="CH704" s="37">
        <v>0</v>
      </c>
      <c r="CI704" s="37">
        <v>0</v>
      </c>
      <c r="CJ704" s="37">
        <v>0</v>
      </c>
      <c r="CK704" s="37">
        <v>0</v>
      </c>
      <c r="CL704" s="37">
        <v>0</v>
      </c>
      <c r="CM704" s="37">
        <v>0</v>
      </c>
      <c r="CN704" s="59">
        <v>0</v>
      </c>
      <c r="CO704" s="59">
        <v>0</v>
      </c>
      <c r="CP704" s="58"/>
      <c r="CQ704" s="3">
        <v>0</v>
      </c>
    </row>
    <row r="705" spans="1:95" customFormat="1" x14ac:dyDescent="0.2">
      <c r="A705" s="33">
        <v>0</v>
      </c>
      <c r="B705" s="33">
        <v>0</v>
      </c>
      <c r="C705" s="33">
        <v>0</v>
      </c>
      <c r="D705" s="43">
        <v>0</v>
      </c>
      <c r="E705" s="43">
        <v>0</v>
      </c>
      <c r="F705" s="43">
        <v>0</v>
      </c>
      <c r="G705" s="43">
        <v>0</v>
      </c>
      <c r="H705" s="43">
        <v>0</v>
      </c>
      <c r="I705" s="43">
        <v>0</v>
      </c>
      <c r="J705" s="43">
        <v>0</v>
      </c>
      <c r="K705" s="43">
        <v>0</v>
      </c>
      <c r="L705" s="43">
        <v>0</v>
      </c>
      <c r="M705" s="43">
        <v>0</v>
      </c>
      <c r="N705" s="43">
        <v>0</v>
      </c>
      <c r="O705" s="43">
        <v>0</v>
      </c>
      <c r="P705" s="47">
        <v>0</v>
      </c>
      <c r="R705" s="37">
        <v>0</v>
      </c>
      <c r="S705" s="37">
        <v>0</v>
      </c>
      <c r="T705" s="37">
        <v>0</v>
      </c>
      <c r="U705" s="37">
        <v>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7">
        <v>0</v>
      </c>
      <c r="AB705" s="37">
        <v>0</v>
      </c>
      <c r="AC705" s="37">
        <v>0</v>
      </c>
      <c r="AD705" s="37">
        <v>0</v>
      </c>
      <c r="AE705" s="37">
        <v>0</v>
      </c>
      <c r="AF705" s="37">
        <v>0</v>
      </c>
      <c r="AG705" s="59">
        <v>0</v>
      </c>
      <c r="AH705" s="37">
        <v>0</v>
      </c>
      <c r="AI705" s="37">
        <v>0</v>
      </c>
      <c r="AJ705" s="37">
        <v>0</v>
      </c>
      <c r="AK705" s="37">
        <v>0</v>
      </c>
      <c r="AL705" s="37">
        <v>0</v>
      </c>
      <c r="AM705" s="37">
        <v>0</v>
      </c>
      <c r="AN705" s="37">
        <v>0</v>
      </c>
      <c r="AO705" s="37">
        <v>0</v>
      </c>
      <c r="AP705" s="37">
        <v>0</v>
      </c>
      <c r="AQ705" s="37">
        <v>0</v>
      </c>
      <c r="AR705" s="37">
        <v>0</v>
      </c>
      <c r="AS705" s="59">
        <v>0</v>
      </c>
      <c r="AT705" s="59">
        <v>0</v>
      </c>
      <c r="AU705" s="45"/>
      <c r="AV705" s="37">
        <v>0</v>
      </c>
      <c r="AW705" s="37">
        <v>0</v>
      </c>
      <c r="AX705" s="37">
        <v>0</v>
      </c>
      <c r="AY705" s="37">
        <v>0</v>
      </c>
      <c r="AZ705" s="37">
        <v>0</v>
      </c>
      <c r="BA705" s="37">
        <v>0</v>
      </c>
      <c r="BB705" s="37">
        <v>0</v>
      </c>
      <c r="BC705" s="37">
        <v>0</v>
      </c>
      <c r="BD705" s="37">
        <v>0</v>
      </c>
      <c r="BE705" s="37">
        <v>0</v>
      </c>
      <c r="BF705" s="37">
        <v>0</v>
      </c>
      <c r="BG705" s="37">
        <v>0</v>
      </c>
      <c r="BH705" s="37">
        <v>0</v>
      </c>
      <c r="BI705" s="37">
        <v>0</v>
      </c>
      <c r="BJ705" s="37">
        <v>0</v>
      </c>
      <c r="BK705" s="59">
        <v>0</v>
      </c>
      <c r="BL705" s="37">
        <v>0</v>
      </c>
      <c r="BM705" s="37">
        <v>0</v>
      </c>
      <c r="BN705" s="37">
        <v>0</v>
      </c>
      <c r="BO705" s="37">
        <v>0</v>
      </c>
      <c r="BP705" s="37">
        <v>0</v>
      </c>
      <c r="BQ705" s="37">
        <v>0</v>
      </c>
      <c r="BR705" s="37">
        <v>0</v>
      </c>
      <c r="BS705" s="37">
        <v>0</v>
      </c>
      <c r="BT705" s="37">
        <v>0</v>
      </c>
      <c r="BU705" s="37">
        <v>0</v>
      </c>
      <c r="BV705" s="37">
        <v>0</v>
      </c>
      <c r="BW705" s="59">
        <v>0</v>
      </c>
      <c r="BX705" s="59">
        <v>0</v>
      </c>
      <c r="BZ705" s="37">
        <v>0</v>
      </c>
      <c r="CA705" s="37">
        <v>0</v>
      </c>
      <c r="CB705" s="37">
        <v>0</v>
      </c>
      <c r="CC705" s="37">
        <v>0</v>
      </c>
      <c r="CD705" s="37">
        <v>0</v>
      </c>
      <c r="CE705" s="37">
        <v>0</v>
      </c>
      <c r="CF705" s="37">
        <v>0</v>
      </c>
      <c r="CG705" s="59">
        <v>0</v>
      </c>
      <c r="CH705" s="37">
        <v>0</v>
      </c>
      <c r="CI705" s="37">
        <v>0</v>
      </c>
      <c r="CJ705" s="37">
        <v>0</v>
      </c>
      <c r="CK705" s="37">
        <v>0</v>
      </c>
      <c r="CL705" s="37">
        <v>0</v>
      </c>
      <c r="CM705" s="37">
        <v>0</v>
      </c>
      <c r="CN705" s="59">
        <v>0</v>
      </c>
      <c r="CO705" s="59">
        <v>0</v>
      </c>
      <c r="CP705" s="58"/>
      <c r="CQ705" s="3">
        <v>0</v>
      </c>
    </row>
    <row r="706" spans="1:95" customFormat="1" x14ac:dyDescent="0.2">
      <c r="A706" s="33">
        <v>0</v>
      </c>
      <c r="B706" s="33">
        <v>0</v>
      </c>
      <c r="C706" s="33">
        <v>0</v>
      </c>
      <c r="D706" s="43">
        <v>0</v>
      </c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0</v>
      </c>
      <c r="K706" s="43">
        <v>0</v>
      </c>
      <c r="L706" s="43">
        <v>0</v>
      </c>
      <c r="M706" s="43">
        <v>0</v>
      </c>
      <c r="N706" s="43">
        <v>0</v>
      </c>
      <c r="O706" s="43">
        <v>0</v>
      </c>
      <c r="P706" s="47">
        <v>0</v>
      </c>
      <c r="R706" s="37">
        <v>0</v>
      </c>
      <c r="S706" s="37">
        <v>0</v>
      </c>
      <c r="T706" s="37">
        <v>0</v>
      </c>
      <c r="U706" s="37">
        <v>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7">
        <v>0</v>
      </c>
      <c r="AB706" s="37">
        <v>0</v>
      </c>
      <c r="AC706" s="37">
        <v>0</v>
      </c>
      <c r="AD706" s="37">
        <v>0</v>
      </c>
      <c r="AE706" s="37">
        <v>0</v>
      </c>
      <c r="AF706" s="37">
        <v>0</v>
      </c>
      <c r="AG706" s="59">
        <v>0</v>
      </c>
      <c r="AH706" s="37">
        <v>0</v>
      </c>
      <c r="AI706" s="37">
        <v>0</v>
      </c>
      <c r="AJ706" s="37">
        <v>0</v>
      </c>
      <c r="AK706" s="37">
        <v>0</v>
      </c>
      <c r="AL706" s="37">
        <v>0</v>
      </c>
      <c r="AM706" s="37">
        <v>0</v>
      </c>
      <c r="AN706" s="37">
        <v>0</v>
      </c>
      <c r="AO706" s="37">
        <v>0</v>
      </c>
      <c r="AP706" s="37">
        <v>0</v>
      </c>
      <c r="AQ706" s="37">
        <v>0</v>
      </c>
      <c r="AR706" s="37">
        <v>0</v>
      </c>
      <c r="AS706" s="59">
        <v>0</v>
      </c>
      <c r="AT706" s="59">
        <v>0</v>
      </c>
      <c r="AU706" s="45"/>
      <c r="AV706" s="37">
        <v>0</v>
      </c>
      <c r="AW706" s="37">
        <v>0</v>
      </c>
      <c r="AX706" s="37">
        <v>0</v>
      </c>
      <c r="AY706" s="37">
        <v>0</v>
      </c>
      <c r="AZ706" s="37">
        <v>0</v>
      </c>
      <c r="BA706" s="37">
        <v>0</v>
      </c>
      <c r="BB706" s="37">
        <v>0</v>
      </c>
      <c r="BC706" s="37">
        <v>0</v>
      </c>
      <c r="BD706" s="37">
        <v>0</v>
      </c>
      <c r="BE706" s="37">
        <v>0</v>
      </c>
      <c r="BF706" s="37">
        <v>0</v>
      </c>
      <c r="BG706" s="37">
        <v>0</v>
      </c>
      <c r="BH706" s="37">
        <v>0</v>
      </c>
      <c r="BI706" s="37">
        <v>0</v>
      </c>
      <c r="BJ706" s="37">
        <v>0</v>
      </c>
      <c r="BK706" s="59">
        <v>0</v>
      </c>
      <c r="BL706" s="37">
        <v>0</v>
      </c>
      <c r="BM706" s="37">
        <v>0</v>
      </c>
      <c r="BN706" s="37">
        <v>0</v>
      </c>
      <c r="BO706" s="37">
        <v>0</v>
      </c>
      <c r="BP706" s="37">
        <v>0</v>
      </c>
      <c r="BQ706" s="37">
        <v>0</v>
      </c>
      <c r="BR706" s="37">
        <v>0</v>
      </c>
      <c r="BS706" s="37">
        <v>0</v>
      </c>
      <c r="BT706" s="37">
        <v>0</v>
      </c>
      <c r="BU706" s="37">
        <v>0</v>
      </c>
      <c r="BV706" s="37">
        <v>0</v>
      </c>
      <c r="BW706" s="59">
        <v>0</v>
      </c>
      <c r="BX706" s="59">
        <v>0</v>
      </c>
      <c r="BZ706" s="37">
        <v>0</v>
      </c>
      <c r="CA706" s="37">
        <v>0</v>
      </c>
      <c r="CB706" s="37">
        <v>0</v>
      </c>
      <c r="CC706" s="37">
        <v>0</v>
      </c>
      <c r="CD706" s="37">
        <v>0</v>
      </c>
      <c r="CE706" s="37">
        <v>0</v>
      </c>
      <c r="CF706" s="37">
        <v>0</v>
      </c>
      <c r="CG706" s="59">
        <v>0</v>
      </c>
      <c r="CH706" s="37">
        <v>0</v>
      </c>
      <c r="CI706" s="37">
        <v>0</v>
      </c>
      <c r="CJ706" s="37">
        <v>0</v>
      </c>
      <c r="CK706" s="37">
        <v>0</v>
      </c>
      <c r="CL706" s="37">
        <v>0</v>
      </c>
      <c r="CM706" s="37">
        <v>0</v>
      </c>
      <c r="CN706" s="59">
        <v>0</v>
      </c>
      <c r="CO706" s="59">
        <v>0</v>
      </c>
      <c r="CP706" s="58"/>
      <c r="CQ706" s="3">
        <v>0</v>
      </c>
    </row>
    <row r="707" spans="1:95" customFormat="1" x14ac:dyDescent="0.2">
      <c r="A707" s="33">
        <v>0</v>
      </c>
      <c r="B707" s="33">
        <v>0</v>
      </c>
      <c r="C707" s="33">
        <v>0</v>
      </c>
      <c r="D707" s="43">
        <v>0</v>
      </c>
      <c r="E707" s="43">
        <v>0</v>
      </c>
      <c r="F707" s="43">
        <v>0</v>
      </c>
      <c r="G707" s="43">
        <v>0</v>
      </c>
      <c r="H707" s="43">
        <v>0</v>
      </c>
      <c r="I707" s="43">
        <v>0</v>
      </c>
      <c r="J707" s="43">
        <v>0</v>
      </c>
      <c r="K707" s="43">
        <v>0</v>
      </c>
      <c r="L707" s="43">
        <v>0</v>
      </c>
      <c r="M707" s="43">
        <v>0</v>
      </c>
      <c r="N707" s="43">
        <v>0</v>
      </c>
      <c r="O707" s="43">
        <v>0</v>
      </c>
      <c r="P707" s="47">
        <v>0</v>
      </c>
      <c r="R707" s="37">
        <v>0</v>
      </c>
      <c r="S707" s="37">
        <v>0</v>
      </c>
      <c r="T707" s="37">
        <v>0</v>
      </c>
      <c r="U707" s="37">
        <v>0</v>
      </c>
      <c r="V707" s="37">
        <v>0</v>
      </c>
      <c r="W707" s="37">
        <v>0</v>
      </c>
      <c r="X707" s="37">
        <v>0</v>
      </c>
      <c r="Y707" s="37">
        <v>0</v>
      </c>
      <c r="Z707" s="37">
        <v>0</v>
      </c>
      <c r="AA707" s="37">
        <v>0</v>
      </c>
      <c r="AB707" s="37">
        <v>0</v>
      </c>
      <c r="AC707" s="37">
        <v>0</v>
      </c>
      <c r="AD707" s="37">
        <v>0</v>
      </c>
      <c r="AE707" s="37">
        <v>0</v>
      </c>
      <c r="AF707" s="37">
        <v>0</v>
      </c>
      <c r="AG707" s="59">
        <v>0</v>
      </c>
      <c r="AH707" s="37">
        <v>0</v>
      </c>
      <c r="AI707" s="37">
        <v>0</v>
      </c>
      <c r="AJ707" s="37"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v>0</v>
      </c>
      <c r="AP707" s="37">
        <v>0</v>
      </c>
      <c r="AQ707" s="37">
        <v>0</v>
      </c>
      <c r="AR707" s="37">
        <v>0</v>
      </c>
      <c r="AS707" s="59">
        <v>0</v>
      </c>
      <c r="AT707" s="59">
        <v>0</v>
      </c>
      <c r="AU707" s="45"/>
      <c r="AV707" s="37">
        <v>0</v>
      </c>
      <c r="AW707" s="37">
        <v>0</v>
      </c>
      <c r="AX707" s="37">
        <v>0</v>
      </c>
      <c r="AY707" s="37">
        <v>0</v>
      </c>
      <c r="AZ707" s="37">
        <v>0</v>
      </c>
      <c r="BA707" s="37">
        <v>0</v>
      </c>
      <c r="BB707" s="37">
        <v>0</v>
      </c>
      <c r="BC707" s="37">
        <v>0</v>
      </c>
      <c r="BD707" s="37">
        <v>0</v>
      </c>
      <c r="BE707" s="37">
        <v>0</v>
      </c>
      <c r="BF707" s="37">
        <v>0</v>
      </c>
      <c r="BG707" s="37">
        <v>0</v>
      </c>
      <c r="BH707" s="37">
        <v>0</v>
      </c>
      <c r="BI707" s="37">
        <v>0</v>
      </c>
      <c r="BJ707" s="37">
        <v>0</v>
      </c>
      <c r="BK707" s="59">
        <v>0</v>
      </c>
      <c r="BL707" s="37">
        <v>0</v>
      </c>
      <c r="BM707" s="37">
        <v>0</v>
      </c>
      <c r="BN707" s="37">
        <v>0</v>
      </c>
      <c r="BO707" s="37">
        <v>0</v>
      </c>
      <c r="BP707" s="37">
        <v>0</v>
      </c>
      <c r="BQ707" s="37">
        <v>0</v>
      </c>
      <c r="BR707" s="37">
        <v>0</v>
      </c>
      <c r="BS707" s="37">
        <v>0</v>
      </c>
      <c r="BT707" s="37">
        <v>0</v>
      </c>
      <c r="BU707" s="37">
        <v>0</v>
      </c>
      <c r="BV707" s="37">
        <v>0</v>
      </c>
      <c r="BW707" s="59">
        <v>0</v>
      </c>
      <c r="BX707" s="59">
        <v>0</v>
      </c>
      <c r="BZ707" s="37">
        <v>0</v>
      </c>
      <c r="CA707" s="37">
        <v>0</v>
      </c>
      <c r="CB707" s="37">
        <v>0</v>
      </c>
      <c r="CC707" s="37">
        <v>0</v>
      </c>
      <c r="CD707" s="37">
        <v>0</v>
      </c>
      <c r="CE707" s="37">
        <v>0</v>
      </c>
      <c r="CF707" s="37">
        <v>0</v>
      </c>
      <c r="CG707" s="59">
        <v>0</v>
      </c>
      <c r="CH707" s="37">
        <v>0</v>
      </c>
      <c r="CI707" s="37">
        <v>0</v>
      </c>
      <c r="CJ707" s="37">
        <v>0</v>
      </c>
      <c r="CK707" s="37">
        <v>0</v>
      </c>
      <c r="CL707" s="37">
        <v>0</v>
      </c>
      <c r="CM707" s="37">
        <v>0</v>
      </c>
      <c r="CN707" s="59">
        <v>0</v>
      </c>
      <c r="CO707" s="59">
        <v>0</v>
      </c>
      <c r="CP707" s="58"/>
      <c r="CQ707" s="3">
        <v>0</v>
      </c>
    </row>
    <row r="708" spans="1:95" customFormat="1" x14ac:dyDescent="0.2">
      <c r="A708" s="33">
        <v>0</v>
      </c>
      <c r="B708" s="33">
        <v>0</v>
      </c>
      <c r="C708" s="33">
        <v>0</v>
      </c>
      <c r="D708" s="43">
        <v>0</v>
      </c>
      <c r="E708" s="43">
        <v>0</v>
      </c>
      <c r="F708" s="43">
        <v>0</v>
      </c>
      <c r="G708" s="43">
        <v>0</v>
      </c>
      <c r="H708" s="43">
        <v>0</v>
      </c>
      <c r="I708" s="43">
        <v>0</v>
      </c>
      <c r="J708" s="43">
        <v>0</v>
      </c>
      <c r="K708" s="43">
        <v>0</v>
      </c>
      <c r="L708" s="43">
        <v>0</v>
      </c>
      <c r="M708" s="43">
        <v>0</v>
      </c>
      <c r="N708" s="43">
        <v>0</v>
      </c>
      <c r="O708" s="43">
        <v>0</v>
      </c>
      <c r="P708" s="4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59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59">
        <v>0</v>
      </c>
      <c r="AT708" s="59">
        <v>0</v>
      </c>
      <c r="AU708" s="45"/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>
        <v>0</v>
      </c>
      <c r="BB708" s="37">
        <v>0</v>
      </c>
      <c r="BC708" s="37">
        <v>0</v>
      </c>
      <c r="BD708" s="37">
        <v>0</v>
      </c>
      <c r="BE708" s="37">
        <v>0</v>
      </c>
      <c r="BF708" s="37">
        <v>0</v>
      </c>
      <c r="BG708" s="37">
        <v>0</v>
      </c>
      <c r="BH708" s="37">
        <v>0</v>
      </c>
      <c r="BI708" s="37">
        <v>0</v>
      </c>
      <c r="BJ708" s="37">
        <v>0</v>
      </c>
      <c r="BK708" s="59">
        <v>0</v>
      </c>
      <c r="BL708" s="37">
        <v>0</v>
      </c>
      <c r="BM708" s="37">
        <v>0</v>
      </c>
      <c r="BN708" s="37">
        <v>0</v>
      </c>
      <c r="BO708" s="37">
        <v>0</v>
      </c>
      <c r="BP708" s="37">
        <v>0</v>
      </c>
      <c r="BQ708" s="37">
        <v>0</v>
      </c>
      <c r="BR708" s="37">
        <v>0</v>
      </c>
      <c r="BS708" s="37">
        <v>0</v>
      </c>
      <c r="BT708" s="37">
        <v>0</v>
      </c>
      <c r="BU708" s="37">
        <v>0</v>
      </c>
      <c r="BV708" s="37">
        <v>0</v>
      </c>
      <c r="BW708" s="59">
        <v>0</v>
      </c>
      <c r="BX708" s="59">
        <v>0</v>
      </c>
      <c r="BZ708" s="37">
        <v>0</v>
      </c>
      <c r="CA708" s="37">
        <v>0</v>
      </c>
      <c r="CB708" s="37">
        <v>0</v>
      </c>
      <c r="CC708" s="37">
        <v>0</v>
      </c>
      <c r="CD708" s="37">
        <v>0</v>
      </c>
      <c r="CE708" s="37">
        <v>0</v>
      </c>
      <c r="CF708" s="37">
        <v>0</v>
      </c>
      <c r="CG708" s="59">
        <v>0</v>
      </c>
      <c r="CH708" s="37">
        <v>0</v>
      </c>
      <c r="CI708" s="37">
        <v>0</v>
      </c>
      <c r="CJ708" s="37">
        <v>0</v>
      </c>
      <c r="CK708" s="37">
        <v>0</v>
      </c>
      <c r="CL708" s="37">
        <v>0</v>
      </c>
      <c r="CM708" s="37">
        <v>0</v>
      </c>
      <c r="CN708" s="59">
        <v>0</v>
      </c>
      <c r="CO708" s="59">
        <v>0</v>
      </c>
      <c r="CP708" s="58"/>
      <c r="CQ708" s="3">
        <v>0</v>
      </c>
    </row>
    <row r="709" spans="1:95" customFormat="1" x14ac:dyDescent="0.2">
      <c r="A709" s="33">
        <v>0</v>
      </c>
      <c r="B709" s="33">
        <v>0</v>
      </c>
      <c r="C709" s="33">
        <v>0</v>
      </c>
      <c r="D709" s="43">
        <v>0</v>
      </c>
      <c r="E709" s="43">
        <v>0</v>
      </c>
      <c r="F709" s="43">
        <v>0</v>
      </c>
      <c r="G709" s="43">
        <v>0</v>
      </c>
      <c r="H709" s="43">
        <v>0</v>
      </c>
      <c r="I709" s="43">
        <v>0</v>
      </c>
      <c r="J709" s="43">
        <v>0</v>
      </c>
      <c r="K709" s="43">
        <v>0</v>
      </c>
      <c r="L709" s="43">
        <v>0</v>
      </c>
      <c r="M709" s="43">
        <v>0</v>
      </c>
      <c r="N709" s="43">
        <v>0</v>
      </c>
      <c r="O709" s="43">
        <v>0</v>
      </c>
      <c r="P709" s="47">
        <v>0</v>
      </c>
      <c r="R709" s="37">
        <v>0</v>
      </c>
      <c r="S709" s="37">
        <v>0</v>
      </c>
      <c r="T709" s="37">
        <v>0</v>
      </c>
      <c r="U709" s="37">
        <v>0</v>
      </c>
      <c r="V709" s="37">
        <v>0</v>
      </c>
      <c r="W709" s="37">
        <v>0</v>
      </c>
      <c r="X709" s="37">
        <v>0</v>
      </c>
      <c r="Y709" s="37">
        <v>0</v>
      </c>
      <c r="Z709" s="37">
        <v>0</v>
      </c>
      <c r="AA709" s="37">
        <v>0</v>
      </c>
      <c r="AB709" s="37">
        <v>0</v>
      </c>
      <c r="AC709" s="37">
        <v>0</v>
      </c>
      <c r="AD709" s="37">
        <v>0</v>
      </c>
      <c r="AE709" s="37">
        <v>0</v>
      </c>
      <c r="AF709" s="37">
        <v>0</v>
      </c>
      <c r="AG709" s="59">
        <v>0</v>
      </c>
      <c r="AH709" s="37">
        <v>0</v>
      </c>
      <c r="AI709" s="37">
        <v>0</v>
      </c>
      <c r="AJ709" s="37">
        <v>0</v>
      </c>
      <c r="AK709" s="37">
        <v>0</v>
      </c>
      <c r="AL709" s="37">
        <v>0</v>
      </c>
      <c r="AM709" s="37">
        <v>0</v>
      </c>
      <c r="AN709" s="37">
        <v>0</v>
      </c>
      <c r="AO709" s="37">
        <v>0</v>
      </c>
      <c r="AP709" s="37">
        <v>0</v>
      </c>
      <c r="AQ709" s="37">
        <v>0</v>
      </c>
      <c r="AR709" s="37">
        <v>0</v>
      </c>
      <c r="AS709" s="59">
        <v>0</v>
      </c>
      <c r="AT709" s="59">
        <v>0</v>
      </c>
      <c r="AU709" s="45"/>
      <c r="AV709" s="37">
        <v>0</v>
      </c>
      <c r="AW709" s="37">
        <v>0</v>
      </c>
      <c r="AX709" s="37">
        <v>0</v>
      </c>
      <c r="AY709" s="37">
        <v>0</v>
      </c>
      <c r="AZ709" s="37">
        <v>0</v>
      </c>
      <c r="BA709" s="37">
        <v>0</v>
      </c>
      <c r="BB709" s="37">
        <v>0</v>
      </c>
      <c r="BC709" s="37">
        <v>0</v>
      </c>
      <c r="BD709" s="37">
        <v>0</v>
      </c>
      <c r="BE709" s="37">
        <v>0</v>
      </c>
      <c r="BF709" s="37">
        <v>0</v>
      </c>
      <c r="BG709" s="37">
        <v>0</v>
      </c>
      <c r="BH709" s="37">
        <v>0</v>
      </c>
      <c r="BI709" s="37">
        <v>0</v>
      </c>
      <c r="BJ709" s="37">
        <v>0</v>
      </c>
      <c r="BK709" s="59">
        <v>0</v>
      </c>
      <c r="BL709" s="37">
        <v>0</v>
      </c>
      <c r="BM709" s="37">
        <v>0</v>
      </c>
      <c r="BN709" s="37">
        <v>0</v>
      </c>
      <c r="BO709" s="37">
        <v>0</v>
      </c>
      <c r="BP709" s="37">
        <v>0</v>
      </c>
      <c r="BQ709" s="37">
        <v>0</v>
      </c>
      <c r="BR709" s="37">
        <v>0</v>
      </c>
      <c r="BS709" s="37">
        <v>0</v>
      </c>
      <c r="BT709" s="37">
        <v>0</v>
      </c>
      <c r="BU709" s="37">
        <v>0</v>
      </c>
      <c r="BV709" s="37">
        <v>0</v>
      </c>
      <c r="BW709" s="59">
        <v>0</v>
      </c>
      <c r="BX709" s="59">
        <v>0</v>
      </c>
      <c r="BZ709" s="37">
        <v>0</v>
      </c>
      <c r="CA709" s="37">
        <v>0</v>
      </c>
      <c r="CB709" s="37">
        <v>0</v>
      </c>
      <c r="CC709" s="37">
        <v>0</v>
      </c>
      <c r="CD709" s="37">
        <v>0</v>
      </c>
      <c r="CE709" s="37">
        <v>0</v>
      </c>
      <c r="CF709" s="37">
        <v>0</v>
      </c>
      <c r="CG709" s="59">
        <v>0</v>
      </c>
      <c r="CH709" s="37">
        <v>0</v>
      </c>
      <c r="CI709" s="37">
        <v>0</v>
      </c>
      <c r="CJ709" s="37">
        <v>0</v>
      </c>
      <c r="CK709" s="37">
        <v>0</v>
      </c>
      <c r="CL709" s="37">
        <v>0</v>
      </c>
      <c r="CM709" s="37">
        <v>0</v>
      </c>
      <c r="CN709" s="59">
        <v>0</v>
      </c>
      <c r="CO709" s="59">
        <v>0</v>
      </c>
      <c r="CP709" s="58"/>
      <c r="CQ709" s="3">
        <v>0</v>
      </c>
    </row>
    <row r="710" spans="1:95" customFormat="1" x14ac:dyDescent="0.2">
      <c r="A710" s="33">
        <v>0</v>
      </c>
      <c r="B710" s="33">
        <v>0</v>
      </c>
      <c r="C710" s="33">
        <v>0</v>
      </c>
      <c r="D710" s="43">
        <v>0</v>
      </c>
      <c r="E710" s="43">
        <v>0</v>
      </c>
      <c r="F710" s="43">
        <v>0</v>
      </c>
      <c r="G710" s="43">
        <v>0</v>
      </c>
      <c r="H710" s="43">
        <v>0</v>
      </c>
      <c r="I710" s="43">
        <v>0</v>
      </c>
      <c r="J710" s="43">
        <v>0</v>
      </c>
      <c r="K710" s="43">
        <v>0</v>
      </c>
      <c r="L710" s="43">
        <v>0</v>
      </c>
      <c r="M710" s="43">
        <v>0</v>
      </c>
      <c r="N710" s="43">
        <v>0</v>
      </c>
      <c r="O710" s="43">
        <v>0</v>
      </c>
      <c r="P710" s="47">
        <v>0</v>
      </c>
      <c r="R710" s="37">
        <v>0</v>
      </c>
      <c r="S710" s="37">
        <v>0</v>
      </c>
      <c r="T710" s="37">
        <v>0</v>
      </c>
      <c r="U710" s="37">
        <v>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7">
        <v>0</v>
      </c>
      <c r="AB710" s="37">
        <v>0</v>
      </c>
      <c r="AC710" s="37">
        <v>0</v>
      </c>
      <c r="AD710" s="37">
        <v>0</v>
      </c>
      <c r="AE710" s="37">
        <v>0</v>
      </c>
      <c r="AF710" s="37">
        <v>0</v>
      </c>
      <c r="AG710" s="59">
        <v>0</v>
      </c>
      <c r="AH710" s="37">
        <v>0</v>
      </c>
      <c r="AI710" s="37">
        <v>0</v>
      </c>
      <c r="AJ710" s="37">
        <v>0</v>
      </c>
      <c r="AK710" s="37">
        <v>0</v>
      </c>
      <c r="AL710" s="37">
        <v>0</v>
      </c>
      <c r="AM710" s="37">
        <v>0</v>
      </c>
      <c r="AN710" s="37">
        <v>0</v>
      </c>
      <c r="AO710" s="37">
        <v>0</v>
      </c>
      <c r="AP710" s="37">
        <v>0</v>
      </c>
      <c r="AQ710" s="37">
        <v>0</v>
      </c>
      <c r="AR710" s="37">
        <v>0</v>
      </c>
      <c r="AS710" s="59">
        <v>0</v>
      </c>
      <c r="AT710" s="59">
        <v>0</v>
      </c>
      <c r="AU710" s="45"/>
      <c r="AV710" s="37">
        <v>0</v>
      </c>
      <c r="AW710" s="37">
        <v>0</v>
      </c>
      <c r="AX710" s="37">
        <v>0</v>
      </c>
      <c r="AY710" s="37">
        <v>0</v>
      </c>
      <c r="AZ710" s="37">
        <v>0</v>
      </c>
      <c r="BA710" s="37">
        <v>0</v>
      </c>
      <c r="BB710" s="37">
        <v>0</v>
      </c>
      <c r="BC710" s="37">
        <v>0</v>
      </c>
      <c r="BD710" s="37">
        <v>0</v>
      </c>
      <c r="BE710" s="37">
        <v>0</v>
      </c>
      <c r="BF710" s="37">
        <v>0</v>
      </c>
      <c r="BG710" s="37">
        <v>0</v>
      </c>
      <c r="BH710" s="37">
        <v>0</v>
      </c>
      <c r="BI710" s="37">
        <v>0</v>
      </c>
      <c r="BJ710" s="37">
        <v>0</v>
      </c>
      <c r="BK710" s="59">
        <v>0</v>
      </c>
      <c r="BL710" s="37">
        <v>0</v>
      </c>
      <c r="BM710" s="37">
        <v>0</v>
      </c>
      <c r="BN710" s="37">
        <v>0</v>
      </c>
      <c r="BO710" s="37">
        <v>0</v>
      </c>
      <c r="BP710" s="37">
        <v>0</v>
      </c>
      <c r="BQ710" s="37">
        <v>0</v>
      </c>
      <c r="BR710" s="37">
        <v>0</v>
      </c>
      <c r="BS710" s="37">
        <v>0</v>
      </c>
      <c r="BT710" s="37">
        <v>0</v>
      </c>
      <c r="BU710" s="37">
        <v>0</v>
      </c>
      <c r="BV710" s="37">
        <v>0</v>
      </c>
      <c r="BW710" s="59">
        <v>0</v>
      </c>
      <c r="BX710" s="59">
        <v>0</v>
      </c>
      <c r="BZ710" s="37">
        <v>0</v>
      </c>
      <c r="CA710" s="37">
        <v>0</v>
      </c>
      <c r="CB710" s="37">
        <v>0</v>
      </c>
      <c r="CC710" s="37">
        <v>0</v>
      </c>
      <c r="CD710" s="37">
        <v>0</v>
      </c>
      <c r="CE710" s="37">
        <v>0</v>
      </c>
      <c r="CF710" s="37">
        <v>0</v>
      </c>
      <c r="CG710" s="59">
        <v>0</v>
      </c>
      <c r="CH710" s="37">
        <v>0</v>
      </c>
      <c r="CI710" s="37">
        <v>0</v>
      </c>
      <c r="CJ710" s="37">
        <v>0</v>
      </c>
      <c r="CK710" s="37">
        <v>0</v>
      </c>
      <c r="CL710" s="37">
        <v>0</v>
      </c>
      <c r="CM710" s="37">
        <v>0</v>
      </c>
      <c r="CN710" s="59">
        <v>0</v>
      </c>
      <c r="CO710" s="59">
        <v>0</v>
      </c>
      <c r="CP710" s="58"/>
      <c r="CQ710" s="3">
        <v>0</v>
      </c>
    </row>
    <row r="711" spans="1:95" customFormat="1" x14ac:dyDescent="0.2">
      <c r="A711" s="33">
        <v>0</v>
      </c>
      <c r="B711" s="33">
        <v>0</v>
      </c>
      <c r="C711" s="33">
        <v>0</v>
      </c>
      <c r="D711" s="43">
        <v>0</v>
      </c>
      <c r="E711" s="43">
        <v>0</v>
      </c>
      <c r="F711" s="43">
        <v>0</v>
      </c>
      <c r="G711" s="43">
        <v>0</v>
      </c>
      <c r="H711" s="43">
        <v>0</v>
      </c>
      <c r="I711" s="43">
        <v>0</v>
      </c>
      <c r="J711" s="43">
        <v>0</v>
      </c>
      <c r="K711" s="43">
        <v>0</v>
      </c>
      <c r="L711" s="43">
        <v>0</v>
      </c>
      <c r="M711" s="43">
        <v>0</v>
      </c>
      <c r="N711" s="43">
        <v>0</v>
      </c>
      <c r="O711" s="43">
        <v>0</v>
      </c>
      <c r="P711" s="47">
        <v>0</v>
      </c>
      <c r="R711" s="37">
        <v>0</v>
      </c>
      <c r="S711" s="37">
        <v>0</v>
      </c>
      <c r="T711" s="37">
        <v>0</v>
      </c>
      <c r="U711" s="37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0</v>
      </c>
      <c r="AB711" s="37">
        <v>0</v>
      </c>
      <c r="AC711" s="37">
        <v>0</v>
      </c>
      <c r="AD711" s="37">
        <v>0</v>
      </c>
      <c r="AE711" s="37">
        <v>0</v>
      </c>
      <c r="AF711" s="37">
        <v>0</v>
      </c>
      <c r="AG711" s="59">
        <v>0</v>
      </c>
      <c r="AH711" s="37">
        <v>0</v>
      </c>
      <c r="AI711" s="37">
        <v>0</v>
      </c>
      <c r="AJ711" s="37">
        <v>0</v>
      </c>
      <c r="AK711" s="37">
        <v>0</v>
      </c>
      <c r="AL711" s="37">
        <v>0</v>
      </c>
      <c r="AM711" s="37">
        <v>0</v>
      </c>
      <c r="AN711" s="37">
        <v>0</v>
      </c>
      <c r="AO711" s="37">
        <v>0</v>
      </c>
      <c r="AP711" s="37">
        <v>0</v>
      </c>
      <c r="AQ711" s="37">
        <v>0</v>
      </c>
      <c r="AR711" s="37">
        <v>0</v>
      </c>
      <c r="AS711" s="59">
        <v>0</v>
      </c>
      <c r="AT711" s="59">
        <v>0</v>
      </c>
      <c r="AU711" s="45"/>
      <c r="AV711" s="37">
        <v>0</v>
      </c>
      <c r="AW711" s="37">
        <v>0</v>
      </c>
      <c r="AX711" s="37">
        <v>0</v>
      </c>
      <c r="AY711" s="37">
        <v>0</v>
      </c>
      <c r="AZ711" s="37">
        <v>0</v>
      </c>
      <c r="BA711" s="37">
        <v>0</v>
      </c>
      <c r="BB711" s="37">
        <v>0</v>
      </c>
      <c r="BC711" s="37">
        <v>0</v>
      </c>
      <c r="BD711" s="37">
        <v>0</v>
      </c>
      <c r="BE711" s="37">
        <v>0</v>
      </c>
      <c r="BF711" s="37">
        <v>0</v>
      </c>
      <c r="BG711" s="37">
        <v>0</v>
      </c>
      <c r="BH711" s="37">
        <v>0</v>
      </c>
      <c r="BI711" s="37">
        <v>0</v>
      </c>
      <c r="BJ711" s="37">
        <v>0</v>
      </c>
      <c r="BK711" s="59">
        <v>0</v>
      </c>
      <c r="BL711" s="37">
        <v>0</v>
      </c>
      <c r="BM711" s="37">
        <v>0</v>
      </c>
      <c r="BN711" s="37">
        <v>0</v>
      </c>
      <c r="BO711" s="37">
        <v>0</v>
      </c>
      <c r="BP711" s="37">
        <v>0</v>
      </c>
      <c r="BQ711" s="37">
        <v>0</v>
      </c>
      <c r="BR711" s="37">
        <v>0</v>
      </c>
      <c r="BS711" s="37">
        <v>0</v>
      </c>
      <c r="BT711" s="37">
        <v>0</v>
      </c>
      <c r="BU711" s="37">
        <v>0</v>
      </c>
      <c r="BV711" s="37">
        <v>0</v>
      </c>
      <c r="BW711" s="59">
        <v>0</v>
      </c>
      <c r="BX711" s="59">
        <v>0</v>
      </c>
      <c r="BZ711" s="37">
        <v>0</v>
      </c>
      <c r="CA711" s="37">
        <v>0</v>
      </c>
      <c r="CB711" s="37">
        <v>0</v>
      </c>
      <c r="CC711" s="37">
        <v>0</v>
      </c>
      <c r="CD711" s="37">
        <v>0</v>
      </c>
      <c r="CE711" s="37">
        <v>0</v>
      </c>
      <c r="CF711" s="37">
        <v>0</v>
      </c>
      <c r="CG711" s="59">
        <v>0</v>
      </c>
      <c r="CH711" s="37">
        <v>0</v>
      </c>
      <c r="CI711" s="37">
        <v>0</v>
      </c>
      <c r="CJ711" s="37">
        <v>0</v>
      </c>
      <c r="CK711" s="37">
        <v>0</v>
      </c>
      <c r="CL711" s="37">
        <v>0</v>
      </c>
      <c r="CM711" s="37">
        <v>0</v>
      </c>
      <c r="CN711" s="59">
        <v>0</v>
      </c>
      <c r="CO711" s="59">
        <v>0</v>
      </c>
      <c r="CP711" s="58"/>
      <c r="CQ711" s="3">
        <v>0</v>
      </c>
    </row>
    <row r="712" spans="1:95" customFormat="1" x14ac:dyDescent="0.2">
      <c r="A712" s="33">
        <v>0</v>
      </c>
      <c r="B712" s="33">
        <v>0</v>
      </c>
      <c r="C712" s="33">
        <v>0</v>
      </c>
      <c r="D712" s="43">
        <v>0</v>
      </c>
      <c r="E712" s="43">
        <v>0</v>
      </c>
      <c r="F712" s="43">
        <v>0</v>
      </c>
      <c r="G712" s="43">
        <v>0</v>
      </c>
      <c r="H712" s="43">
        <v>0</v>
      </c>
      <c r="I712" s="43">
        <v>0</v>
      </c>
      <c r="J712" s="43">
        <v>0</v>
      </c>
      <c r="K712" s="43">
        <v>0</v>
      </c>
      <c r="L712" s="43">
        <v>0</v>
      </c>
      <c r="M712" s="43">
        <v>0</v>
      </c>
      <c r="N712" s="43">
        <v>0</v>
      </c>
      <c r="O712" s="43">
        <v>0</v>
      </c>
      <c r="P712" s="47">
        <v>0</v>
      </c>
      <c r="R712" s="37">
        <v>0</v>
      </c>
      <c r="S712" s="37">
        <v>0</v>
      </c>
      <c r="T712" s="37">
        <v>0</v>
      </c>
      <c r="U712" s="37">
        <v>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7">
        <v>0</v>
      </c>
      <c r="AB712" s="37">
        <v>0</v>
      </c>
      <c r="AC712" s="37">
        <v>0</v>
      </c>
      <c r="AD712" s="37">
        <v>0</v>
      </c>
      <c r="AE712" s="37">
        <v>0</v>
      </c>
      <c r="AF712" s="37">
        <v>0</v>
      </c>
      <c r="AG712" s="59">
        <v>0</v>
      </c>
      <c r="AH712" s="37">
        <v>0</v>
      </c>
      <c r="AI712" s="37">
        <v>0</v>
      </c>
      <c r="AJ712" s="37">
        <v>0</v>
      </c>
      <c r="AK712" s="37">
        <v>0</v>
      </c>
      <c r="AL712" s="37">
        <v>0</v>
      </c>
      <c r="AM712" s="37">
        <v>0</v>
      </c>
      <c r="AN712" s="37">
        <v>0</v>
      </c>
      <c r="AO712" s="37">
        <v>0</v>
      </c>
      <c r="AP712" s="37">
        <v>0</v>
      </c>
      <c r="AQ712" s="37">
        <v>0</v>
      </c>
      <c r="AR712" s="37">
        <v>0</v>
      </c>
      <c r="AS712" s="59">
        <v>0</v>
      </c>
      <c r="AT712" s="59">
        <v>0</v>
      </c>
      <c r="AU712" s="45"/>
      <c r="AV712" s="37">
        <v>0</v>
      </c>
      <c r="AW712" s="37">
        <v>0</v>
      </c>
      <c r="AX712" s="37">
        <v>0</v>
      </c>
      <c r="AY712" s="37">
        <v>0</v>
      </c>
      <c r="AZ712" s="37">
        <v>0</v>
      </c>
      <c r="BA712" s="37">
        <v>0</v>
      </c>
      <c r="BB712" s="37">
        <v>0</v>
      </c>
      <c r="BC712" s="37">
        <v>0</v>
      </c>
      <c r="BD712" s="37">
        <v>0</v>
      </c>
      <c r="BE712" s="37">
        <v>0</v>
      </c>
      <c r="BF712" s="37">
        <v>0</v>
      </c>
      <c r="BG712" s="37">
        <v>0</v>
      </c>
      <c r="BH712" s="37">
        <v>0</v>
      </c>
      <c r="BI712" s="37">
        <v>0</v>
      </c>
      <c r="BJ712" s="37">
        <v>0</v>
      </c>
      <c r="BK712" s="59">
        <v>0</v>
      </c>
      <c r="BL712" s="37">
        <v>0</v>
      </c>
      <c r="BM712" s="37">
        <v>0</v>
      </c>
      <c r="BN712" s="37">
        <v>0</v>
      </c>
      <c r="BO712" s="37">
        <v>0</v>
      </c>
      <c r="BP712" s="37">
        <v>0</v>
      </c>
      <c r="BQ712" s="37">
        <v>0</v>
      </c>
      <c r="BR712" s="37">
        <v>0</v>
      </c>
      <c r="BS712" s="37">
        <v>0</v>
      </c>
      <c r="BT712" s="37">
        <v>0</v>
      </c>
      <c r="BU712" s="37">
        <v>0</v>
      </c>
      <c r="BV712" s="37">
        <v>0</v>
      </c>
      <c r="BW712" s="59">
        <v>0</v>
      </c>
      <c r="BX712" s="59">
        <v>0</v>
      </c>
      <c r="BZ712" s="37">
        <v>0</v>
      </c>
      <c r="CA712" s="37">
        <v>0</v>
      </c>
      <c r="CB712" s="37">
        <v>0</v>
      </c>
      <c r="CC712" s="37">
        <v>0</v>
      </c>
      <c r="CD712" s="37">
        <v>0</v>
      </c>
      <c r="CE712" s="37">
        <v>0</v>
      </c>
      <c r="CF712" s="37">
        <v>0</v>
      </c>
      <c r="CG712" s="59">
        <v>0</v>
      </c>
      <c r="CH712" s="37">
        <v>0</v>
      </c>
      <c r="CI712" s="37">
        <v>0</v>
      </c>
      <c r="CJ712" s="37">
        <v>0</v>
      </c>
      <c r="CK712" s="37">
        <v>0</v>
      </c>
      <c r="CL712" s="37">
        <v>0</v>
      </c>
      <c r="CM712" s="37">
        <v>0</v>
      </c>
      <c r="CN712" s="59">
        <v>0</v>
      </c>
      <c r="CO712" s="59">
        <v>0</v>
      </c>
      <c r="CP712" s="58"/>
      <c r="CQ712" s="3">
        <v>0</v>
      </c>
    </row>
    <row r="713" spans="1:95" customFormat="1" x14ac:dyDescent="0.2">
      <c r="A713" s="33">
        <v>0</v>
      </c>
      <c r="B713" s="33">
        <v>0</v>
      </c>
      <c r="C713" s="33">
        <v>0</v>
      </c>
      <c r="D713" s="43">
        <v>0</v>
      </c>
      <c r="E713" s="43">
        <v>0</v>
      </c>
      <c r="F713" s="43">
        <v>0</v>
      </c>
      <c r="G713" s="43">
        <v>0</v>
      </c>
      <c r="H713" s="43">
        <v>0</v>
      </c>
      <c r="I713" s="43">
        <v>0</v>
      </c>
      <c r="J713" s="43">
        <v>0</v>
      </c>
      <c r="K713" s="43">
        <v>0</v>
      </c>
      <c r="L713" s="43">
        <v>0</v>
      </c>
      <c r="M713" s="43">
        <v>0</v>
      </c>
      <c r="N713" s="43">
        <v>0</v>
      </c>
      <c r="O713" s="43">
        <v>0</v>
      </c>
      <c r="P713" s="47">
        <v>0</v>
      </c>
      <c r="R713" s="37">
        <v>0</v>
      </c>
      <c r="S713" s="37">
        <v>0</v>
      </c>
      <c r="T713" s="37">
        <v>0</v>
      </c>
      <c r="U713" s="37">
        <v>0</v>
      </c>
      <c r="V713" s="37">
        <v>0</v>
      </c>
      <c r="W713" s="37">
        <v>0</v>
      </c>
      <c r="X713" s="37">
        <v>0</v>
      </c>
      <c r="Y713" s="37">
        <v>0</v>
      </c>
      <c r="Z713" s="37">
        <v>0</v>
      </c>
      <c r="AA713" s="37">
        <v>0</v>
      </c>
      <c r="AB713" s="37">
        <v>0</v>
      </c>
      <c r="AC713" s="37">
        <v>0</v>
      </c>
      <c r="AD713" s="37">
        <v>0</v>
      </c>
      <c r="AE713" s="37">
        <v>0</v>
      </c>
      <c r="AF713" s="37">
        <v>0</v>
      </c>
      <c r="AG713" s="59">
        <v>0</v>
      </c>
      <c r="AH713" s="37">
        <v>0</v>
      </c>
      <c r="AI713" s="37">
        <v>0</v>
      </c>
      <c r="AJ713" s="37">
        <v>0</v>
      </c>
      <c r="AK713" s="37">
        <v>0</v>
      </c>
      <c r="AL713" s="37">
        <v>0</v>
      </c>
      <c r="AM713" s="37">
        <v>0</v>
      </c>
      <c r="AN713" s="37">
        <v>0</v>
      </c>
      <c r="AO713" s="37">
        <v>0</v>
      </c>
      <c r="AP713" s="37">
        <v>0</v>
      </c>
      <c r="AQ713" s="37">
        <v>0</v>
      </c>
      <c r="AR713" s="37">
        <v>0</v>
      </c>
      <c r="AS713" s="59">
        <v>0</v>
      </c>
      <c r="AT713" s="59">
        <v>0</v>
      </c>
      <c r="AU713" s="45"/>
      <c r="AV713" s="37">
        <v>0</v>
      </c>
      <c r="AW713" s="37">
        <v>0</v>
      </c>
      <c r="AX713" s="37">
        <v>0</v>
      </c>
      <c r="AY713" s="37">
        <v>0</v>
      </c>
      <c r="AZ713" s="37">
        <v>0</v>
      </c>
      <c r="BA713" s="37">
        <v>0</v>
      </c>
      <c r="BB713" s="37">
        <v>0</v>
      </c>
      <c r="BC713" s="37">
        <v>0</v>
      </c>
      <c r="BD713" s="37">
        <v>0</v>
      </c>
      <c r="BE713" s="37">
        <v>0</v>
      </c>
      <c r="BF713" s="37">
        <v>0</v>
      </c>
      <c r="BG713" s="37">
        <v>0</v>
      </c>
      <c r="BH713" s="37">
        <v>0</v>
      </c>
      <c r="BI713" s="37">
        <v>0</v>
      </c>
      <c r="BJ713" s="37">
        <v>0</v>
      </c>
      <c r="BK713" s="59">
        <v>0</v>
      </c>
      <c r="BL713" s="37">
        <v>0</v>
      </c>
      <c r="BM713" s="37">
        <v>0</v>
      </c>
      <c r="BN713" s="37">
        <v>0</v>
      </c>
      <c r="BO713" s="37">
        <v>0</v>
      </c>
      <c r="BP713" s="37">
        <v>0</v>
      </c>
      <c r="BQ713" s="37">
        <v>0</v>
      </c>
      <c r="BR713" s="37">
        <v>0</v>
      </c>
      <c r="BS713" s="37">
        <v>0</v>
      </c>
      <c r="BT713" s="37">
        <v>0</v>
      </c>
      <c r="BU713" s="37">
        <v>0</v>
      </c>
      <c r="BV713" s="37">
        <v>0</v>
      </c>
      <c r="BW713" s="59">
        <v>0</v>
      </c>
      <c r="BX713" s="59">
        <v>0</v>
      </c>
      <c r="BZ713" s="37">
        <v>0</v>
      </c>
      <c r="CA713" s="37">
        <v>0</v>
      </c>
      <c r="CB713" s="37">
        <v>0</v>
      </c>
      <c r="CC713" s="37">
        <v>0</v>
      </c>
      <c r="CD713" s="37">
        <v>0</v>
      </c>
      <c r="CE713" s="37">
        <v>0</v>
      </c>
      <c r="CF713" s="37">
        <v>0</v>
      </c>
      <c r="CG713" s="59">
        <v>0</v>
      </c>
      <c r="CH713" s="37">
        <v>0</v>
      </c>
      <c r="CI713" s="37">
        <v>0</v>
      </c>
      <c r="CJ713" s="37">
        <v>0</v>
      </c>
      <c r="CK713" s="37">
        <v>0</v>
      </c>
      <c r="CL713" s="37">
        <v>0</v>
      </c>
      <c r="CM713" s="37">
        <v>0</v>
      </c>
      <c r="CN713" s="59">
        <v>0</v>
      </c>
      <c r="CO713" s="59">
        <v>0</v>
      </c>
      <c r="CP713" s="58"/>
      <c r="CQ713" s="3">
        <v>0</v>
      </c>
    </row>
    <row r="714" spans="1:95" customFormat="1" x14ac:dyDescent="0.2">
      <c r="A714" s="33">
        <v>0</v>
      </c>
      <c r="B714" s="33">
        <v>0</v>
      </c>
      <c r="C714" s="33">
        <v>0</v>
      </c>
      <c r="D714" s="43">
        <v>0</v>
      </c>
      <c r="E714" s="43">
        <v>0</v>
      </c>
      <c r="F714" s="43">
        <v>0</v>
      </c>
      <c r="G714" s="43">
        <v>0</v>
      </c>
      <c r="H714" s="43">
        <v>0</v>
      </c>
      <c r="I714" s="43">
        <v>0</v>
      </c>
      <c r="J714" s="43">
        <v>0</v>
      </c>
      <c r="K714" s="43">
        <v>0</v>
      </c>
      <c r="L714" s="43">
        <v>0</v>
      </c>
      <c r="M714" s="43">
        <v>0</v>
      </c>
      <c r="N714" s="43">
        <v>0</v>
      </c>
      <c r="O714" s="43">
        <v>0</v>
      </c>
      <c r="P714" s="47">
        <v>0</v>
      </c>
      <c r="R714" s="37">
        <v>0</v>
      </c>
      <c r="S714" s="37">
        <v>0</v>
      </c>
      <c r="T714" s="37">
        <v>0</v>
      </c>
      <c r="U714" s="37">
        <v>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7">
        <v>0</v>
      </c>
      <c r="AB714" s="37">
        <v>0</v>
      </c>
      <c r="AC714" s="37">
        <v>0</v>
      </c>
      <c r="AD714" s="37">
        <v>0</v>
      </c>
      <c r="AE714" s="37">
        <v>0</v>
      </c>
      <c r="AF714" s="37">
        <v>0</v>
      </c>
      <c r="AG714" s="59">
        <v>0</v>
      </c>
      <c r="AH714" s="37">
        <v>0</v>
      </c>
      <c r="AI714" s="37">
        <v>0</v>
      </c>
      <c r="AJ714" s="37">
        <v>0</v>
      </c>
      <c r="AK714" s="37">
        <v>0</v>
      </c>
      <c r="AL714" s="37">
        <v>0</v>
      </c>
      <c r="AM714" s="37">
        <v>0</v>
      </c>
      <c r="AN714" s="37">
        <v>0</v>
      </c>
      <c r="AO714" s="37">
        <v>0</v>
      </c>
      <c r="AP714" s="37">
        <v>0</v>
      </c>
      <c r="AQ714" s="37">
        <v>0</v>
      </c>
      <c r="AR714" s="37">
        <v>0</v>
      </c>
      <c r="AS714" s="59">
        <v>0</v>
      </c>
      <c r="AT714" s="59">
        <v>0</v>
      </c>
      <c r="AU714" s="45"/>
      <c r="AV714" s="37">
        <v>0</v>
      </c>
      <c r="AW714" s="37">
        <v>0</v>
      </c>
      <c r="AX714" s="37">
        <v>0</v>
      </c>
      <c r="AY714" s="37">
        <v>0</v>
      </c>
      <c r="AZ714" s="37">
        <v>0</v>
      </c>
      <c r="BA714" s="37">
        <v>0</v>
      </c>
      <c r="BB714" s="37">
        <v>0</v>
      </c>
      <c r="BC714" s="37">
        <v>0</v>
      </c>
      <c r="BD714" s="37">
        <v>0</v>
      </c>
      <c r="BE714" s="37">
        <v>0</v>
      </c>
      <c r="BF714" s="37">
        <v>0</v>
      </c>
      <c r="BG714" s="37">
        <v>0</v>
      </c>
      <c r="BH714" s="37">
        <v>0</v>
      </c>
      <c r="BI714" s="37">
        <v>0</v>
      </c>
      <c r="BJ714" s="37">
        <v>0</v>
      </c>
      <c r="BK714" s="59">
        <v>0</v>
      </c>
      <c r="BL714" s="37">
        <v>0</v>
      </c>
      <c r="BM714" s="37">
        <v>0</v>
      </c>
      <c r="BN714" s="37">
        <v>0</v>
      </c>
      <c r="BO714" s="37">
        <v>0</v>
      </c>
      <c r="BP714" s="37">
        <v>0</v>
      </c>
      <c r="BQ714" s="37">
        <v>0</v>
      </c>
      <c r="BR714" s="37">
        <v>0</v>
      </c>
      <c r="BS714" s="37">
        <v>0</v>
      </c>
      <c r="BT714" s="37">
        <v>0</v>
      </c>
      <c r="BU714" s="37">
        <v>0</v>
      </c>
      <c r="BV714" s="37">
        <v>0</v>
      </c>
      <c r="BW714" s="59">
        <v>0</v>
      </c>
      <c r="BX714" s="59">
        <v>0</v>
      </c>
      <c r="BZ714" s="37">
        <v>0</v>
      </c>
      <c r="CA714" s="37">
        <v>0</v>
      </c>
      <c r="CB714" s="37">
        <v>0</v>
      </c>
      <c r="CC714" s="37">
        <v>0</v>
      </c>
      <c r="CD714" s="37">
        <v>0</v>
      </c>
      <c r="CE714" s="37">
        <v>0</v>
      </c>
      <c r="CF714" s="37">
        <v>0</v>
      </c>
      <c r="CG714" s="59">
        <v>0</v>
      </c>
      <c r="CH714" s="37">
        <v>0</v>
      </c>
      <c r="CI714" s="37">
        <v>0</v>
      </c>
      <c r="CJ714" s="37">
        <v>0</v>
      </c>
      <c r="CK714" s="37">
        <v>0</v>
      </c>
      <c r="CL714" s="37">
        <v>0</v>
      </c>
      <c r="CM714" s="37">
        <v>0</v>
      </c>
      <c r="CN714" s="59">
        <v>0</v>
      </c>
      <c r="CO714" s="59">
        <v>0</v>
      </c>
      <c r="CP714" s="58"/>
      <c r="CQ714" s="3">
        <v>0</v>
      </c>
    </row>
    <row r="715" spans="1:95" customFormat="1" x14ac:dyDescent="0.2">
      <c r="A715" s="33">
        <v>0</v>
      </c>
      <c r="B715" s="33">
        <v>0</v>
      </c>
      <c r="C715" s="33">
        <v>0</v>
      </c>
      <c r="D715" s="43">
        <v>0</v>
      </c>
      <c r="E715" s="43">
        <v>0</v>
      </c>
      <c r="F715" s="43">
        <v>0</v>
      </c>
      <c r="G715" s="43">
        <v>0</v>
      </c>
      <c r="H715" s="43">
        <v>0</v>
      </c>
      <c r="I715" s="43">
        <v>0</v>
      </c>
      <c r="J715" s="43">
        <v>0</v>
      </c>
      <c r="K715" s="43">
        <v>0</v>
      </c>
      <c r="L715" s="43">
        <v>0</v>
      </c>
      <c r="M715" s="43">
        <v>0</v>
      </c>
      <c r="N715" s="43">
        <v>0</v>
      </c>
      <c r="O715" s="43">
        <v>0</v>
      </c>
      <c r="P715" s="47">
        <v>0</v>
      </c>
      <c r="R715" s="37">
        <v>0</v>
      </c>
      <c r="S715" s="37">
        <v>0</v>
      </c>
      <c r="T715" s="37">
        <v>0</v>
      </c>
      <c r="U715" s="37">
        <v>0</v>
      </c>
      <c r="V715" s="37">
        <v>0</v>
      </c>
      <c r="W715" s="37">
        <v>0</v>
      </c>
      <c r="X715" s="37">
        <v>0</v>
      </c>
      <c r="Y715" s="37">
        <v>0</v>
      </c>
      <c r="Z715" s="37">
        <v>0</v>
      </c>
      <c r="AA715" s="37">
        <v>0</v>
      </c>
      <c r="AB715" s="37">
        <v>0</v>
      </c>
      <c r="AC715" s="37">
        <v>0</v>
      </c>
      <c r="AD715" s="37">
        <v>0</v>
      </c>
      <c r="AE715" s="37">
        <v>0</v>
      </c>
      <c r="AF715" s="37">
        <v>0</v>
      </c>
      <c r="AG715" s="59">
        <v>0</v>
      </c>
      <c r="AH715" s="37">
        <v>0</v>
      </c>
      <c r="AI715" s="37">
        <v>0</v>
      </c>
      <c r="AJ715" s="37">
        <v>0</v>
      </c>
      <c r="AK715" s="37">
        <v>0</v>
      </c>
      <c r="AL715" s="37">
        <v>0</v>
      </c>
      <c r="AM715" s="37">
        <v>0</v>
      </c>
      <c r="AN715" s="37">
        <v>0</v>
      </c>
      <c r="AO715" s="37">
        <v>0</v>
      </c>
      <c r="AP715" s="37">
        <v>0</v>
      </c>
      <c r="AQ715" s="37">
        <v>0</v>
      </c>
      <c r="AR715" s="37">
        <v>0</v>
      </c>
      <c r="AS715" s="59">
        <v>0</v>
      </c>
      <c r="AT715" s="59">
        <v>0</v>
      </c>
      <c r="AU715" s="45"/>
      <c r="AV715" s="37">
        <v>0</v>
      </c>
      <c r="AW715" s="37">
        <v>0</v>
      </c>
      <c r="AX715" s="37">
        <v>0</v>
      </c>
      <c r="AY715" s="37">
        <v>0</v>
      </c>
      <c r="AZ715" s="37">
        <v>0</v>
      </c>
      <c r="BA715" s="37">
        <v>0</v>
      </c>
      <c r="BB715" s="37">
        <v>0</v>
      </c>
      <c r="BC715" s="37">
        <v>0</v>
      </c>
      <c r="BD715" s="37">
        <v>0</v>
      </c>
      <c r="BE715" s="37">
        <v>0</v>
      </c>
      <c r="BF715" s="37">
        <v>0</v>
      </c>
      <c r="BG715" s="37">
        <v>0</v>
      </c>
      <c r="BH715" s="37">
        <v>0</v>
      </c>
      <c r="BI715" s="37">
        <v>0</v>
      </c>
      <c r="BJ715" s="37">
        <v>0</v>
      </c>
      <c r="BK715" s="59">
        <v>0</v>
      </c>
      <c r="BL715" s="37">
        <v>0</v>
      </c>
      <c r="BM715" s="37">
        <v>0</v>
      </c>
      <c r="BN715" s="37">
        <v>0</v>
      </c>
      <c r="BO715" s="37">
        <v>0</v>
      </c>
      <c r="BP715" s="37">
        <v>0</v>
      </c>
      <c r="BQ715" s="37">
        <v>0</v>
      </c>
      <c r="BR715" s="37">
        <v>0</v>
      </c>
      <c r="BS715" s="37">
        <v>0</v>
      </c>
      <c r="BT715" s="37">
        <v>0</v>
      </c>
      <c r="BU715" s="37">
        <v>0</v>
      </c>
      <c r="BV715" s="37">
        <v>0</v>
      </c>
      <c r="BW715" s="59">
        <v>0</v>
      </c>
      <c r="BX715" s="59">
        <v>0</v>
      </c>
      <c r="BZ715" s="37">
        <v>0</v>
      </c>
      <c r="CA715" s="37">
        <v>0</v>
      </c>
      <c r="CB715" s="37">
        <v>0</v>
      </c>
      <c r="CC715" s="37">
        <v>0</v>
      </c>
      <c r="CD715" s="37">
        <v>0</v>
      </c>
      <c r="CE715" s="37">
        <v>0</v>
      </c>
      <c r="CF715" s="37">
        <v>0</v>
      </c>
      <c r="CG715" s="59">
        <v>0</v>
      </c>
      <c r="CH715" s="37">
        <v>0</v>
      </c>
      <c r="CI715" s="37">
        <v>0</v>
      </c>
      <c r="CJ715" s="37">
        <v>0</v>
      </c>
      <c r="CK715" s="37">
        <v>0</v>
      </c>
      <c r="CL715" s="37">
        <v>0</v>
      </c>
      <c r="CM715" s="37">
        <v>0</v>
      </c>
      <c r="CN715" s="59">
        <v>0</v>
      </c>
      <c r="CO715" s="59">
        <v>0</v>
      </c>
      <c r="CP715" s="58"/>
      <c r="CQ715" s="3">
        <v>0</v>
      </c>
    </row>
    <row r="716" spans="1:95" customFormat="1" x14ac:dyDescent="0.2">
      <c r="A716" s="33">
        <v>0</v>
      </c>
      <c r="B716" s="33">
        <v>0</v>
      </c>
      <c r="C716" s="33">
        <v>0</v>
      </c>
      <c r="D716" s="43">
        <v>0</v>
      </c>
      <c r="E716" s="43">
        <v>0</v>
      </c>
      <c r="F716" s="43">
        <v>0</v>
      </c>
      <c r="G716" s="43">
        <v>0</v>
      </c>
      <c r="H716" s="43">
        <v>0</v>
      </c>
      <c r="I716" s="43">
        <v>0</v>
      </c>
      <c r="J716" s="43">
        <v>0</v>
      </c>
      <c r="K716" s="43">
        <v>0</v>
      </c>
      <c r="L716" s="43">
        <v>0</v>
      </c>
      <c r="M716" s="43">
        <v>0</v>
      </c>
      <c r="N716" s="43">
        <v>0</v>
      </c>
      <c r="O716" s="43">
        <v>0</v>
      </c>
      <c r="P716" s="47">
        <v>0</v>
      </c>
      <c r="R716" s="37">
        <v>0</v>
      </c>
      <c r="S716" s="37">
        <v>0</v>
      </c>
      <c r="T716" s="37">
        <v>0</v>
      </c>
      <c r="U716" s="37">
        <v>0</v>
      </c>
      <c r="V716" s="37">
        <v>0</v>
      </c>
      <c r="W716" s="37">
        <v>0</v>
      </c>
      <c r="X716" s="37">
        <v>0</v>
      </c>
      <c r="Y716" s="37">
        <v>0</v>
      </c>
      <c r="Z716" s="37">
        <v>0</v>
      </c>
      <c r="AA716" s="37">
        <v>0</v>
      </c>
      <c r="AB716" s="37">
        <v>0</v>
      </c>
      <c r="AC716" s="37">
        <v>0</v>
      </c>
      <c r="AD716" s="37">
        <v>0</v>
      </c>
      <c r="AE716" s="37">
        <v>0</v>
      </c>
      <c r="AF716" s="37">
        <v>0</v>
      </c>
      <c r="AG716" s="59">
        <v>0</v>
      </c>
      <c r="AH716" s="37">
        <v>0</v>
      </c>
      <c r="AI716" s="37">
        <v>0</v>
      </c>
      <c r="AJ716" s="37">
        <v>0</v>
      </c>
      <c r="AK716" s="37">
        <v>0</v>
      </c>
      <c r="AL716" s="37">
        <v>0</v>
      </c>
      <c r="AM716" s="37">
        <v>0</v>
      </c>
      <c r="AN716" s="37">
        <v>0</v>
      </c>
      <c r="AO716" s="37">
        <v>0</v>
      </c>
      <c r="AP716" s="37">
        <v>0</v>
      </c>
      <c r="AQ716" s="37">
        <v>0</v>
      </c>
      <c r="AR716" s="37">
        <v>0</v>
      </c>
      <c r="AS716" s="59">
        <v>0</v>
      </c>
      <c r="AT716" s="59">
        <v>0</v>
      </c>
      <c r="AU716" s="45"/>
      <c r="AV716" s="37">
        <v>0</v>
      </c>
      <c r="AW716" s="37">
        <v>0</v>
      </c>
      <c r="AX716" s="37">
        <v>0</v>
      </c>
      <c r="AY716" s="37">
        <v>0</v>
      </c>
      <c r="AZ716" s="37">
        <v>0</v>
      </c>
      <c r="BA716" s="37">
        <v>0</v>
      </c>
      <c r="BB716" s="37">
        <v>0</v>
      </c>
      <c r="BC716" s="37">
        <v>0</v>
      </c>
      <c r="BD716" s="37">
        <v>0</v>
      </c>
      <c r="BE716" s="37">
        <v>0</v>
      </c>
      <c r="BF716" s="37">
        <v>0</v>
      </c>
      <c r="BG716" s="37">
        <v>0</v>
      </c>
      <c r="BH716" s="37">
        <v>0</v>
      </c>
      <c r="BI716" s="37">
        <v>0</v>
      </c>
      <c r="BJ716" s="37">
        <v>0</v>
      </c>
      <c r="BK716" s="59">
        <v>0</v>
      </c>
      <c r="BL716" s="37">
        <v>0</v>
      </c>
      <c r="BM716" s="37">
        <v>0</v>
      </c>
      <c r="BN716" s="37">
        <v>0</v>
      </c>
      <c r="BO716" s="37">
        <v>0</v>
      </c>
      <c r="BP716" s="37">
        <v>0</v>
      </c>
      <c r="BQ716" s="37">
        <v>0</v>
      </c>
      <c r="BR716" s="37">
        <v>0</v>
      </c>
      <c r="BS716" s="37">
        <v>0</v>
      </c>
      <c r="BT716" s="37">
        <v>0</v>
      </c>
      <c r="BU716" s="37">
        <v>0</v>
      </c>
      <c r="BV716" s="37">
        <v>0</v>
      </c>
      <c r="BW716" s="59">
        <v>0</v>
      </c>
      <c r="BX716" s="59">
        <v>0</v>
      </c>
      <c r="BZ716" s="37">
        <v>0</v>
      </c>
      <c r="CA716" s="37">
        <v>0</v>
      </c>
      <c r="CB716" s="37">
        <v>0</v>
      </c>
      <c r="CC716" s="37">
        <v>0</v>
      </c>
      <c r="CD716" s="37">
        <v>0</v>
      </c>
      <c r="CE716" s="37">
        <v>0</v>
      </c>
      <c r="CF716" s="37">
        <v>0</v>
      </c>
      <c r="CG716" s="59">
        <v>0</v>
      </c>
      <c r="CH716" s="37">
        <v>0</v>
      </c>
      <c r="CI716" s="37">
        <v>0</v>
      </c>
      <c r="CJ716" s="37">
        <v>0</v>
      </c>
      <c r="CK716" s="37">
        <v>0</v>
      </c>
      <c r="CL716" s="37">
        <v>0</v>
      </c>
      <c r="CM716" s="37">
        <v>0</v>
      </c>
      <c r="CN716" s="59">
        <v>0</v>
      </c>
      <c r="CO716" s="59">
        <v>0</v>
      </c>
      <c r="CP716" s="58"/>
      <c r="CQ716" s="3">
        <v>0</v>
      </c>
    </row>
    <row r="717" spans="1:95" customFormat="1" x14ac:dyDescent="0.2">
      <c r="A717" s="33">
        <v>0</v>
      </c>
      <c r="B717" s="33">
        <v>0</v>
      </c>
      <c r="C717" s="33">
        <v>0</v>
      </c>
      <c r="D717" s="43">
        <v>0</v>
      </c>
      <c r="E717" s="43">
        <v>0</v>
      </c>
      <c r="F717" s="43">
        <v>0</v>
      </c>
      <c r="G717" s="43">
        <v>0</v>
      </c>
      <c r="H717" s="43">
        <v>0</v>
      </c>
      <c r="I717" s="43">
        <v>0</v>
      </c>
      <c r="J717" s="43">
        <v>0</v>
      </c>
      <c r="K717" s="43">
        <v>0</v>
      </c>
      <c r="L717" s="43">
        <v>0</v>
      </c>
      <c r="M717" s="43">
        <v>0</v>
      </c>
      <c r="N717" s="43">
        <v>0</v>
      </c>
      <c r="O717" s="43">
        <v>0</v>
      </c>
      <c r="P717" s="47">
        <v>0</v>
      </c>
      <c r="R717" s="37">
        <v>0</v>
      </c>
      <c r="S717" s="37">
        <v>0</v>
      </c>
      <c r="T717" s="37">
        <v>0</v>
      </c>
      <c r="U717" s="37">
        <v>0</v>
      </c>
      <c r="V717" s="37">
        <v>0</v>
      </c>
      <c r="W717" s="37">
        <v>0</v>
      </c>
      <c r="X717" s="37">
        <v>0</v>
      </c>
      <c r="Y717" s="37">
        <v>0</v>
      </c>
      <c r="Z717" s="37">
        <v>0</v>
      </c>
      <c r="AA717" s="37">
        <v>0</v>
      </c>
      <c r="AB717" s="37">
        <v>0</v>
      </c>
      <c r="AC717" s="37">
        <v>0</v>
      </c>
      <c r="AD717" s="37">
        <v>0</v>
      </c>
      <c r="AE717" s="37">
        <v>0</v>
      </c>
      <c r="AF717" s="37">
        <v>0</v>
      </c>
      <c r="AG717" s="59">
        <v>0</v>
      </c>
      <c r="AH717" s="37">
        <v>0</v>
      </c>
      <c r="AI717" s="37">
        <v>0</v>
      </c>
      <c r="AJ717" s="37">
        <v>0</v>
      </c>
      <c r="AK717" s="37">
        <v>0</v>
      </c>
      <c r="AL717" s="37">
        <v>0</v>
      </c>
      <c r="AM717" s="37">
        <v>0</v>
      </c>
      <c r="AN717" s="37">
        <v>0</v>
      </c>
      <c r="AO717" s="37">
        <v>0</v>
      </c>
      <c r="AP717" s="37">
        <v>0</v>
      </c>
      <c r="AQ717" s="37">
        <v>0</v>
      </c>
      <c r="AR717" s="37">
        <v>0</v>
      </c>
      <c r="AS717" s="59">
        <v>0</v>
      </c>
      <c r="AT717" s="59">
        <v>0</v>
      </c>
      <c r="AU717" s="45"/>
      <c r="AV717" s="37">
        <v>0</v>
      </c>
      <c r="AW717" s="37">
        <v>0</v>
      </c>
      <c r="AX717" s="37">
        <v>0</v>
      </c>
      <c r="AY717" s="37">
        <v>0</v>
      </c>
      <c r="AZ717" s="37">
        <v>0</v>
      </c>
      <c r="BA717" s="37">
        <v>0</v>
      </c>
      <c r="BB717" s="37">
        <v>0</v>
      </c>
      <c r="BC717" s="37">
        <v>0</v>
      </c>
      <c r="BD717" s="37">
        <v>0</v>
      </c>
      <c r="BE717" s="37">
        <v>0</v>
      </c>
      <c r="BF717" s="37">
        <v>0</v>
      </c>
      <c r="BG717" s="37">
        <v>0</v>
      </c>
      <c r="BH717" s="37">
        <v>0</v>
      </c>
      <c r="BI717" s="37">
        <v>0</v>
      </c>
      <c r="BJ717" s="37">
        <v>0</v>
      </c>
      <c r="BK717" s="59">
        <v>0</v>
      </c>
      <c r="BL717" s="37">
        <v>0</v>
      </c>
      <c r="BM717" s="37">
        <v>0</v>
      </c>
      <c r="BN717" s="37">
        <v>0</v>
      </c>
      <c r="BO717" s="37">
        <v>0</v>
      </c>
      <c r="BP717" s="37">
        <v>0</v>
      </c>
      <c r="BQ717" s="37">
        <v>0</v>
      </c>
      <c r="BR717" s="37">
        <v>0</v>
      </c>
      <c r="BS717" s="37">
        <v>0</v>
      </c>
      <c r="BT717" s="37">
        <v>0</v>
      </c>
      <c r="BU717" s="37">
        <v>0</v>
      </c>
      <c r="BV717" s="37">
        <v>0</v>
      </c>
      <c r="BW717" s="59">
        <v>0</v>
      </c>
      <c r="BX717" s="59">
        <v>0</v>
      </c>
      <c r="BZ717" s="37">
        <v>0</v>
      </c>
      <c r="CA717" s="37">
        <v>0</v>
      </c>
      <c r="CB717" s="37">
        <v>0</v>
      </c>
      <c r="CC717" s="37">
        <v>0</v>
      </c>
      <c r="CD717" s="37">
        <v>0</v>
      </c>
      <c r="CE717" s="37">
        <v>0</v>
      </c>
      <c r="CF717" s="37">
        <v>0</v>
      </c>
      <c r="CG717" s="59">
        <v>0</v>
      </c>
      <c r="CH717" s="37">
        <v>0</v>
      </c>
      <c r="CI717" s="37">
        <v>0</v>
      </c>
      <c r="CJ717" s="37">
        <v>0</v>
      </c>
      <c r="CK717" s="37">
        <v>0</v>
      </c>
      <c r="CL717" s="37">
        <v>0</v>
      </c>
      <c r="CM717" s="37">
        <v>0</v>
      </c>
      <c r="CN717" s="59">
        <v>0</v>
      </c>
      <c r="CO717" s="59">
        <v>0</v>
      </c>
      <c r="CP717" s="58"/>
      <c r="CQ717" s="3">
        <v>0</v>
      </c>
    </row>
    <row r="718" spans="1:95" customFormat="1" x14ac:dyDescent="0.2">
      <c r="A718" s="33">
        <v>0</v>
      </c>
      <c r="B718" s="33">
        <v>0</v>
      </c>
      <c r="C718" s="33">
        <v>0</v>
      </c>
      <c r="D718" s="43">
        <v>0</v>
      </c>
      <c r="E718" s="43">
        <v>0</v>
      </c>
      <c r="F718" s="43">
        <v>0</v>
      </c>
      <c r="G718" s="43">
        <v>0</v>
      </c>
      <c r="H718" s="43">
        <v>0</v>
      </c>
      <c r="I718" s="43">
        <v>0</v>
      </c>
      <c r="J718" s="43">
        <v>0</v>
      </c>
      <c r="K718" s="43">
        <v>0</v>
      </c>
      <c r="L718" s="43">
        <v>0</v>
      </c>
      <c r="M718" s="43">
        <v>0</v>
      </c>
      <c r="N718" s="43">
        <v>0</v>
      </c>
      <c r="O718" s="43">
        <v>0</v>
      </c>
      <c r="P718" s="47">
        <v>0</v>
      </c>
      <c r="R718" s="37">
        <v>0</v>
      </c>
      <c r="S718" s="37">
        <v>0</v>
      </c>
      <c r="T718" s="37">
        <v>0</v>
      </c>
      <c r="U718" s="37">
        <v>0</v>
      </c>
      <c r="V718" s="37">
        <v>0</v>
      </c>
      <c r="W718" s="37">
        <v>0</v>
      </c>
      <c r="X718" s="37">
        <v>0</v>
      </c>
      <c r="Y718" s="37">
        <v>0</v>
      </c>
      <c r="Z718" s="37">
        <v>0</v>
      </c>
      <c r="AA718" s="37">
        <v>0</v>
      </c>
      <c r="AB718" s="37">
        <v>0</v>
      </c>
      <c r="AC718" s="37">
        <v>0</v>
      </c>
      <c r="AD718" s="37">
        <v>0</v>
      </c>
      <c r="AE718" s="37">
        <v>0</v>
      </c>
      <c r="AF718" s="37">
        <v>0</v>
      </c>
      <c r="AG718" s="59">
        <v>0</v>
      </c>
      <c r="AH718" s="37">
        <v>0</v>
      </c>
      <c r="AI718" s="37">
        <v>0</v>
      </c>
      <c r="AJ718" s="37">
        <v>0</v>
      </c>
      <c r="AK718" s="37">
        <v>0</v>
      </c>
      <c r="AL718" s="37">
        <v>0</v>
      </c>
      <c r="AM718" s="37">
        <v>0</v>
      </c>
      <c r="AN718" s="37">
        <v>0</v>
      </c>
      <c r="AO718" s="37">
        <v>0</v>
      </c>
      <c r="AP718" s="37">
        <v>0</v>
      </c>
      <c r="AQ718" s="37">
        <v>0</v>
      </c>
      <c r="AR718" s="37">
        <v>0</v>
      </c>
      <c r="AS718" s="59">
        <v>0</v>
      </c>
      <c r="AT718" s="59">
        <v>0</v>
      </c>
      <c r="AU718" s="45"/>
      <c r="AV718" s="37">
        <v>0</v>
      </c>
      <c r="AW718" s="37">
        <v>0</v>
      </c>
      <c r="AX718" s="37">
        <v>0</v>
      </c>
      <c r="AY718" s="37">
        <v>0</v>
      </c>
      <c r="AZ718" s="37">
        <v>0</v>
      </c>
      <c r="BA718" s="37">
        <v>0</v>
      </c>
      <c r="BB718" s="37">
        <v>0</v>
      </c>
      <c r="BC718" s="37">
        <v>0</v>
      </c>
      <c r="BD718" s="37">
        <v>0</v>
      </c>
      <c r="BE718" s="37">
        <v>0</v>
      </c>
      <c r="BF718" s="37">
        <v>0</v>
      </c>
      <c r="BG718" s="37">
        <v>0</v>
      </c>
      <c r="BH718" s="37">
        <v>0</v>
      </c>
      <c r="BI718" s="37">
        <v>0</v>
      </c>
      <c r="BJ718" s="37">
        <v>0</v>
      </c>
      <c r="BK718" s="59">
        <v>0</v>
      </c>
      <c r="BL718" s="37">
        <v>0</v>
      </c>
      <c r="BM718" s="37">
        <v>0</v>
      </c>
      <c r="BN718" s="37">
        <v>0</v>
      </c>
      <c r="BO718" s="37">
        <v>0</v>
      </c>
      <c r="BP718" s="37">
        <v>0</v>
      </c>
      <c r="BQ718" s="37">
        <v>0</v>
      </c>
      <c r="BR718" s="37">
        <v>0</v>
      </c>
      <c r="BS718" s="37">
        <v>0</v>
      </c>
      <c r="BT718" s="37">
        <v>0</v>
      </c>
      <c r="BU718" s="37">
        <v>0</v>
      </c>
      <c r="BV718" s="37">
        <v>0</v>
      </c>
      <c r="BW718" s="59">
        <v>0</v>
      </c>
      <c r="BX718" s="59">
        <v>0</v>
      </c>
      <c r="BZ718" s="37">
        <v>0</v>
      </c>
      <c r="CA718" s="37">
        <v>0</v>
      </c>
      <c r="CB718" s="37">
        <v>0</v>
      </c>
      <c r="CC718" s="37">
        <v>0</v>
      </c>
      <c r="CD718" s="37">
        <v>0</v>
      </c>
      <c r="CE718" s="37">
        <v>0</v>
      </c>
      <c r="CF718" s="37">
        <v>0</v>
      </c>
      <c r="CG718" s="59">
        <v>0</v>
      </c>
      <c r="CH718" s="37">
        <v>0</v>
      </c>
      <c r="CI718" s="37">
        <v>0</v>
      </c>
      <c r="CJ718" s="37">
        <v>0</v>
      </c>
      <c r="CK718" s="37">
        <v>0</v>
      </c>
      <c r="CL718" s="37">
        <v>0</v>
      </c>
      <c r="CM718" s="37">
        <v>0</v>
      </c>
      <c r="CN718" s="59">
        <v>0</v>
      </c>
      <c r="CO718" s="59">
        <v>0</v>
      </c>
      <c r="CP718" s="58"/>
      <c r="CQ718" s="3">
        <v>0</v>
      </c>
    </row>
    <row r="719" spans="1:95" customFormat="1" x14ac:dyDescent="0.2">
      <c r="A719" s="33">
        <v>0</v>
      </c>
      <c r="B719" s="33">
        <v>0</v>
      </c>
      <c r="C719" s="33">
        <v>0</v>
      </c>
      <c r="D719" s="43">
        <v>0</v>
      </c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0</v>
      </c>
      <c r="K719" s="43">
        <v>0</v>
      </c>
      <c r="L719" s="43">
        <v>0</v>
      </c>
      <c r="M719" s="43">
        <v>0</v>
      </c>
      <c r="N719" s="43">
        <v>0</v>
      </c>
      <c r="O719" s="43">
        <v>0</v>
      </c>
      <c r="P719" s="47">
        <v>0</v>
      </c>
      <c r="R719" s="37">
        <v>0</v>
      </c>
      <c r="S719" s="37">
        <v>0</v>
      </c>
      <c r="T719" s="37">
        <v>0</v>
      </c>
      <c r="U719" s="37">
        <v>0</v>
      </c>
      <c r="V719" s="37">
        <v>0</v>
      </c>
      <c r="W719" s="37">
        <v>0</v>
      </c>
      <c r="X719" s="37">
        <v>0</v>
      </c>
      <c r="Y719" s="37">
        <v>0</v>
      </c>
      <c r="Z719" s="37">
        <v>0</v>
      </c>
      <c r="AA719" s="37">
        <v>0</v>
      </c>
      <c r="AB719" s="37">
        <v>0</v>
      </c>
      <c r="AC719" s="37">
        <v>0</v>
      </c>
      <c r="AD719" s="37">
        <v>0</v>
      </c>
      <c r="AE719" s="37">
        <v>0</v>
      </c>
      <c r="AF719" s="37">
        <v>0</v>
      </c>
      <c r="AG719" s="59">
        <v>0</v>
      </c>
      <c r="AH719" s="37">
        <v>0</v>
      </c>
      <c r="AI719" s="37">
        <v>0</v>
      </c>
      <c r="AJ719" s="37">
        <v>0</v>
      </c>
      <c r="AK719" s="37">
        <v>0</v>
      </c>
      <c r="AL719" s="37">
        <v>0</v>
      </c>
      <c r="AM719" s="37">
        <v>0</v>
      </c>
      <c r="AN719" s="37">
        <v>0</v>
      </c>
      <c r="AO719" s="37">
        <v>0</v>
      </c>
      <c r="AP719" s="37">
        <v>0</v>
      </c>
      <c r="AQ719" s="37">
        <v>0</v>
      </c>
      <c r="AR719" s="37">
        <v>0</v>
      </c>
      <c r="AS719" s="59">
        <v>0</v>
      </c>
      <c r="AT719" s="59">
        <v>0</v>
      </c>
      <c r="AU719" s="45"/>
      <c r="AV719" s="37">
        <v>0</v>
      </c>
      <c r="AW719" s="37">
        <v>0</v>
      </c>
      <c r="AX719" s="37">
        <v>0</v>
      </c>
      <c r="AY719" s="37">
        <v>0</v>
      </c>
      <c r="AZ719" s="37">
        <v>0</v>
      </c>
      <c r="BA719" s="37">
        <v>0</v>
      </c>
      <c r="BB719" s="37">
        <v>0</v>
      </c>
      <c r="BC719" s="37">
        <v>0</v>
      </c>
      <c r="BD719" s="37">
        <v>0</v>
      </c>
      <c r="BE719" s="37">
        <v>0</v>
      </c>
      <c r="BF719" s="37">
        <v>0</v>
      </c>
      <c r="BG719" s="37">
        <v>0</v>
      </c>
      <c r="BH719" s="37">
        <v>0</v>
      </c>
      <c r="BI719" s="37">
        <v>0</v>
      </c>
      <c r="BJ719" s="37">
        <v>0</v>
      </c>
      <c r="BK719" s="59">
        <v>0</v>
      </c>
      <c r="BL719" s="37">
        <v>0</v>
      </c>
      <c r="BM719" s="37">
        <v>0</v>
      </c>
      <c r="BN719" s="37">
        <v>0</v>
      </c>
      <c r="BO719" s="37">
        <v>0</v>
      </c>
      <c r="BP719" s="37">
        <v>0</v>
      </c>
      <c r="BQ719" s="37">
        <v>0</v>
      </c>
      <c r="BR719" s="37">
        <v>0</v>
      </c>
      <c r="BS719" s="37">
        <v>0</v>
      </c>
      <c r="BT719" s="37">
        <v>0</v>
      </c>
      <c r="BU719" s="37">
        <v>0</v>
      </c>
      <c r="BV719" s="37">
        <v>0</v>
      </c>
      <c r="BW719" s="59">
        <v>0</v>
      </c>
      <c r="BX719" s="59">
        <v>0</v>
      </c>
      <c r="BZ719" s="37">
        <v>0</v>
      </c>
      <c r="CA719" s="37">
        <v>0</v>
      </c>
      <c r="CB719" s="37">
        <v>0</v>
      </c>
      <c r="CC719" s="37">
        <v>0</v>
      </c>
      <c r="CD719" s="37">
        <v>0</v>
      </c>
      <c r="CE719" s="37">
        <v>0</v>
      </c>
      <c r="CF719" s="37">
        <v>0</v>
      </c>
      <c r="CG719" s="59">
        <v>0</v>
      </c>
      <c r="CH719" s="37">
        <v>0</v>
      </c>
      <c r="CI719" s="37">
        <v>0</v>
      </c>
      <c r="CJ719" s="37">
        <v>0</v>
      </c>
      <c r="CK719" s="37">
        <v>0</v>
      </c>
      <c r="CL719" s="37">
        <v>0</v>
      </c>
      <c r="CM719" s="37">
        <v>0</v>
      </c>
      <c r="CN719" s="59">
        <v>0</v>
      </c>
      <c r="CO719" s="59">
        <v>0</v>
      </c>
      <c r="CP719" s="58"/>
      <c r="CQ719" s="3">
        <v>0</v>
      </c>
    </row>
    <row r="720" spans="1:95" customFormat="1" x14ac:dyDescent="0.2">
      <c r="A720" s="33">
        <v>0</v>
      </c>
      <c r="B720" s="33">
        <v>0</v>
      </c>
      <c r="C720" s="33">
        <v>0</v>
      </c>
      <c r="D720" s="43">
        <v>0</v>
      </c>
      <c r="E720" s="43">
        <v>0</v>
      </c>
      <c r="F720" s="43">
        <v>0</v>
      </c>
      <c r="G720" s="43">
        <v>0</v>
      </c>
      <c r="H720" s="43">
        <v>0</v>
      </c>
      <c r="I720" s="43">
        <v>0</v>
      </c>
      <c r="J720" s="43">
        <v>0</v>
      </c>
      <c r="K720" s="43">
        <v>0</v>
      </c>
      <c r="L720" s="43">
        <v>0</v>
      </c>
      <c r="M720" s="43">
        <v>0</v>
      </c>
      <c r="N720" s="43">
        <v>0</v>
      </c>
      <c r="O720" s="43">
        <v>0</v>
      </c>
      <c r="P720" s="4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59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59">
        <v>0</v>
      </c>
      <c r="AT720" s="59">
        <v>0</v>
      </c>
      <c r="AU720" s="45"/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>
        <v>0</v>
      </c>
      <c r="BB720" s="37">
        <v>0</v>
      </c>
      <c r="BC720" s="37">
        <v>0</v>
      </c>
      <c r="BD720" s="37">
        <v>0</v>
      </c>
      <c r="BE720" s="37">
        <v>0</v>
      </c>
      <c r="BF720" s="37">
        <v>0</v>
      </c>
      <c r="BG720" s="37">
        <v>0</v>
      </c>
      <c r="BH720" s="37">
        <v>0</v>
      </c>
      <c r="BI720" s="37">
        <v>0</v>
      </c>
      <c r="BJ720" s="37">
        <v>0</v>
      </c>
      <c r="BK720" s="59">
        <v>0</v>
      </c>
      <c r="BL720" s="37">
        <v>0</v>
      </c>
      <c r="BM720" s="37">
        <v>0</v>
      </c>
      <c r="BN720" s="37">
        <v>0</v>
      </c>
      <c r="BO720" s="37">
        <v>0</v>
      </c>
      <c r="BP720" s="37">
        <v>0</v>
      </c>
      <c r="BQ720" s="37">
        <v>0</v>
      </c>
      <c r="BR720" s="37">
        <v>0</v>
      </c>
      <c r="BS720" s="37">
        <v>0</v>
      </c>
      <c r="BT720" s="37">
        <v>0</v>
      </c>
      <c r="BU720" s="37">
        <v>0</v>
      </c>
      <c r="BV720" s="37">
        <v>0</v>
      </c>
      <c r="BW720" s="59">
        <v>0</v>
      </c>
      <c r="BX720" s="59">
        <v>0</v>
      </c>
      <c r="BZ720" s="37">
        <v>0</v>
      </c>
      <c r="CA720" s="37">
        <v>0</v>
      </c>
      <c r="CB720" s="37">
        <v>0</v>
      </c>
      <c r="CC720" s="37">
        <v>0</v>
      </c>
      <c r="CD720" s="37">
        <v>0</v>
      </c>
      <c r="CE720" s="37">
        <v>0</v>
      </c>
      <c r="CF720" s="37">
        <v>0</v>
      </c>
      <c r="CG720" s="59">
        <v>0</v>
      </c>
      <c r="CH720" s="37">
        <v>0</v>
      </c>
      <c r="CI720" s="37">
        <v>0</v>
      </c>
      <c r="CJ720" s="37">
        <v>0</v>
      </c>
      <c r="CK720" s="37">
        <v>0</v>
      </c>
      <c r="CL720" s="37">
        <v>0</v>
      </c>
      <c r="CM720" s="37">
        <v>0</v>
      </c>
      <c r="CN720" s="59">
        <v>0</v>
      </c>
      <c r="CO720" s="59">
        <v>0</v>
      </c>
      <c r="CP720" s="58"/>
      <c r="CQ720" s="3">
        <v>0</v>
      </c>
    </row>
    <row r="721" spans="1:95" customFormat="1" x14ac:dyDescent="0.2">
      <c r="A721" s="33">
        <v>0</v>
      </c>
      <c r="B721" s="33">
        <v>0</v>
      </c>
      <c r="C721" s="33">
        <v>0</v>
      </c>
      <c r="D721" s="43">
        <v>0</v>
      </c>
      <c r="E721" s="43">
        <v>0</v>
      </c>
      <c r="F721" s="43">
        <v>0</v>
      </c>
      <c r="G721" s="43">
        <v>0</v>
      </c>
      <c r="H721" s="43">
        <v>0</v>
      </c>
      <c r="I721" s="43">
        <v>0</v>
      </c>
      <c r="J721" s="43">
        <v>0</v>
      </c>
      <c r="K721" s="43">
        <v>0</v>
      </c>
      <c r="L721" s="43">
        <v>0</v>
      </c>
      <c r="M721" s="43">
        <v>0</v>
      </c>
      <c r="N721" s="43">
        <v>0</v>
      </c>
      <c r="O721" s="43">
        <v>0</v>
      </c>
      <c r="P721" s="47">
        <v>0</v>
      </c>
      <c r="R721" s="37">
        <v>0</v>
      </c>
      <c r="S721" s="37">
        <v>0</v>
      </c>
      <c r="T721" s="37">
        <v>0</v>
      </c>
      <c r="U721" s="37">
        <v>0</v>
      </c>
      <c r="V721" s="37">
        <v>0</v>
      </c>
      <c r="W721" s="37">
        <v>0</v>
      </c>
      <c r="X721" s="37">
        <v>0</v>
      </c>
      <c r="Y721" s="37">
        <v>0</v>
      </c>
      <c r="Z721" s="37">
        <v>0</v>
      </c>
      <c r="AA721" s="37">
        <v>0</v>
      </c>
      <c r="AB721" s="37">
        <v>0</v>
      </c>
      <c r="AC721" s="37">
        <v>0</v>
      </c>
      <c r="AD721" s="37">
        <v>0</v>
      </c>
      <c r="AE721" s="37">
        <v>0</v>
      </c>
      <c r="AF721" s="37">
        <v>0</v>
      </c>
      <c r="AG721" s="59">
        <v>0</v>
      </c>
      <c r="AH721" s="37">
        <v>0</v>
      </c>
      <c r="AI721" s="37">
        <v>0</v>
      </c>
      <c r="AJ721" s="37">
        <v>0</v>
      </c>
      <c r="AK721" s="37">
        <v>0</v>
      </c>
      <c r="AL721" s="37">
        <v>0</v>
      </c>
      <c r="AM721" s="37">
        <v>0</v>
      </c>
      <c r="AN721" s="37">
        <v>0</v>
      </c>
      <c r="AO721" s="37">
        <v>0</v>
      </c>
      <c r="AP721" s="37">
        <v>0</v>
      </c>
      <c r="AQ721" s="37">
        <v>0</v>
      </c>
      <c r="AR721" s="37">
        <v>0</v>
      </c>
      <c r="AS721" s="59">
        <v>0</v>
      </c>
      <c r="AT721" s="59">
        <v>0</v>
      </c>
      <c r="AU721" s="45"/>
      <c r="AV721" s="37">
        <v>0</v>
      </c>
      <c r="AW721" s="37">
        <v>0</v>
      </c>
      <c r="AX721" s="37">
        <v>0</v>
      </c>
      <c r="AY721" s="37">
        <v>0</v>
      </c>
      <c r="AZ721" s="37">
        <v>0</v>
      </c>
      <c r="BA721" s="37">
        <v>0</v>
      </c>
      <c r="BB721" s="37">
        <v>0</v>
      </c>
      <c r="BC721" s="37">
        <v>0</v>
      </c>
      <c r="BD721" s="37">
        <v>0</v>
      </c>
      <c r="BE721" s="37">
        <v>0</v>
      </c>
      <c r="BF721" s="37">
        <v>0</v>
      </c>
      <c r="BG721" s="37">
        <v>0</v>
      </c>
      <c r="BH721" s="37">
        <v>0</v>
      </c>
      <c r="BI721" s="37">
        <v>0</v>
      </c>
      <c r="BJ721" s="37">
        <v>0</v>
      </c>
      <c r="BK721" s="59">
        <v>0</v>
      </c>
      <c r="BL721" s="37">
        <v>0</v>
      </c>
      <c r="BM721" s="37">
        <v>0</v>
      </c>
      <c r="BN721" s="37">
        <v>0</v>
      </c>
      <c r="BO721" s="37">
        <v>0</v>
      </c>
      <c r="BP721" s="37">
        <v>0</v>
      </c>
      <c r="BQ721" s="37">
        <v>0</v>
      </c>
      <c r="BR721" s="37">
        <v>0</v>
      </c>
      <c r="BS721" s="37">
        <v>0</v>
      </c>
      <c r="BT721" s="37">
        <v>0</v>
      </c>
      <c r="BU721" s="37">
        <v>0</v>
      </c>
      <c r="BV721" s="37">
        <v>0</v>
      </c>
      <c r="BW721" s="59">
        <v>0</v>
      </c>
      <c r="BX721" s="59">
        <v>0</v>
      </c>
      <c r="BZ721" s="37">
        <v>0</v>
      </c>
      <c r="CA721" s="37">
        <v>0</v>
      </c>
      <c r="CB721" s="37">
        <v>0</v>
      </c>
      <c r="CC721" s="37">
        <v>0</v>
      </c>
      <c r="CD721" s="37">
        <v>0</v>
      </c>
      <c r="CE721" s="37">
        <v>0</v>
      </c>
      <c r="CF721" s="37">
        <v>0</v>
      </c>
      <c r="CG721" s="59">
        <v>0</v>
      </c>
      <c r="CH721" s="37">
        <v>0</v>
      </c>
      <c r="CI721" s="37">
        <v>0</v>
      </c>
      <c r="CJ721" s="37">
        <v>0</v>
      </c>
      <c r="CK721" s="37">
        <v>0</v>
      </c>
      <c r="CL721" s="37">
        <v>0</v>
      </c>
      <c r="CM721" s="37">
        <v>0</v>
      </c>
      <c r="CN721" s="59">
        <v>0</v>
      </c>
      <c r="CO721" s="59">
        <v>0</v>
      </c>
      <c r="CP721" s="58"/>
      <c r="CQ721" s="3">
        <v>0</v>
      </c>
    </row>
    <row r="722" spans="1:95" customFormat="1" x14ac:dyDescent="0.2">
      <c r="A722" s="33">
        <v>0</v>
      </c>
      <c r="B722" s="33">
        <v>0</v>
      </c>
      <c r="C722" s="33">
        <v>0</v>
      </c>
      <c r="D722" s="43">
        <v>0</v>
      </c>
      <c r="E722" s="43">
        <v>0</v>
      </c>
      <c r="F722" s="43">
        <v>0</v>
      </c>
      <c r="G722" s="43">
        <v>0</v>
      </c>
      <c r="H722" s="43">
        <v>0</v>
      </c>
      <c r="I722" s="43">
        <v>0</v>
      </c>
      <c r="J722" s="43">
        <v>0</v>
      </c>
      <c r="K722" s="43">
        <v>0</v>
      </c>
      <c r="L722" s="43">
        <v>0</v>
      </c>
      <c r="M722" s="43">
        <v>0</v>
      </c>
      <c r="N722" s="43">
        <v>0</v>
      </c>
      <c r="O722" s="43">
        <v>0</v>
      </c>
      <c r="P722" s="47">
        <v>0</v>
      </c>
      <c r="R722" s="37">
        <v>0</v>
      </c>
      <c r="S722" s="37">
        <v>0</v>
      </c>
      <c r="T722" s="37">
        <v>0</v>
      </c>
      <c r="U722" s="37">
        <v>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7">
        <v>0</v>
      </c>
      <c r="AB722" s="37">
        <v>0</v>
      </c>
      <c r="AC722" s="37">
        <v>0</v>
      </c>
      <c r="AD722" s="37">
        <v>0</v>
      </c>
      <c r="AE722" s="37">
        <v>0</v>
      </c>
      <c r="AF722" s="37">
        <v>0</v>
      </c>
      <c r="AG722" s="59">
        <v>0</v>
      </c>
      <c r="AH722" s="37">
        <v>0</v>
      </c>
      <c r="AI722" s="37">
        <v>0</v>
      </c>
      <c r="AJ722" s="37">
        <v>0</v>
      </c>
      <c r="AK722" s="37">
        <v>0</v>
      </c>
      <c r="AL722" s="37">
        <v>0</v>
      </c>
      <c r="AM722" s="37">
        <v>0</v>
      </c>
      <c r="AN722" s="37">
        <v>0</v>
      </c>
      <c r="AO722" s="37">
        <v>0</v>
      </c>
      <c r="AP722" s="37">
        <v>0</v>
      </c>
      <c r="AQ722" s="37">
        <v>0</v>
      </c>
      <c r="AR722" s="37">
        <v>0</v>
      </c>
      <c r="AS722" s="59">
        <v>0</v>
      </c>
      <c r="AT722" s="59">
        <v>0</v>
      </c>
      <c r="AU722" s="45"/>
      <c r="AV722" s="37">
        <v>0</v>
      </c>
      <c r="AW722" s="37">
        <v>0</v>
      </c>
      <c r="AX722" s="37">
        <v>0</v>
      </c>
      <c r="AY722" s="37">
        <v>0</v>
      </c>
      <c r="AZ722" s="37">
        <v>0</v>
      </c>
      <c r="BA722" s="37">
        <v>0</v>
      </c>
      <c r="BB722" s="37">
        <v>0</v>
      </c>
      <c r="BC722" s="37">
        <v>0</v>
      </c>
      <c r="BD722" s="37">
        <v>0</v>
      </c>
      <c r="BE722" s="37">
        <v>0</v>
      </c>
      <c r="BF722" s="37">
        <v>0</v>
      </c>
      <c r="BG722" s="37">
        <v>0</v>
      </c>
      <c r="BH722" s="37">
        <v>0</v>
      </c>
      <c r="BI722" s="37">
        <v>0</v>
      </c>
      <c r="BJ722" s="37">
        <v>0</v>
      </c>
      <c r="BK722" s="59">
        <v>0</v>
      </c>
      <c r="BL722" s="37">
        <v>0</v>
      </c>
      <c r="BM722" s="37">
        <v>0</v>
      </c>
      <c r="BN722" s="37">
        <v>0</v>
      </c>
      <c r="BO722" s="37">
        <v>0</v>
      </c>
      <c r="BP722" s="37">
        <v>0</v>
      </c>
      <c r="BQ722" s="37">
        <v>0</v>
      </c>
      <c r="BR722" s="37">
        <v>0</v>
      </c>
      <c r="BS722" s="37">
        <v>0</v>
      </c>
      <c r="BT722" s="37">
        <v>0</v>
      </c>
      <c r="BU722" s="37">
        <v>0</v>
      </c>
      <c r="BV722" s="37">
        <v>0</v>
      </c>
      <c r="BW722" s="59">
        <v>0</v>
      </c>
      <c r="BX722" s="59">
        <v>0</v>
      </c>
      <c r="BZ722" s="37">
        <v>0</v>
      </c>
      <c r="CA722" s="37">
        <v>0</v>
      </c>
      <c r="CB722" s="37">
        <v>0</v>
      </c>
      <c r="CC722" s="37">
        <v>0</v>
      </c>
      <c r="CD722" s="37">
        <v>0</v>
      </c>
      <c r="CE722" s="37">
        <v>0</v>
      </c>
      <c r="CF722" s="37">
        <v>0</v>
      </c>
      <c r="CG722" s="59">
        <v>0</v>
      </c>
      <c r="CH722" s="37">
        <v>0</v>
      </c>
      <c r="CI722" s="37">
        <v>0</v>
      </c>
      <c r="CJ722" s="37">
        <v>0</v>
      </c>
      <c r="CK722" s="37">
        <v>0</v>
      </c>
      <c r="CL722" s="37">
        <v>0</v>
      </c>
      <c r="CM722" s="37">
        <v>0</v>
      </c>
      <c r="CN722" s="59">
        <v>0</v>
      </c>
      <c r="CO722" s="59">
        <v>0</v>
      </c>
      <c r="CP722" s="58"/>
      <c r="CQ722" s="3">
        <v>0</v>
      </c>
    </row>
    <row r="723" spans="1:95" customFormat="1" x14ac:dyDescent="0.2">
      <c r="A723" s="33">
        <v>0</v>
      </c>
      <c r="B723" s="33">
        <v>0</v>
      </c>
      <c r="C723" s="33">
        <v>0</v>
      </c>
      <c r="D723" s="43">
        <v>0</v>
      </c>
      <c r="E723" s="43">
        <v>0</v>
      </c>
      <c r="F723" s="43">
        <v>0</v>
      </c>
      <c r="G723" s="43">
        <v>0</v>
      </c>
      <c r="H723" s="43">
        <v>0</v>
      </c>
      <c r="I723" s="43">
        <v>0</v>
      </c>
      <c r="J723" s="43">
        <v>0</v>
      </c>
      <c r="K723" s="43">
        <v>0</v>
      </c>
      <c r="L723" s="43">
        <v>0</v>
      </c>
      <c r="M723" s="43">
        <v>0</v>
      </c>
      <c r="N723" s="43">
        <v>0</v>
      </c>
      <c r="O723" s="43">
        <v>0</v>
      </c>
      <c r="P723" s="47">
        <v>0</v>
      </c>
      <c r="R723" s="37">
        <v>0</v>
      </c>
      <c r="S723" s="37">
        <v>0</v>
      </c>
      <c r="T723" s="37">
        <v>0</v>
      </c>
      <c r="U723" s="37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7">
        <v>0</v>
      </c>
      <c r="AB723" s="37">
        <v>0</v>
      </c>
      <c r="AC723" s="37">
        <v>0</v>
      </c>
      <c r="AD723" s="37">
        <v>0</v>
      </c>
      <c r="AE723" s="37">
        <v>0</v>
      </c>
      <c r="AF723" s="37">
        <v>0</v>
      </c>
      <c r="AG723" s="59">
        <v>0</v>
      </c>
      <c r="AH723" s="37">
        <v>0</v>
      </c>
      <c r="AI723" s="37">
        <v>0</v>
      </c>
      <c r="AJ723" s="37">
        <v>0</v>
      </c>
      <c r="AK723" s="37">
        <v>0</v>
      </c>
      <c r="AL723" s="37">
        <v>0</v>
      </c>
      <c r="AM723" s="37">
        <v>0</v>
      </c>
      <c r="AN723" s="37">
        <v>0</v>
      </c>
      <c r="AO723" s="37">
        <v>0</v>
      </c>
      <c r="AP723" s="37">
        <v>0</v>
      </c>
      <c r="AQ723" s="37">
        <v>0</v>
      </c>
      <c r="AR723" s="37">
        <v>0</v>
      </c>
      <c r="AS723" s="59">
        <v>0</v>
      </c>
      <c r="AT723" s="59">
        <v>0</v>
      </c>
      <c r="AU723" s="45"/>
      <c r="AV723" s="37">
        <v>0</v>
      </c>
      <c r="AW723" s="37">
        <v>0</v>
      </c>
      <c r="AX723" s="37">
        <v>0</v>
      </c>
      <c r="AY723" s="37">
        <v>0</v>
      </c>
      <c r="AZ723" s="37">
        <v>0</v>
      </c>
      <c r="BA723" s="37">
        <v>0</v>
      </c>
      <c r="BB723" s="37">
        <v>0</v>
      </c>
      <c r="BC723" s="37">
        <v>0</v>
      </c>
      <c r="BD723" s="37">
        <v>0</v>
      </c>
      <c r="BE723" s="37">
        <v>0</v>
      </c>
      <c r="BF723" s="37">
        <v>0</v>
      </c>
      <c r="BG723" s="37">
        <v>0</v>
      </c>
      <c r="BH723" s="37">
        <v>0</v>
      </c>
      <c r="BI723" s="37">
        <v>0</v>
      </c>
      <c r="BJ723" s="37">
        <v>0</v>
      </c>
      <c r="BK723" s="59">
        <v>0</v>
      </c>
      <c r="BL723" s="37">
        <v>0</v>
      </c>
      <c r="BM723" s="37">
        <v>0</v>
      </c>
      <c r="BN723" s="37">
        <v>0</v>
      </c>
      <c r="BO723" s="37">
        <v>0</v>
      </c>
      <c r="BP723" s="37">
        <v>0</v>
      </c>
      <c r="BQ723" s="37">
        <v>0</v>
      </c>
      <c r="BR723" s="37">
        <v>0</v>
      </c>
      <c r="BS723" s="37">
        <v>0</v>
      </c>
      <c r="BT723" s="37">
        <v>0</v>
      </c>
      <c r="BU723" s="37">
        <v>0</v>
      </c>
      <c r="BV723" s="37">
        <v>0</v>
      </c>
      <c r="BW723" s="59">
        <v>0</v>
      </c>
      <c r="BX723" s="59">
        <v>0</v>
      </c>
      <c r="BZ723" s="37">
        <v>0</v>
      </c>
      <c r="CA723" s="37">
        <v>0</v>
      </c>
      <c r="CB723" s="37">
        <v>0</v>
      </c>
      <c r="CC723" s="37">
        <v>0</v>
      </c>
      <c r="CD723" s="37">
        <v>0</v>
      </c>
      <c r="CE723" s="37">
        <v>0</v>
      </c>
      <c r="CF723" s="37">
        <v>0</v>
      </c>
      <c r="CG723" s="59">
        <v>0</v>
      </c>
      <c r="CH723" s="37">
        <v>0</v>
      </c>
      <c r="CI723" s="37">
        <v>0</v>
      </c>
      <c r="CJ723" s="37">
        <v>0</v>
      </c>
      <c r="CK723" s="37">
        <v>0</v>
      </c>
      <c r="CL723" s="37">
        <v>0</v>
      </c>
      <c r="CM723" s="37">
        <v>0</v>
      </c>
      <c r="CN723" s="59">
        <v>0</v>
      </c>
      <c r="CO723" s="59">
        <v>0</v>
      </c>
      <c r="CP723" s="58"/>
      <c r="CQ723" s="3">
        <v>0</v>
      </c>
    </row>
    <row r="724" spans="1:95" customFormat="1" x14ac:dyDescent="0.2">
      <c r="A724" s="33">
        <v>0</v>
      </c>
      <c r="B724" s="33">
        <v>0</v>
      </c>
      <c r="C724" s="33">
        <v>0</v>
      </c>
      <c r="D724" s="43">
        <v>0</v>
      </c>
      <c r="E724" s="43">
        <v>0</v>
      </c>
      <c r="F724" s="43">
        <v>0</v>
      </c>
      <c r="G724" s="43">
        <v>0</v>
      </c>
      <c r="H724" s="43">
        <v>0</v>
      </c>
      <c r="I724" s="43">
        <v>0</v>
      </c>
      <c r="J724" s="43">
        <v>0</v>
      </c>
      <c r="K724" s="43">
        <v>0</v>
      </c>
      <c r="L724" s="43">
        <v>0</v>
      </c>
      <c r="M724" s="43">
        <v>0</v>
      </c>
      <c r="N724" s="43">
        <v>0</v>
      </c>
      <c r="O724" s="43">
        <v>0</v>
      </c>
      <c r="P724" s="47">
        <v>0</v>
      </c>
      <c r="R724" s="37">
        <v>0</v>
      </c>
      <c r="S724" s="37">
        <v>0</v>
      </c>
      <c r="T724" s="37">
        <v>0</v>
      </c>
      <c r="U724" s="37">
        <v>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7">
        <v>0</v>
      </c>
      <c r="AB724" s="37">
        <v>0</v>
      </c>
      <c r="AC724" s="37">
        <v>0</v>
      </c>
      <c r="AD724" s="37">
        <v>0</v>
      </c>
      <c r="AE724" s="37">
        <v>0</v>
      </c>
      <c r="AF724" s="37">
        <v>0</v>
      </c>
      <c r="AG724" s="59">
        <v>0</v>
      </c>
      <c r="AH724" s="37">
        <v>0</v>
      </c>
      <c r="AI724" s="37">
        <v>0</v>
      </c>
      <c r="AJ724" s="37">
        <v>0</v>
      </c>
      <c r="AK724" s="37">
        <v>0</v>
      </c>
      <c r="AL724" s="37">
        <v>0</v>
      </c>
      <c r="AM724" s="37">
        <v>0</v>
      </c>
      <c r="AN724" s="37">
        <v>0</v>
      </c>
      <c r="AO724" s="37">
        <v>0</v>
      </c>
      <c r="AP724" s="37">
        <v>0</v>
      </c>
      <c r="AQ724" s="37">
        <v>0</v>
      </c>
      <c r="AR724" s="37">
        <v>0</v>
      </c>
      <c r="AS724" s="59">
        <v>0</v>
      </c>
      <c r="AT724" s="59">
        <v>0</v>
      </c>
      <c r="AU724" s="45"/>
      <c r="AV724" s="37">
        <v>0</v>
      </c>
      <c r="AW724" s="37">
        <v>0</v>
      </c>
      <c r="AX724" s="37">
        <v>0</v>
      </c>
      <c r="AY724" s="37">
        <v>0</v>
      </c>
      <c r="AZ724" s="37">
        <v>0</v>
      </c>
      <c r="BA724" s="37">
        <v>0</v>
      </c>
      <c r="BB724" s="37">
        <v>0</v>
      </c>
      <c r="BC724" s="37">
        <v>0</v>
      </c>
      <c r="BD724" s="37">
        <v>0</v>
      </c>
      <c r="BE724" s="37">
        <v>0</v>
      </c>
      <c r="BF724" s="37">
        <v>0</v>
      </c>
      <c r="BG724" s="37">
        <v>0</v>
      </c>
      <c r="BH724" s="37">
        <v>0</v>
      </c>
      <c r="BI724" s="37">
        <v>0</v>
      </c>
      <c r="BJ724" s="37">
        <v>0</v>
      </c>
      <c r="BK724" s="59">
        <v>0</v>
      </c>
      <c r="BL724" s="37">
        <v>0</v>
      </c>
      <c r="BM724" s="37">
        <v>0</v>
      </c>
      <c r="BN724" s="37">
        <v>0</v>
      </c>
      <c r="BO724" s="37">
        <v>0</v>
      </c>
      <c r="BP724" s="37">
        <v>0</v>
      </c>
      <c r="BQ724" s="37">
        <v>0</v>
      </c>
      <c r="BR724" s="37">
        <v>0</v>
      </c>
      <c r="BS724" s="37">
        <v>0</v>
      </c>
      <c r="BT724" s="37">
        <v>0</v>
      </c>
      <c r="BU724" s="37">
        <v>0</v>
      </c>
      <c r="BV724" s="37">
        <v>0</v>
      </c>
      <c r="BW724" s="59">
        <v>0</v>
      </c>
      <c r="BX724" s="59">
        <v>0</v>
      </c>
      <c r="BZ724" s="37">
        <v>0</v>
      </c>
      <c r="CA724" s="37">
        <v>0</v>
      </c>
      <c r="CB724" s="37">
        <v>0</v>
      </c>
      <c r="CC724" s="37">
        <v>0</v>
      </c>
      <c r="CD724" s="37">
        <v>0</v>
      </c>
      <c r="CE724" s="37">
        <v>0</v>
      </c>
      <c r="CF724" s="37">
        <v>0</v>
      </c>
      <c r="CG724" s="59">
        <v>0</v>
      </c>
      <c r="CH724" s="37">
        <v>0</v>
      </c>
      <c r="CI724" s="37">
        <v>0</v>
      </c>
      <c r="CJ724" s="37">
        <v>0</v>
      </c>
      <c r="CK724" s="37">
        <v>0</v>
      </c>
      <c r="CL724" s="37">
        <v>0</v>
      </c>
      <c r="CM724" s="37">
        <v>0</v>
      </c>
      <c r="CN724" s="59">
        <v>0</v>
      </c>
      <c r="CO724" s="59">
        <v>0</v>
      </c>
      <c r="CP724" s="58"/>
      <c r="CQ724" s="3">
        <v>0</v>
      </c>
    </row>
    <row r="725" spans="1:95" customFormat="1" x14ac:dyDescent="0.2">
      <c r="A725" s="33">
        <v>0</v>
      </c>
      <c r="B725" s="33">
        <v>0</v>
      </c>
      <c r="C725" s="33">
        <v>0</v>
      </c>
      <c r="D725" s="43">
        <v>0</v>
      </c>
      <c r="E725" s="43">
        <v>0</v>
      </c>
      <c r="F725" s="43">
        <v>0</v>
      </c>
      <c r="G725" s="43">
        <v>0</v>
      </c>
      <c r="H725" s="43">
        <v>0</v>
      </c>
      <c r="I725" s="43">
        <v>0</v>
      </c>
      <c r="J725" s="43">
        <v>0</v>
      </c>
      <c r="K725" s="43">
        <v>0</v>
      </c>
      <c r="L725" s="43">
        <v>0</v>
      </c>
      <c r="M725" s="43">
        <v>0</v>
      </c>
      <c r="N725" s="43">
        <v>0</v>
      </c>
      <c r="O725" s="43">
        <v>0</v>
      </c>
      <c r="P725" s="47">
        <v>0</v>
      </c>
      <c r="R725" s="37">
        <v>0</v>
      </c>
      <c r="S725" s="37">
        <v>0</v>
      </c>
      <c r="T725" s="37">
        <v>0</v>
      </c>
      <c r="U725" s="37">
        <v>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7">
        <v>0</v>
      </c>
      <c r="AB725" s="37">
        <v>0</v>
      </c>
      <c r="AC725" s="37">
        <v>0</v>
      </c>
      <c r="AD725" s="37">
        <v>0</v>
      </c>
      <c r="AE725" s="37">
        <v>0</v>
      </c>
      <c r="AF725" s="37">
        <v>0</v>
      </c>
      <c r="AG725" s="59">
        <v>0</v>
      </c>
      <c r="AH725" s="37">
        <v>0</v>
      </c>
      <c r="AI725" s="37">
        <v>0</v>
      </c>
      <c r="AJ725" s="37"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v>0</v>
      </c>
      <c r="AP725" s="37">
        <v>0</v>
      </c>
      <c r="AQ725" s="37">
        <v>0</v>
      </c>
      <c r="AR725" s="37">
        <v>0</v>
      </c>
      <c r="AS725" s="59">
        <v>0</v>
      </c>
      <c r="AT725" s="59">
        <v>0</v>
      </c>
      <c r="AU725" s="45"/>
      <c r="AV725" s="37">
        <v>0</v>
      </c>
      <c r="AW725" s="37">
        <v>0</v>
      </c>
      <c r="AX725" s="37">
        <v>0</v>
      </c>
      <c r="AY725" s="37">
        <v>0</v>
      </c>
      <c r="AZ725" s="37">
        <v>0</v>
      </c>
      <c r="BA725" s="37">
        <v>0</v>
      </c>
      <c r="BB725" s="37">
        <v>0</v>
      </c>
      <c r="BC725" s="37">
        <v>0</v>
      </c>
      <c r="BD725" s="37">
        <v>0</v>
      </c>
      <c r="BE725" s="37">
        <v>0</v>
      </c>
      <c r="BF725" s="37">
        <v>0</v>
      </c>
      <c r="BG725" s="37">
        <v>0</v>
      </c>
      <c r="BH725" s="37">
        <v>0</v>
      </c>
      <c r="BI725" s="37">
        <v>0</v>
      </c>
      <c r="BJ725" s="37">
        <v>0</v>
      </c>
      <c r="BK725" s="59">
        <v>0</v>
      </c>
      <c r="BL725" s="37">
        <v>0</v>
      </c>
      <c r="BM725" s="37">
        <v>0</v>
      </c>
      <c r="BN725" s="37">
        <v>0</v>
      </c>
      <c r="BO725" s="37">
        <v>0</v>
      </c>
      <c r="BP725" s="37">
        <v>0</v>
      </c>
      <c r="BQ725" s="37">
        <v>0</v>
      </c>
      <c r="BR725" s="37">
        <v>0</v>
      </c>
      <c r="BS725" s="37">
        <v>0</v>
      </c>
      <c r="BT725" s="37">
        <v>0</v>
      </c>
      <c r="BU725" s="37">
        <v>0</v>
      </c>
      <c r="BV725" s="37">
        <v>0</v>
      </c>
      <c r="BW725" s="59">
        <v>0</v>
      </c>
      <c r="BX725" s="59">
        <v>0</v>
      </c>
      <c r="BZ725" s="37">
        <v>0</v>
      </c>
      <c r="CA725" s="37">
        <v>0</v>
      </c>
      <c r="CB725" s="37">
        <v>0</v>
      </c>
      <c r="CC725" s="37">
        <v>0</v>
      </c>
      <c r="CD725" s="37">
        <v>0</v>
      </c>
      <c r="CE725" s="37">
        <v>0</v>
      </c>
      <c r="CF725" s="37">
        <v>0</v>
      </c>
      <c r="CG725" s="59">
        <v>0</v>
      </c>
      <c r="CH725" s="37">
        <v>0</v>
      </c>
      <c r="CI725" s="37">
        <v>0</v>
      </c>
      <c r="CJ725" s="37">
        <v>0</v>
      </c>
      <c r="CK725" s="37">
        <v>0</v>
      </c>
      <c r="CL725" s="37">
        <v>0</v>
      </c>
      <c r="CM725" s="37">
        <v>0</v>
      </c>
      <c r="CN725" s="59">
        <v>0</v>
      </c>
      <c r="CO725" s="59">
        <v>0</v>
      </c>
      <c r="CP725" s="58"/>
      <c r="CQ725" s="3">
        <v>0</v>
      </c>
    </row>
    <row r="726" spans="1:95" customFormat="1" x14ac:dyDescent="0.2">
      <c r="A726" s="33">
        <v>0</v>
      </c>
      <c r="B726" s="33">
        <v>0</v>
      </c>
      <c r="C726" s="33">
        <v>0</v>
      </c>
      <c r="D726" s="43">
        <v>0</v>
      </c>
      <c r="E726" s="43">
        <v>0</v>
      </c>
      <c r="F726" s="43">
        <v>0</v>
      </c>
      <c r="G726" s="43">
        <v>0</v>
      </c>
      <c r="H726" s="43">
        <v>0</v>
      </c>
      <c r="I726" s="43">
        <v>0</v>
      </c>
      <c r="J726" s="43">
        <v>0</v>
      </c>
      <c r="K726" s="43">
        <v>0</v>
      </c>
      <c r="L726" s="43">
        <v>0</v>
      </c>
      <c r="M726" s="43">
        <v>0</v>
      </c>
      <c r="N726" s="43">
        <v>0</v>
      </c>
      <c r="O726" s="43">
        <v>0</v>
      </c>
      <c r="P726" s="47">
        <v>0</v>
      </c>
      <c r="R726" s="37">
        <v>0</v>
      </c>
      <c r="S726" s="37">
        <v>0</v>
      </c>
      <c r="T726" s="37">
        <v>0</v>
      </c>
      <c r="U726" s="37">
        <v>0</v>
      </c>
      <c r="V726" s="37">
        <v>0</v>
      </c>
      <c r="W726" s="37">
        <v>0</v>
      </c>
      <c r="X726" s="37">
        <v>0</v>
      </c>
      <c r="Y726" s="37">
        <v>0</v>
      </c>
      <c r="Z726" s="37">
        <v>0</v>
      </c>
      <c r="AA726" s="37">
        <v>0</v>
      </c>
      <c r="AB726" s="37">
        <v>0</v>
      </c>
      <c r="AC726" s="37">
        <v>0</v>
      </c>
      <c r="AD726" s="37">
        <v>0</v>
      </c>
      <c r="AE726" s="37">
        <v>0</v>
      </c>
      <c r="AF726" s="37">
        <v>0</v>
      </c>
      <c r="AG726" s="59">
        <v>0</v>
      </c>
      <c r="AH726" s="37">
        <v>0</v>
      </c>
      <c r="AI726" s="37">
        <v>0</v>
      </c>
      <c r="AJ726" s="37">
        <v>0</v>
      </c>
      <c r="AK726" s="37">
        <v>0</v>
      </c>
      <c r="AL726" s="37">
        <v>0</v>
      </c>
      <c r="AM726" s="37">
        <v>0</v>
      </c>
      <c r="AN726" s="37">
        <v>0</v>
      </c>
      <c r="AO726" s="37">
        <v>0</v>
      </c>
      <c r="AP726" s="37">
        <v>0</v>
      </c>
      <c r="AQ726" s="37">
        <v>0</v>
      </c>
      <c r="AR726" s="37">
        <v>0</v>
      </c>
      <c r="AS726" s="59">
        <v>0</v>
      </c>
      <c r="AT726" s="59">
        <v>0</v>
      </c>
      <c r="AU726" s="45"/>
      <c r="AV726" s="37">
        <v>0</v>
      </c>
      <c r="AW726" s="37">
        <v>0</v>
      </c>
      <c r="AX726" s="37">
        <v>0</v>
      </c>
      <c r="AY726" s="37">
        <v>0</v>
      </c>
      <c r="AZ726" s="37">
        <v>0</v>
      </c>
      <c r="BA726" s="37">
        <v>0</v>
      </c>
      <c r="BB726" s="37">
        <v>0</v>
      </c>
      <c r="BC726" s="37">
        <v>0</v>
      </c>
      <c r="BD726" s="37">
        <v>0</v>
      </c>
      <c r="BE726" s="37">
        <v>0</v>
      </c>
      <c r="BF726" s="37">
        <v>0</v>
      </c>
      <c r="BG726" s="37">
        <v>0</v>
      </c>
      <c r="BH726" s="37">
        <v>0</v>
      </c>
      <c r="BI726" s="37">
        <v>0</v>
      </c>
      <c r="BJ726" s="37">
        <v>0</v>
      </c>
      <c r="BK726" s="59">
        <v>0</v>
      </c>
      <c r="BL726" s="37">
        <v>0</v>
      </c>
      <c r="BM726" s="37">
        <v>0</v>
      </c>
      <c r="BN726" s="37">
        <v>0</v>
      </c>
      <c r="BO726" s="37">
        <v>0</v>
      </c>
      <c r="BP726" s="37">
        <v>0</v>
      </c>
      <c r="BQ726" s="37">
        <v>0</v>
      </c>
      <c r="BR726" s="37">
        <v>0</v>
      </c>
      <c r="BS726" s="37">
        <v>0</v>
      </c>
      <c r="BT726" s="37">
        <v>0</v>
      </c>
      <c r="BU726" s="37">
        <v>0</v>
      </c>
      <c r="BV726" s="37">
        <v>0</v>
      </c>
      <c r="BW726" s="59">
        <v>0</v>
      </c>
      <c r="BX726" s="59">
        <v>0</v>
      </c>
      <c r="BZ726" s="37">
        <v>0</v>
      </c>
      <c r="CA726" s="37">
        <v>0</v>
      </c>
      <c r="CB726" s="37">
        <v>0</v>
      </c>
      <c r="CC726" s="37">
        <v>0</v>
      </c>
      <c r="CD726" s="37">
        <v>0</v>
      </c>
      <c r="CE726" s="37">
        <v>0</v>
      </c>
      <c r="CF726" s="37">
        <v>0</v>
      </c>
      <c r="CG726" s="59">
        <v>0</v>
      </c>
      <c r="CH726" s="37">
        <v>0</v>
      </c>
      <c r="CI726" s="37">
        <v>0</v>
      </c>
      <c r="CJ726" s="37">
        <v>0</v>
      </c>
      <c r="CK726" s="37">
        <v>0</v>
      </c>
      <c r="CL726" s="37">
        <v>0</v>
      </c>
      <c r="CM726" s="37">
        <v>0</v>
      </c>
      <c r="CN726" s="59">
        <v>0</v>
      </c>
      <c r="CO726" s="59">
        <v>0</v>
      </c>
      <c r="CP726" s="58"/>
      <c r="CQ726" s="3">
        <v>0</v>
      </c>
    </row>
    <row r="727" spans="1:95" customFormat="1" x14ac:dyDescent="0.2">
      <c r="A727" s="33">
        <v>0</v>
      </c>
      <c r="B727" s="33">
        <v>0</v>
      </c>
      <c r="C727" s="33">
        <v>0</v>
      </c>
      <c r="D727" s="43">
        <v>0</v>
      </c>
      <c r="E727" s="43">
        <v>0</v>
      </c>
      <c r="F727" s="43">
        <v>0</v>
      </c>
      <c r="G727" s="43">
        <v>0</v>
      </c>
      <c r="H727" s="43">
        <v>0</v>
      </c>
      <c r="I727" s="43">
        <v>0</v>
      </c>
      <c r="J727" s="43">
        <v>0</v>
      </c>
      <c r="K727" s="43">
        <v>0</v>
      </c>
      <c r="L727" s="43">
        <v>0</v>
      </c>
      <c r="M727" s="43">
        <v>0</v>
      </c>
      <c r="N727" s="43">
        <v>0</v>
      </c>
      <c r="O727" s="43">
        <v>0</v>
      </c>
      <c r="P727" s="47">
        <v>0</v>
      </c>
      <c r="R727" s="37">
        <v>0</v>
      </c>
      <c r="S727" s="37">
        <v>0</v>
      </c>
      <c r="T727" s="37">
        <v>0</v>
      </c>
      <c r="U727" s="37">
        <v>0</v>
      </c>
      <c r="V727" s="37">
        <v>0</v>
      </c>
      <c r="W727" s="37">
        <v>0</v>
      </c>
      <c r="X727" s="37">
        <v>0</v>
      </c>
      <c r="Y727" s="37">
        <v>0</v>
      </c>
      <c r="Z727" s="37">
        <v>0</v>
      </c>
      <c r="AA727" s="37">
        <v>0</v>
      </c>
      <c r="AB727" s="37">
        <v>0</v>
      </c>
      <c r="AC727" s="37">
        <v>0</v>
      </c>
      <c r="AD727" s="37">
        <v>0</v>
      </c>
      <c r="AE727" s="37">
        <v>0</v>
      </c>
      <c r="AF727" s="37">
        <v>0</v>
      </c>
      <c r="AG727" s="59">
        <v>0</v>
      </c>
      <c r="AH727" s="37">
        <v>0</v>
      </c>
      <c r="AI727" s="37">
        <v>0</v>
      </c>
      <c r="AJ727" s="37">
        <v>0</v>
      </c>
      <c r="AK727" s="37">
        <v>0</v>
      </c>
      <c r="AL727" s="37">
        <v>0</v>
      </c>
      <c r="AM727" s="37">
        <v>0</v>
      </c>
      <c r="AN727" s="37">
        <v>0</v>
      </c>
      <c r="AO727" s="37">
        <v>0</v>
      </c>
      <c r="AP727" s="37">
        <v>0</v>
      </c>
      <c r="AQ727" s="37">
        <v>0</v>
      </c>
      <c r="AR727" s="37">
        <v>0</v>
      </c>
      <c r="AS727" s="59">
        <v>0</v>
      </c>
      <c r="AT727" s="59">
        <v>0</v>
      </c>
      <c r="AU727" s="45"/>
      <c r="AV727" s="37">
        <v>0</v>
      </c>
      <c r="AW727" s="37">
        <v>0</v>
      </c>
      <c r="AX727" s="37">
        <v>0</v>
      </c>
      <c r="AY727" s="37">
        <v>0</v>
      </c>
      <c r="AZ727" s="37">
        <v>0</v>
      </c>
      <c r="BA727" s="37">
        <v>0</v>
      </c>
      <c r="BB727" s="37">
        <v>0</v>
      </c>
      <c r="BC727" s="37">
        <v>0</v>
      </c>
      <c r="BD727" s="37">
        <v>0</v>
      </c>
      <c r="BE727" s="37">
        <v>0</v>
      </c>
      <c r="BF727" s="37">
        <v>0</v>
      </c>
      <c r="BG727" s="37">
        <v>0</v>
      </c>
      <c r="BH727" s="37">
        <v>0</v>
      </c>
      <c r="BI727" s="37">
        <v>0</v>
      </c>
      <c r="BJ727" s="37">
        <v>0</v>
      </c>
      <c r="BK727" s="59">
        <v>0</v>
      </c>
      <c r="BL727" s="37">
        <v>0</v>
      </c>
      <c r="BM727" s="37">
        <v>0</v>
      </c>
      <c r="BN727" s="37">
        <v>0</v>
      </c>
      <c r="BO727" s="37">
        <v>0</v>
      </c>
      <c r="BP727" s="37">
        <v>0</v>
      </c>
      <c r="BQ727" s="37">
        <v>0</v>
      </c>
      <c r="BR727" s="37">
        <v>0</v>
      </c>
      <c r="BS727" s="37">
        <v>0</v>
      </c>
      <c r="BT727" s="37">
        <v>0</v>
      </c>
      <c r="BU727" s="37">
        <v>0</v>
      </c>
      <c r="BV727" s="37">
        <v>0</v>
      </c>
      <c r="BW727" s="59">
        <v>0</v>
      </c>
      <c r="BX727" s="59">
        <v>0</v>
      </c>
      <c r="BZ727" s="37">
        <v>0</v>
      </c>
      <c r="CA727" s="37">
        <v>0</v>
      </c>
      <c r="CB727" s="37">
        <v>0</v>
      </c>
      <c r="CC727" s="37">
        <v>0</v>
      </c>
      <c r="CD727" s="37">
        <v>0</v>
      </c>
      <c r="CE727" s="37">
        <v>0</v>
      </c>
      <c r="CF727" s="37">
        <v>0</v>
      </c>
      <c r="CG727" s="59">
        <v>0</v>
      </c>
      <c r="CH727" s="37">
        <v>0</v>
      </c>
      <c r="CI727" s="37">
        <v>0</v>
      </c>
      <c r="CJ727" s="37">
        <v>0</v>
      </c>
      <c r="CK727" s="37">
        <v>0</v>
      </c>
      <c r="CL727" s="37">
        <v>0</v>
      </c>
      <c r="CM727" s="37">
        <v>0</v>
      </c>
      <c r="CN727" s="59">
        <v>0</v>
      </c>
      <c r="CO727" s="59">
        <v>0</v>
      </c>
      <c r="CP727" s="58"/>
      <c r="CQ727" s="3">
        <v>0</v>
      </c>
    </row>
    <row r="728" spans="1:95" customFormat="1" x14ac:dyDescent="0.2">
      <c r="A728" s="33">
        <v>0</v>
      </c>
      <c r="B728" s="33">
        <v>0</v>
      </c>
      <c r="C728" s="33">
        <v>0</v>
      </c>
      <c r="D728" s="43">
        <v>0</v>
      </c>
      <c r="E728" s="43">
        <v>0</v>
      </c>
      <c r="F728" s="43">
        <v>0</v>
      </c>
      <c r="G728" s="43">
        <v>0</v>
      </c>
      <c r="H728" s="43">
        <v>0</v>
      </c>
      <c r="I728" s="43">
        <v>0</v>
      </c>
      <c r="J728" s="43">
        <v>0</v>
      </c>
      <c r="K728" s="43">
        <v>0</v>
      </c>
      <c r="L728" s="43">
        <v>0</v>
      </c>
      <c r="M728" s="43">
        <v>0</v>
      </c>
      <c r="N728" s="43">
        <v>0</v>
      </c>
      <c r="O728" s="43">
        <v>0</v>
      </c>
      <c r="P728" s="47">
        <v>0</v>
      </c>
      <c r="R728" s="37">
        <v>0</v>
      </c>
      <c r="S728" s="37">
        <v>0</v>
      </c>
      <c r="T728" s="37">
        <v>0</v>
      </c>
      <c r="U728" s="37">
        <v>0</v>
      </c>
      <c r="V728" s="37">
        <v>0</v>
      </c>
      <c r="W728" s="37">
        <v>0</v>
      </c>
      <c r="X728" s="37">
        <v>0</v>
      </c>
      <c r="Y728" s="37">
        <v>0</v>
      </c>
      <c r="Z728" s="37">
        <v>0</v>
      </c>
      <c r="AA728" s="37">
        <v>0</v>
      </c>
      <c r="AB728" s="37">
        <v>0</v>
      </c>
      <c r="AC728" s="37">
        <v>0</v>
      </c>
      <c r="AD728" s="37">
        <v>0</v>
      </c>
      <c r="AE728" s="37">
        <v>0</v>
      </c>
      <c r="AF728" s="37">
        <v>0</v>
      </c>
      <c r="AG728" s="59">
        <v>0</v>
      </c>
      <c r="AH728" s="37">
        <v>0</v>
      </c>
      <c r="AI728" s="37">
        <v>0</v>
      </c>
      <c r="AJ728" s="37">
        <v>0</v>
      </c>
      <c r="AK728" s="37">
        <v>0</v>
      </c>
      <c r="AL728" s="37">
        <v>0</v>
      </c>
      <c r="AM728" s="37">
        <v>0</v>
      </c>
      <c r="AN728" s="37">
        <v>0</v>
      </c>
      <c r="AO728" s="37">
        <v>0</v>
      </c>
      <c r="AP728" s="37">
        <v>0</v>
      </c>
      <c r="AQ728" s="37">
        <v>0</v>
      </c>
      <c r="AR728" s="37">
        <v>0</v>
      </c>
      <c r="AS728" s="59">
        <v>0</v>
      </c>
      <c r="AT728" s="59">
        <v>0</v>
      </c>
      <c r="AU728" s="45"/>
      <c r="AV728" s="37">
        <v>0</v>
      </c>
      <c r="AW728" s="37">
        <v>0</v>
      </c>
      <c r="AX728" s="37">
        <v>0</v>
      </c>
      <c r="AY728" s="37">
        <v>0</v>
      </c>
      <c r="AZ728" s="37">
        <v>0</v>
      </c>
      <c r="BA728" s="37">
        <v>0</v>
      </c>
      <c r="BB728" s="37">
        <v>0</v>
      </c>
      <c r="BC728" s="37">
        <v>0</v>
      </c>
      <c r="BD728" s="37">
        <v>0</v>
      </c>
      <c r="BE728" s="37">
        <v>0</v>
      </c>
      <c r="BF728" s="37">
        <v>0</v>
      </c>
      <c r="BG728" s="37">
        <v>0</v>
      </c>
      <c r="BH728" s="37">
        <v>0</v>
      </c>
      <c r="BI728" s="37">
        <v>0</v>
      </c>
      <c r="BJ728" s="37">
        <v>0</v>
      </c>
      <c r="BK728" s="59">
        <v>0</v>
      </c>
      <c r="BL728" s="37">
        <v>0</v>
      </c>
      <c r="BM728" s="37">
        <v>0</v>
      </c>
      <c r="BN728" s="37">
        <v>0</v>
      </c>
      <c r="BO728" s="37">
        <v>0</v>
      </c>
      <c r="BP728" s="37">
        <v>0</v>
      </c>
      <c r="BQ728" s="37">
        <v>0</v>
      </c>
      <c r="BR728" s="37">
        <v>0</v>
      </c>
      <c r="BS728" s="37">
        <v>0</v>
      </c>
      <c r="BT728" s="37">
        <v>0</v>
      </c>
      <c r="BU728" s="37">
        <v>0</v>
      </c>
      <c r="BV728" s="37">
        <v>0</v>
      </c>
      <c r="BW728" s="59">
        <v>0</v>
      </c>
      <c r="BX728" s="59">
        <v>0</v>
      </c>
      <c r="BZ728" s="37">
        <v>0</v>
      </c>
      <c r="CA728" s="37">
        <v>0</v>
      </c>
      <c r="CB728" s="37">
        <v>0</v>
      </c>
      <c r="CC728" s="37">
        <v>0</v>
      </c>
      <c r="CD728" s="37">
        <v>0</v>
      </c>
      <c r="CE728" s="37">
        <v>0</v>
      </c>
      <c r="CF728" s="37">
        <v>0</v>
      </c>
      <c r="CG728" s="59">
        <v>0</v>
      </c>
      <c r="CH728" s="37">
        <v>0</v>
      </c>
      <c r="CI728" s="37">
        <v>0</v>
      </c>
      <c r="CJ728" s="37">
        <v>0</v>
      </c>
      <c r="CK728" s="37">
        <v>0</v>
      </c>
      <c r="CL728" s="37">
        <v>0</v>
      </c>
      <c r="CM728" s="37">
        <v>0</v>
      </c>
      <c r="CN728" s="59">
        <v>0</v>
      </c>
      <c r="CO728" s="59">
        <v>0</v>
      </c>
      <c r="CP728" s="58"/>
      <c r="CQ728" s="3">
        <v>0</v>
      </c>
    </row>
    <row r="729" spans="1:95" customFormat="1" x14ac:dyDescent="0.2">
      <c r="A729" s="33">
        <v>0</v>
      </c>
      <c r="B729" s="33">
        <v>0</v>
      </c>
      <c r="C729" s="33">
        <v>0</v>
      </c>
      <c r="D729" s="43">
        <v>0</v>
      </c>
      <c r="E729" s="43">
        <v>0</v>
      </c>
      <c r="F729" s="43">
        <v>0</v>
      </c>
      <c r="G729" s="43">
        <v>0</v>
      </c>
      <c r="H729" s="43">
        <v>0</v>
      </c>
      <c r="I729" s="43">
        <v>0</v>
      </c>
      <c r="J729" s="43">
        <v>0</v>
      </c>
      <c r="K729" s="43">
        <v>0</v>
      </c>
      <c r="L729" s="43">
        <v>0</v>
      </c>
      <c r="M729" s="43">
        <v>0</v>
      </c>
      <c r="N729" s="43">
        <v>0</v>
      </c>
      <c r="O729" s="43">
        <v>0</v>
      </c>
      <c r="P729" s="47">
        <v>0</v>
      </c>
      <c r="R729" s="37">
        <v>0</v>
      </c>
      <c r="S729" s="37">
        <v>0</v>
      </c>
      <c r="T729" s="37">
        <v>0</v>
      </c>
      <c r="U729" s="37">
        <v>0</v>
      </c>
      <c r="V729" s="37">
        <v>0</v>
      </c>
      <c r="W729" s="37">
        <v>0</v>
      </c>
      <c r="X729" s="37">
        <v>0</v>
      </c>
      <c r="Y729" s="37">
        <v>0</v>
      </c>
      <c r="Z729" s="37">
        <v>0</v>
      </c>
      <c r="AA729" s="37">
        <v>0</v>
      </c>
      <c r="AB729" s="37">
        <v>0</v>
      </c>
      <c r="AC729" s="37">
        <v>0</v>
      </c>
      <c r="AD729" s="37">
        <v>0</v>
      </c>
      <c r="AE729" s="37">
        <v>0</v>
      </c>
      <c r="AF729" s="37">
        <v>0</v>
      </c>
      <c r="AG729" s="59">
        <v>0</v>
      </c>
      <c r="AH729" s="37">
        <v>0</v>
      </c>
      <c r="AI729" s="37">
        <v>0</v>
      </c>
      <c r="AJ729" s="37">
        <v>0</v>
      </c>
      <c r="AK729" s="37">
        <v>0</v>
      </c>
      <c r="AL729" s="37">
        <v>0</v>
      </c>
      <c r="AM729" s="37">
        <v>0</v>
      </c>
      <c r="AN729" s="37">
        <v>0</v>
      </c>
      <c r="AO729" s="37">
        <v>0</v>
      </c>
      <c r="AP729" s="37">
        <v>0</v>
      </c>
      <c r="AQ729" s="37">
        <v>0</v>
      </c>
      <c r="AR729" s="37">
        <v>0</v>
      </c>
      <c r="AS729" s="59">
        <v>0</v>
      </c>
      <c r="AT729" s="59">
        <v>0</v>
      </c>
      <c r="AU729" s="45"/>
      <c r="AV729" s="37">
        <v>0</v>
      </c>
      <c r="AW729" s="37">
        <v>0</v>
      </c>
      <c r="AX729" s="37">
        <v>0</v>
      </c>
      <c r="AY729" s="37">
        <v>0</v>
      </c>
      <c r="AZ729" s="37">
        <v>0</v>
      </c>
      <c r="BA729" s="37">
        <v>0</v>
      </c>
      <c r="BB729" s="37">
        <v>0</v>
      </c>
      <c r="BC729" s="37">
        <v>0</v>
      </c>
      <c r="BD729" s="37">
        <v>0</v>
      </c>
      <c r="BE729" s="37">
        <v>0</v>
      </c>
      <c r="BF729" s="37">
        <v>0</v>
      </c>
      <c r="BG729" s="37">
        <v>0</v>
      </c>
      <c r="BH729" s="37">
        <v>0</v>
      </c>
      <c r="BI729" s="37">
        <v>0</v>
      </c>
      <c r="BJ729" s="37">
        <v>0</v>
      </c>
      <c r="BK729" s="59">
        <v>0</v>
      </c>
      <c r="BL729" s="37">
        <v>0</v>
      </c>
      <c r="BM729" s="37">
        <v>0</v>
      </c>
      <c r="BN729" s="37">
        <v>0</v>
      </c>
      <c r="BO729" s="37">
        <v>0</v>
      </c>
      <c r="BP729" s="37">
        <v>0</v>
      </c>
      <c r="BQ729" s="37">
        <v>0</v>
      </c>
      <c r="BR729" s="37">
        <v>0</v>
      </c>
      <c r="BS729" s="37">
        <v>0</v>
      </c>
      <c r="BT729" s="37">
        <v>0</v>
      </c>
      <c r="BU729" s="37">
        <v>0</v>
      </c>
      <c r="BV729" s="37">
        <v>0</v>
      </c>
      <c r="BW729" s="59">
        <v>0</v>
      </c>
      <c r="BX729" s="59">
        <v>0</v>
      </c>
      <c r="BZ729" s="37">
        <v>0</v>
      </c>
      <c r="CA729" s="37">
        <v>0</v>
      </c>
      <c r="CB729" s="37">
        <v>0</v>
      </c>
      <c r="CC729" s="37">
        <v>0</v>
      </c>
      <c r="CD729" s="37">
        <v>0</v>
      </c>
      <c r="CE729" s="37">
        <v>0</v>
      </c>
      <c r="CF729" s="37">
        <v>0</v>
      </c>
      <c r="CG729" s="59">
        <v>0</v>
      </c>
      <c r="CH729" s="37">
        <v>0</v>
      </c>
      <c r="CI729" s="37">
        <v>0</v>
      </c>
      <c r="CJ729" s="37">
        <v>0</v>
      </c>
      <c r="CK729" s="37">
        <v>0</v>
      </c>
      <c r="CL729" s="37">
        <v>0</v>
      </c>
      <c r="CM729" s="37">
        <v>0</v>
      </c>
      <c r="CN729" s="59">
        <v>0</v>
      </c>
      <c r="CO729" s="59">
        <v>0</v>
      </c>
      <c r="CP729" s="58"/>
      <c r="CQ729" s="3">
        <v>0</v>
      </c>
    </row>
    <row r="730" spans="1:95" customFormat="1" x14ac:dyDescent="0.2">
      <c r="A730" s="33">
        <v>0</v>
      </c>
      <c r="B730" s="33">
        <v>0</v>
      </c>
      <c r="C730" s="33">
        <v>0</v>
      </c>
      <c r="D730" s="43">
        <v>0</v>
      </c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0</v>
      </c>
      <c r="K730" s="43">
        <v>0</v>
      </c>
      <c r="L730" s="43">
        <v>0</v>
      </c>
      <c r="M730" s="43">
        <v>0</v>
      </c>
      <c r="N730" s="43">
        <v>0</v>
      </c>
      <c r="O730" s="43">
        <v>0</v>
      </c>
      <c r="P730" s="47">
        <v>0</v>
      </c>
      <c r="R730" s="37">
        <v>0</v>
      </c>
      <c r="S730" s="37">
        <v>0</v>
      </c>
      <c r="T730" s="37">
        <v>0</v>
      </c>
      <c r="U730" s="37">
        <v>0</v>
      </c>
      <c r="V730" s="37">
        <v>0</v>
      </c>
      <c r="W730" s="37">
        <v>0</v>
      </c>
      <c r="X730" s="37">
        <v>0</v>
      </c>
      <c r="Y730" s="37">
        <v>0</v>
      </c>
      <c r="Z730" s="37">
        <v>0</v>
      </c>
      <c r="AA730" s="37">
        <v>0</v>
      </c>
      <c r="AB730" s="37">
        <v>0</v>
      </c>
      <c r="AC730" s="37">
        <v>0</v>
      </c>
      <c r="AD730" s="37">
        <v>0</v>
      </c>
      <c r="AE730" s="37">
        <v>0</v>
      </c>
      <c r="AF730" s="37">
        <v>0</v>
      </c>
      <c r="AG730" s="59">
        <v>0</v>
      </c>
      <c r="AH730" s="37">
        <v>0</v>
      </c>
      <c r="AI730" s="37">
        <v>0</v>
      </c>
      <c r="AJ730" s="37">
        <v>0</v>
      </c>
      <c r="AK730" s="37">
        <v>0</v>
      </c>
      <c r="AL730" s="37">
        <v>0</v>
      </c>
      <c r="AM730" s="37">
        <v>0</v>
      </c>
      <c r="AN730" s="37">
        <v>0</v>
      </c>
      <c r="AO730" s="37">
        <v>0</v>
      </c>
      <c r="AP730" s="37">
        <v>0</v>
      </c>
      <c r="AQ730" s="37">
        <v>0</v>
      </c>
      <c r="AR730" s="37">
        <v>0</v>
      </c>
      <c r="AS730" s="59">
        <v>0</v>
      </c>
      <c r="AT730" s="59">
        <v>0</v>
      </c>
      <c r="AU730" s="45"/>
      <c r="AV730" s="37">
        <v>0</v>
      </c>
      <c r="AW730" s="37">
        <v>0</v>
      </c>
      <c r="AX730" s="37">
        <v>0</v>
      </c>
      <c r="AY730" s="37">
        <v>0</v>
      </c>
      <c r="AZ730" s="37">
        <v>0</v>
      </c>
      <c r="BA730" s="37">
        <v>0</v>
      </c>
      <c r="BB730" s="37">
        <v>0</v>
      </c>
      <c r="BC730" s="37">
        <v>0</v>
      </c>
      <c r="BD730" s="37">
        <v>0</v>
      </c>
      <c r="BE730" s="37">
        <v>0</v>
      </c>
      <c r="BF730" s="37">
        <v>0</v>
      </c>
      <c r="BG730" s="37">
        <v>0</v>
      </c>
      <c r="BH730" s="37">
        <v>0</v>
      </c>
      <c r="BI730" s="37">
        <v>0</v>
      </c>
      <c r="BJ730" s="37">
        <v>0</v>
      </c>
      <c r="BK730" s="59">
        <v>0</v>
      </c>
      <c r="BL730" s="37">
        <v>0</v>
      </c>
      <c r="BM730" s="37">
        <v>0</v>
      </c>
      <c r="BN730" s="37">
        <v>0</v>
      </c>
      <c r="BO730" s="37">
        <v>0</v>
      </c>
      <c r="BP730" s="37">
        <v>0</v>
      </c>
      <c r="BQ730" s="37">
        <v>0</v>
      </c>
      <c r="BR730" s="37">
        <v>0</v>
      </c>
      <c r="BS730" s="37">
        <v>0</v>
      </c>
      <c r="BT730" s="37">
        <v>0</v>
      </c>
      <c r="BU730" s="37">
        <v>0</v>
      </c>
      <c r="BV730" s="37">
        <v>0</v>
      </c>
      <c r="BW730" s="59">
        <v>0</v>
      </c>
      <c r="BX730" s="59">
        <v>0</v>
      </c>
      <c r="BZ730" s="37">
        <v>0</v>
      </c>
      <c r="CA730" s="37">
        <v>0</v>
      </c>
      <c r="CB730" s="37">
        <v>0</v>
      </c>
      <c r="CC730" s="37">
        <v>0</v>
      </c>
      <c r="CD730" s="37">
        <v>0</v>
      </c>
      <c r="CE730" s="37">
        <v>0</v>
      </c>
      <c r="CF730" s="37">
        <v>0</v>
      </c>
      <c r="CG730" s="59">
        <v>0</v>
      </c>
      <c r="CH730" s="37">
        <v>0</v>
      </c>
      <c r="CI730" s="37">
        <v>0</v>
      </c>
      <c r="CJ730" s="37">
        <v>0</v>
      </c>
      <c r="CK730" s="37">
        <v>0</v>
      </c>
      <c r="CL730" s="37">
        <v>0</v>
      </c>
      <c r="CM730" s="37">
        <v>0</v>
      </c>
      <c r="CN730" s="59">
        <v>0</v>
      </c>
      <c r="CO730" s="59">
        <v>0</v>
      </c>
      <c r="CP730" s="58"/>
      <c r="CQ730" s="3">
        <v>0</v>
      </c>
    </row>
    <row r="731" spans="1:95" customFormat="1" x14ac:dyDescent="0.2">
      <c r="A731" s="33">
        <v>0</v>
      </c>
      <c r="B731" s="33">
        <v>0</v>
      </c>
      <c r="C731" s="33">
        <v>0</v>
      </c>
      <c r="D731" s="43">
        <v>0</v>
      </c>
      <c r="E731" s="43">
        <v>0</v>
      </c>
      <c r="F731" s="43">
        <v>0</v>
      </c>
      <c r="G731" s="43">
        <v>0</v>
      </c>
      <c r="H731" s="43">
        <v>0</v>
      </c>
      <c r="I731" s="43">
        <v>0</v>
      </c>
      <c r="J731" s="43">
        <v>0</v>
      </c>
      <c r="K731" s="43">
        <v>0</v>
      </c>
      <c r="L731" s="43">
        <v>0</v>
      </c>
      <c r="M731" s="43">
        <v>0</v>
      </c>
      <c r="N731" s="43">
        <v>0</v>
      </c>
      <c r="O731" s="43">
        <v>0</v>
      </c>
      <c r="P731" s="47">
        <v>0</v>
      </c>
      <c r="R731" s="37">
        <v>0</v>
      </c>
      <c r="S731" s="37">
        <v>0</v>
      </c>
      <c r="T731" s="37">
        <v>0</v>
      </c>
      <c r="U731" s="37">
        <v>0</v>
      </c>
      <c r="V731" s="37">
        <v>0</v>
      </c>
      <c r="W731" s="37">
        <v>0</v>
      </c>
      <c r="X731" s="37">
        <v>0</v>
      </c>
      <c r="Y731" s="37">
        <v>0</v>
      </c>
      <c r="Z731" s="37">
        <v>0</v>
      </c>
      <c r="AA731" s="37">
        <v>0</v>
      </c>
      <c r="AB731" s="37">
        <v>0</v>
      </c>
      <c r="AC731" s="37">
        <v>0</v>
      </c>
      <c r="AD731" s="37">
        <v>0</v>
      </c>
      <c r="AE731" s="37">
        <v>0</v>
      </c>
      <c r="AF731" s="37">
        <v>0</v>
      </c>
      <c r="AG731" s="59">
        <v>0</v>
      </c>
      <c r="AH731" s="37">
        <v>0</v>
      </c>
      <c r="AI731" s="37">
        <v>0</v>
      </c>
      <c r="AJ731" s="37">
        <v>0</v>
      </c>
      <c r="AK731" s="37">
        <v>0</v>
      </c>
      <c r="AL731" s="37">
        <v>0</v>
      </c>
      <c r="AM731" s="37">
        <v>0</v>
      </c>
      <c r="AN731" s="37">
        <v>0</v>
      </c>
      <c r="AO731" s="37">
        <v>0</v>
      </c>
      <c r="AP731" s="37">
        <v>0</v>
      </c>
      <c r="AQ731" s="37">
        <v>0</v>
      </c>
      <c r="AR731" s="37">
        <v>0</v>
      </c>
      <c r="AS731" s="59">
        <v>0</v>
      </c>
      <c r="AT731" s="59">
        <v>0</v>
      </c>
      <c r="AU731" s="45"/>
      <c r="AV731" s="37">
        <v>0</v>
      </c>
      <c r="AW731" s="37">
        <v>0</v>
      </c>
      <c r="AX731" s="37">
        <v>0</v>
      </c>
      <c r="AY731" s="37">
        <v>0</v>
      </c>
      <c r="AZ731" s="37">
        <v>0</v>
      </c>
      <c r="BA731" s="37">
        <v>0</v>
      </c>
      <c r="BB731" s="37">
        <v>0</v>
      </c>
      <c r="BC731" s="37">
        <v>0</v>
      </c>
      <c r="BD731" s="37">
        <v>0</v>
      </c>
      <c r="BE731" s="37">
        <v>0</v>
      </c>
      <c r="BF731" s="37">
        <v>0</v>
      </c>
      <c r="BG731" s="37">
        <v>0</v>
      </c>
      <c r="BH731" s="37">
        <v>0</v>
      </c>
      <c r="BI731" s="37">
        <v>0</v>
      </c>
      <c r="BJ731" s="37">
        <v>0</v>
      </c>
      <c r="BK731" s="59">
        <v>0</v>
      </c>
      <c r="BL731" s="37">
        <v>0</v>
      </c>
      <c r="BM731" s="37">
        <v>0</v>
      </c>
      <c r="BN731" s="37">
        <v>0</v>
      </c>
      <c r="BO731" s="37">
        <v>0</v>
      </c>
      <c r="BP731" s="37">
        <v>0</v>
      </c>
      <c r="BQ731" s="37">
        <v>0</v>
      </c>
      <c r="BR731" s="37">
        <v>0</v>
      </c>
      <c r="BS731" s="37">
        <v>0</v>
      </c>
      <c r="BT731" s="37">
        <v>0</v>
      </c>
      <c r="BU731" s="37">
        <v>0</v>
      </c>
      <c r="BV731" s="37">
        <v>0</v>
      </c>
      <c r="BW731" s="59">
        <v>0</v>
      </c>
      <c r="BX731" s="59">
        <v>0</v>
      </c>
      <c r="BZ731" s="37">
        <v>0</v>
      </c>
      <c r="CA731" s="37">
        <v>0</v>
      </c>
      <c r="CB731" s="37">
        <v>0</v>
      </c>
      <c r="CC731" s="37">
        <v>0</v>
      </c>
      <c r="CD731" s="37">
        <v>0</v>
      </c>
      <c r="CE731" s="37">
        <v>0</v>
      </c>
      <c r="CF731" s="37">
        <v>0</v>
      </c>
      <c r="CG731" s="59">
        <v>0</v>
      </c>
      <c r="CH731" s="37">
        <v>0</v>
      </c>
      <c r="CI731" s="37">
        <v>0</v>
      </c>
      <c r="CJ731" s="37">
        <v>0</v>
      </c>
      <c r="CK731" s="37">
        <v>0</v>
      </c>
      <c r="CL731" s="37">
        <v>0</v>
      </c>
      <c r="CM731" s="37">
        <v>0</v>
      </c>
      <c r="CN731" s="59">
        <v>0</v>
      </c>
      <c r="CO731" s="59">
        <v>0</v>
      </c>
      <c r="CP731" s="58"/>
      <c r="CQ731" s="3">
        <v>0</v>
      </c>
    </row>
    <row r="732" spans="1:95" customFormat="1" x14ac:dyDescent="0.2">
      <c r="A732" s="33">
        <v>0</v>
      </c>
      <c r="B732" s="33">
        <v>0</v>
      </c>
      <c r="C732" s="33">
        <v>0</v>
      </c>
      <c r="D732" s="43">
        <v>0</v>
      </c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0</v>
      </c>
      <c r="M732" s="43">
        <v>0</v>
      </c>
      <c r="N732" s="43">
        <v>0</v>
      </c>
      <c r="O732" s="43">
        <v>0</v>
      </c>
      <c r="P732" s="4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59">
        <v>0</v>
      </c>
      <c r="AH732" s="37">
        <v>0</v>
      </c>
      <c r="AI732" s="37">
        <v>0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59">
        <v>0</v>
      </c>
      <c r="AT732" s="59">
        <v>0</v>
      </c>
      <c r="AU732" s="45"/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>
        <v>0</v>
      </c>
      <c r="BB732" s="37">
        <v>0</v>
      </c>
      <c r="BC732" s="37">
        <v>0</v>
      </c>
      <c r="BD732" s="37">
        <v>0</v>
      </c>
      <c r="BE732" s="37">
        <v>0</v>
      </c>
      <c r="BF732" s="37">
        <v>0</v>
      </c>
      <c r="BG732" s="37">
        <v>0</v>
      </c>
      <c r="BH732" s="37">
        <v>0</v>
      </c>
      <c r="BI732" s="37">
        <v>0</v>
      </c>
      <c r="BJ732" s="37">
        <v>0</v>
      </c>
      <c r="BK732" s="59">
        <v>0</v>
      </c>
      <c r="BL732" s="37">
        <v>0</v>
      </c>
      <c r="BM732" s="37">
        <v>0</v>
      </c>
      <c r="BN732" s="37">
        <v>0</v>
      </c>
      <c r="BO732" s="37">
        <v>0</v>
      </c>
      <c r="BP732" s="37">
        <v>0</v>
      </c>
      <c r="BQ732" s="37">
        <v>0</v>
      </c>
      <c r="BR732" s="37">
        <v>0</v>
      </c>
      <c r="BS732" s="37">
        <v>0</v>
      </c>
      <c r="BT732" s="37">
        <v>0</v>
      </c>
      <c r="BU732" s="37">
        <v>0</v>
      </c>
      <c r="BV732" s="37">
        <v>0</v>
      </c>
      <c r="BW732" s="59">
        <v>0</v>
      </c>
      <c r="BX732" s="59">
        <v>0</v>
      </c>
      <c r="BZ732" s="37">
        <v>0</v>
      </c>
      <c r="CA732" s="37">
        <v>0</v>
      </c>
      <c r="CB732" s="37">
        <v>0</v>
      </c>
      <c r="CC732" s="37">
        <v>0</v>
      </c>
      <c r="CD732" s="37">
        <v>0</v>
      </c>
      <c r="CE732" s="37">
        <v>0</v>
      </c>
      <c r="CF732" s="37">
        <v>0</v>
      </c>
      <c r="CG732" s="59">
        <v>0</v>
      </c>
      <c r="CH732" s="37">
        <v>0</v>
      </c>
      <c r="CI732" s="37">
        <v>0</v>
      </c>
      <c r="CJ732" s="37">
        <v>0</v>
      </c>
      <c r="CK732" s="37">
        <v>0</v>
      </c>
      <c r="CL732" s="37">
        <v>0</v>
      </c>
      <c r="CM732" s="37">
        <v>0</v>
      </c>
      <c r="CN732" s="59">
        <v>0</v>
      </c>
      <c r="CO732" s="59">
        <v>0</v>
      </c>
      <c r="CP732" s="58"/>
      <c r="CQ732" s="3">
        <v>0</v>
      </c>
    </row>
    <row r="733" spans="1:95" customFormat="1" x14ac:dyDescent="0.2">
      <c r="A733" s="33">
        <v>0</v>
      </c>
      <c r="B733" s="33">
        <v>0</v>
      </c>
      <c r="C733" s="33">
        <v>0</v>
      </c>
      <c r="D733" s="43">
        <v>0</v>
      </c>
      <c r="E733" s="43">
        <v>0</v>
      </c>
      <c r="F733" s="43">
        <v>0</v>
      </c>
      <c r="G733" s="43">
        <v>0</v>
      </c>
      <c r="H733" s="43">
        <v>0</v>
      </c>
      <c r="I733" s="43">
        <v>0</v>
      </c>
      <c r="J733" s="43">
        <v>0</v>
      </c>
      <c r="K733" s="43">
        <v>0</v>
      </c>
      <c r="L733" s="43">
        <v>0</v>
      </c>
      <c r="M733" s="43">
        <v>0</v>
      </c>
      <c r="N733" s="43">
        <v>0</v>
      </c>
      <c r="O733" s="43">
        <v>0</v>
      </c>
      <c r="P733" s="47">
        <v>0</v>
      </c>
      <c r="R733" s="37">
        <v>0</v>
      </c>
      <c r="S733" s="37">
        <v>0</v>
      </c>
      <c r="T733" s="37">
        <v>0</v>
      </c>
      <c r="U733" s="37">
        <v>0</v>
      </c>
      <c r="V733" s="37">
        <v>0</v>
      </c>
      <c r="W733" s="37">
        <v>0</v>
      </c>
      <c r="X733" s="37">
        <v>0</v>
      </c>
      <c r="Y733" s="37">
        <v>0</v>
      </c>
      <c r="Z733" s="37">
        <v>0</v>
      </c>
      <c r="AA733" s="37">
        <v>0</v>
      </c>
      <c r="AB733" s="37">
        <v>0</v>
      </c>
      <c r="AC733" s="37">
        <v>0</v>
      </c>
      <c r="AD733" s="37">
        <v>0</v>
      </c>
      <c r="AE733" s="37">
        <v>0</v>
      </c>
      <c r="AF733" s="37">
        <v>0</v>
      </c>
      <c r="AG733" s="59">
        <v>0</v>
      </c>
      <c r="AH733" s="37">
        <v>0</v>
      </c>
      <c r="AI733" s="37">
        <v>0</v>
      </c>
      <c r="AJ733" s="37">
        <v>0</v>
      </c>
      <c r="AK733" s="37">
        <v>0</v>
      </c>
      <c r="AL733" s="37">
        <v>0</v>
      </c>
      <c r="AM733" s="37">
        <v>0</v>
      </c>
      <c r="AN733" s="37">
        <v>0</v>
      </c>
      <c r="AO733" s="37">
        <v>0</v>
      </c>
      <c r="AP733" s="37">
        <v>0</v>
      </c>
      <c r="AQ733" s="37">
        <v>0</v>
      </c>
      <c r="AR733" s="37">
        <v>0</v>
      </c>
      <c r="AS733" s="59">
        <v>0</v>
      </c>
      <c r="AT733" s="59">
        <v>0</v>
      </c>
      <c r="AU733" s="45"/>
      <c r="AV733" s="37">
        <v>0</v>
      </c>
      <c r="AW733" s="37">
        <v>0</v>
      </c>
      <c r="AX733" s="37">
        <v>0</v>
      </c>
      <c r="AY733" s="37">
        <v>0</v>
      </c>
      <c r="AZ733" s="37">
        <v>0</v>
      </c>
      <c r="BA733" s="37">
        <v>0</v>
      </c>
      <c r="BB733" s="37">
        <v>0</v>
      </c>
      <c r="BC733" s="37">
        <v>0</v>
      </c>
      <c r="BD733" s="37">
        <v>0</v>
      </c>
      <c r="BE733" s="37">
        <v>0</v>
      </c>
      <c r="BF733" s="37">
        <v>0</v>
      </c>
      <c r="BG733" s="37">
        <v>0</v>
      </c>
      <c r="BH733" s="37">
        <v>0</v>
      </c>
      <c r="BI733" s="37">
        <v>0</v>
      </c>
      <c r="BJ733" s="37">
        <v>0</v>
      </c>
      <c r="BK733" s="59">
        <v>0</v>
      </c>
      <c r="BL733" s="37">
        <v>0</v>
      </c>
      <c r="BM733" s="37">
        <v>0</v>
      </c>
      <c r="BN733" s="37">
        <v>0</v>
      </c>
      <c r="BO733" s="37">
        <v>0</v>
      </c>
      <c r="BP733" s="37">
        <v>0</v>
      </c>
      <c r="BQ733" s="37">
        <v>0</v>
      </c>
      <c r="BR733" s="37">
        <v>0</v>
      </c>
      <c r="BS733" s="37">
        <v>0</v>
      </c>
      <c r="BT733" s="37">
        <v>0</v>
      </c>
      <c r="BU733" s="37">
        <v>0</v>
      </c>
      <c r="BV733" s="37">
        <v>0</v>
      </c>
      <c r="BW733" s="59">
        <v>0</v>
      </c>
      <c r="BX733" s="59">
        <v>0</v>
      </c>
      <c r="BZ733" s="37">
        <v>0</v>
      </c>
      <c r="CA733" s="37">
        <v>0</v>
      </c>
      <c r="CB733" s="37">
        <v>0</v>
      </c>
      <c r="CC733" s="37">
        <v>0</v>
      </c>
      <c r="CD733" s="37">
        <v>0</v>
      </c>
      <c r="CE733" s="37">
        <v>0</v>
      </c>
      <c r="CF733" s="37">
        <v>0</v>
      </c>
      <c r="CG733" s="59">
        <v>0</v>
      </c>
      <c r="CH733" s="37">
        <v>0</v>
      </c>
      <c r="CI733" s="37">
        <v>0</v>
      </c>
      <c r="CJ733" s="37">
        <v>0</v>
      </c>
      <c r="CK733" s="37">
        <v>0</v>
      </c>
      <c r="CL733" s="37">
        <v>0</v>
      </c>
      <c r="CM733" s="37">
        <v>0</v>
      </c>
      <c r="CN733" s="59">
        <v>0</v>
      </c>
      <c r="CO733" s="59">
        <v>0</v>
      </c>
      <c r="CP733" s="58"/>
      <c r="CQ733" s="3">
        <v>0</v>
      </c>
    </row>
    <row r="734" spans="1:95" customFormat="1" x14ac:dyDescent="0.2">
      <c r="A734" s="33">
        <v>0</v>
      </c>
      <c r="B734" s="33">
        <v>0</v>
      </c>
      <c r="C734" s="33">
        <v>0</v>
      </c>
      <c r="D734" s="43">
        <v>0</v>
      </c>
      <c r="E734" s="43">
        <v>0</v>
      </c>
      <c r="F734" s="43">
        <v>0</v>
      </c>
      <c r="G734" s="43">
        <v>0</v>
      </c>
      <c r="H734" s="43">
        <v>0</v>
      </c>
      <c r="I734" s="43">
        <v>0</v>
      </c>
      <c r="J734" s="43">
        <v>0</v>
      </c>
      <c r="K734" s="43">
        <v>0</v>
      </c>
      <c r="L734" s="43">
        <v>0</v>
      </c>
      <c r="M734" s="43">
        <v>0</v>
      </c>
      <c r="N734" s="43">
        <v>0</v>
      </c>
      <c r="O734" s="43">
        <v>0</v>
      </c>
      <c r="P734" s="47">
        <v>0</v>
      </c>
      <c r="R734" s="37">
        <v>0</v>
      </c>
      <c r="S734" s="37">
        <v>0</v>
      </c>
      <c r="T734" s="37">
        <v>0</v>
      </c>
      <c r="U734" s="37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7">
        <v>0</v>
      </c>
      <c r="AB734" s="37">
        <v>0</v>
      </c>
      <c r="AC734" s="37">
        <v>0</v>
      </c>
      <c r="AD734" s="37">
        <v>0</v>
      </c>
      <c r="AE734" s="37">
        <v>0</v>
      </c>
      <c r="AF734" s="37">
        <v>0</v>
      </c>
      <c r="AG734" s="59">
        <v>0</v>
      </c>
      <c r="AH734" s="37">
        <v>0</v>
      </c>
      <c r="AI734" s="37">
        <v>0</v>
      </c>
      <c r="AJ734" s="37">
        <v>0</v>
      </c>
      <c r="AK734" s="37">
        <v>0</v>
      </c>
      <c r="AL734" s="37">
        <v>0</v>
      </c>
      <c r="AM734" s="37">
        <v>0</v>
      </c>
      <c r="AN734" s="37">
        <v>0</v>
      </c>
      <c r="AO734" s="37">
        <v>0</v>
      </c>
      <c r="AP734" s="37">
        <v>0</v>
      </c>
      <c r="AQ734" s="37">
        <v>0</v>
      </c>
      <c r="AR734" s="37">
        <v>0</v>
      </c>
      <c r="AS734" s="59">
        <v>0</v>
      </c>
      <c r="AT734" s="59">
        <v>0</v>
      </c>
      <c r="AU734" s="45"/>
      <c r="AV734" s="37">
        <v>0</v>
      </c>
      <c r="AW734" s="37">
        <v>0</v>
      </c>
      <c r="AX734" s="37">
        <v>0</v>
      </c>
      <c r="AY734" s="37">
        <v>0</v>
      </c>
      <c r="AZ734" s="37">
        <v>0</v>
      </c>
      <c r="BA734" s="37">
        <v>0</v>
      </c>
      <c r="BB734" s="37">
        <v>0</v>
      </c>
      <c r="BC734" s="37">
        <v>0</v>
      </c>
      <c r="BD734" s="37">
        <v>0</v>
      </c>
      <c r="BE734" s="37">
        <v>0</v>
      </c>
      <c r="BF734" s="37">
        <v>0</v>
      </c>
      <c r="BG734" s="37">
        <v>0</v>
      </c>
      <c r="BH734" s="37">
        <v>0</v>
      </c>
      <c r="BI734" s="37">
        <v>0</v>
      </c>
      <c r="BJ734" s="37">
        <v>0</v>
      </c>
      <c r="BK734" s="59">
        <v>0</v>
      </c>
      <c r="BL734" s="37">
        <v>0</v>
      </c>
      <c r="BM734" s="37">
        <v>0</v>
      </c>
      <c r="BN734" s="37">
        <v>0</v>
      </c>
      <c r="BO734" s="37">
        <v>0</v>
      </c>
      <c r="BP734" s="37">
        <v>0</v>
      </c>
      <c r="BQ734" s="37">
        <v>0</v>
      </c>
      <c r="BR734" s="37">
        <v>0</v>
      </c>
      <c r="BS734" s="37">
        <v>0</v>
      </c>
      <c r="BT734" s="37">
        <v>0</v>
      </c>
      <c r="BU734" s="37">
        <v>0</v>
      </c>
      <c r="BV734" s="37">
        <v>0</v>
      </c>
      <c r="BW734" s="59">
        <v>0</v>
      </c>
      <c r="BX734" s="59">
        <v>0</v>
      </c>
      <c r="BZ734" s="37">
        <v>0</v>
      </c>
      <c r="CA734" s="37">
        <v>0</v>
      </c>
      <c r="CB734" s="37">
        <v>0</v>
      </c>
      <c r="CC734" s="37">
        <v>0</v>
      </c>
      <c r="CD734" s="37">
        <v>0</v>
      </c>
      <c r="CE734" s="37">
        <v>0</v>
      </c>
      <c r="CF734" s="37">
        <v>0</v>
      </c>
      <c r="CG734" s="59">
        <v>0</v>
      </c>
      <c r="CH734" s="37">
        <v>0</v>
      </c>
      <c r="CI734" s="37">
        <v>0</v>
      </c>
      <c r="CJ734" s="37">
        <v>0</v>
      </c>
      <c r="CK734" s="37">
        <v>0</v>
      </c>
      <c r="CL734" s="37">
        <v>0</v>
      </c>
      <c r="CM734" s="37">
        <v>0</v>
      </c>
      <c r="CN734" s="59">
        <v>0</v>
      </c>
      <c r="CO734" s="59">
        <v>0</v>
      </c>
      <c r="CP734" s="58"/>
      <c r="CQ734" s="3">
        <v>0</v>
      </c>
    </row>
    <row r="735" spans="1:95" customFormat="1" x14ac:dyDescent="0.2">
      <c r="A735" s="33">
        <v>0</v>
      </c>
      <c r="B735" s="33">
        <v>0</v>
      </c>
      <c r="C735" s="33">
        <v>0</v>
      </c>
      <c r="D735" s="43">
        <v>0</v>
      </c>
      <c r="E735" s="43">
        <v>0</v>
      </c>
      <c r="F735" s="43">
        <v>0</v>
      </c>
      <c r="G735" s="43">
        <v>0</v>
      </c>
      <c r="H735" s="43">
        <v>0</v>
      </c>
      <c r="I735" s="43">
        <v>0</v>
      </c>
      <c r="J735" s="43">
        <v>0</v>
      </c>
      <c r="K735" s="43">
        <v>0</v>
      </c>
      <c r="L735" s="43">
        <v>0</v>
      </c>
      <c r="M735" s="43">
        <v>0</v>
      </c>
      <c r="N735" s="43">
        <v>0</v>
      </c>
      <c r="O735" s="43">
        <v>0</v>
      </c>
      <c r="P735" s="47">
        <v>0</v>
      </c>
      <c r="R735" s="37">
        <v>0</v>
      </c>
      <c r="S735" s="37">
        <v>0</v>
      </c>
      <c r="T735" s="37">
        <v>0</v>
      </c>
      <c r="U735" s="37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7">
        <v>0</v>
      </c>
      <c r="AB735" s="37">
        <v>0</v>
      </c>
      <c r="AC735" s="37">
        <v>0</v>
      </c>
      <c r="AD735" s="37">
        <v>0</v>
      </c>
      <c r="AE735" s="37">
        <v>0</v>
      </c>
      <c r="AF735" s="37">
        <v>0</v>
      </c>
      <c r="AG735" s="59">
        <v>0</v>
      </c>
      <c r="AH735" s="37">
        <v>0</v>
      </c>
      <c r="AI735" s="37">
        <v>0</v>
      </c>
      <c r="AJ735" s="37">
        <v>0</v>
      </c>
      <c r="AK735" s="37">
        <v>0</v>
      </c>
      <c r="AL735" s="37">
        <v>0</v>
      </c>
      <c r="AM735" s="37">
        <v>0</v>
      </c>
      <c r="AN735" s="37">
        <v>0</v>
      </c>
      <c r="AO735" s="37">
        <v>0</v>
      </c>
      <c r="AP735" s="37">
        <v>0</v>
      </c>
      <c r="AQ735" s="37">
        <v>0</v>
      </c>
      <c r="AR735" s="37">
        <v>0</v>
      </c>
      <c r="AS735" s="59">
        <v>0</v>
      </c>
      <c r="AT735" s="59">
        <v>0</v>
      </c>
      <c r="AU735" s="45"/>
      <c r="AV735" s="37">
        <v>0</v>
      </c>
      <c r="AW735" s="37">
        <v>0</v>
      </c>
      <c r="AX735" s="37">
        <v>0</v>
      </c>
      <c r="AY735" s="37">
        <v>0</v>
      </c>
      <c r="AZ735" s="37">
        <v>0</v>
      </c>
      <c r="BA735" s="37">
        <v>0</v>
      </c>
      <c r="BB735" s="37">
        <v>0</v>
      </c>
      <c r="BC735" s="37">
        <v>0</v>
      </c>
      <c r="BD735" s="37">
        <v>0</v>
      </c>
      <c r="BE735" s="37">
        <v>0</v>
      </c>
      <c r="BF735" s="37">
        <v>0</v>
      </c>
      <c r="BG735" s="37">
        <v>0</v>
      </c>
      <c r="BH735" s="37">
        <v>0</v>
      </c>
      <c r="BI735" s="37">
        <v>0</v>
      </c>
      <c r="BJ735" s="37">
        <v>0</v>
      </c>
      <c r="BK735" s="59">
        <v>0</v>
      </c>
      <c r="BL735" s="37">
        <v>0</v>
      </c>
      <c r="BM735" s="37">
        <v>0</v>
      </c>
      <c r="BN735" s="37">
        <v>0</v>
      </c>
      <c r="BO735" s="37">
        <v>0</v>
      </c>
      <c r="BP735" s="37">
        <v>0</v>
      </c>
      <c r="BQ735" s="37">
        <v>0</v>
      </c>
      <c r="BR735" s="37">
        <v>0</v>
      </c>
      <c r="BS735" s="37">
        <v>0</v>
      </c>
      <c r="BT735" s="37">
        <v>0</v>
      </c>
      <c r="BU735" s="37">
        <v>0</v>
      </c>
      <c r="BV735" s="37">
        <v>0</v>
      </c>
      <c r="BW735" s="59">
        <v>0</v>
      </c>
      <c r="BX735" s="59">
        <v>0</v>
      </c>
      <c r="BZ735" s="37">
        <v>0</v>
      </c>
      <c r="CA735" s="37">
        <v>0</v>
      </c>
      <c r="CB735" s="37">
        <v>0</v>
      </c>
      <c r="CC735" s="37">
        <v>0</v>
      </c>
      <c r="CD735" s="37">
        <v>0</v>
      </c>
      <c r="CE735" s="37">
        <v>0</v>
      </c>
      <c r="CF735" s="37">
        <v>0</v>
      </c>
      <c r="CG735" s="59">
        <v>0</v>
      </c>
      <c r="CH735" s="37">
        <v>0</v>
      </c>
      <c r="CI735" s="37">
        <v>0</v>
      </c>
      <c r="CJ735" s="37">
        <v>0</v>
      </c>
      <c r="CK735" s="37">
        <v>0</v>
      </c>
      <c r="CL735" s="37">
        <v>0</v>
      </c>
      <c r="CM735" s="37">
        <v>0</v>
      </c>
      <c r="CN735" s="59">
        <v>0</v>
      </c>
      <c r="CO735" s="59">
        <v>0</v>
      </c>
      <c r="CP735" s="58"/>
      <c r="CQ735" s="3">
        <v>0</v>
      </c>
    </row>
    <row r="736" spans="1:95" customFormat="1" x14ac:dyDescent="0.2">
      <c r="A736" s="33">
        <v>0</v>
      </c>
      <c r="B736" s="33">
        <v>0</v>
      </c>
      <c r="C736" s="33">
        <v>0</v>
      </c>
      <c r="D736" s="43">
        <v>0</v>
      </c>
      <c r="E736" s="43">
        <v>0</v>
      </c>
      <c r="F736" s="43">
        <v>0</v>
      </c>
      <c r="G736" s="43">
        <v>0</v>
      </c>
      <c r="H736" s="43">
        <v>0</v>
      </c>
      <c r="I736" s="43">
        <v>0</v>
      </c>
      <c r="J736" s="43">
        <v>0</v>
      </c>
      <c r="K736" s="43">
        <v>0</v>
      </c>
      <c r="L736" s="43">
        <v>0</v>
      </c>
      <c r="M736" s="43">
        <v>0</v>
      </c>
      <c r="N736" s="43">
        <v>0</v>
      </c>
      <c r="O736" s="43">
        <v>0</v>
      </c>
      <c r="P736" s="47">
        <v>0</v>
      </c>
      <c r="R736" s="37">
        <v>0</v>
      </c>
      <c r="S736" s="37">
        <v>0</v>
      </c>
      <c r="T736" s="37">
        <v>0</v>
      </c>
      <c r="U736" s="37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0</v>
      </c>
      <c r="AB736" s="37">
        <v>0</v>
      </c>
      <c r="AC736" s="37">
        <v>0</v>
      </c>
      <c r="AD736" s="37">
        <v>0</v>
      </c>
      <c r="AE736" s="37">
        <v>0</v>
      </c>
      <c r="AF736" s="37">
        <v>0</v>
      </c>
      <c r="AG736" s="59">
        <v>0</v>
      </c>
      <c r="AH736" s="37">
        <v>0</v>
      </c>
      <c r="AI736" s="37">
        <v>0</v>
      </c>
      <c r="AJ736" s="37">
        <v>0</v>
      </c>
      <c r="AK736" s="37">
        <v>0</v>
      </c>
      <c r="AL736" s="37">
        <v>0</v>
      </c>
      <c r="AM736" s="37">
        <v>0</v>
      </c>
      <c r="AN736" s="37">
        <v>0</v>
      </c>
      <c r="AO736" s="37">
        <v>0</v>
      </c>
      <c r="AP736" s="37">
        <v>0</v>
      </c>
      <c r="AQ736" s="37">
        <v>0</v>
      </c>
      <c r="AR736" s="37">
        <v>0</v>
      </c>
      <c r="AS736" s="59">
        <v>0</v>
      </c>
      <c r="AT736" s="59">
        <v>0</v>
      </c>
      <c r="AU736" s="45"/>
      <c r="AV736" s="37">
        <v>0</v>
      </c>
      <c r="AW736" s="37">
        <v>0</v>
      </c>
      <c r="AX736" s="37">
        <v>0</v>
      </c>
      <c r="AY736" s="37">
        <v>0</v>
      </c>
      <c r="AZ736" s="37">
        <v>0</v>
      </c>
      <c r="BA736" s="37">
        <v>0</v>
      </c>
      <c r="BB736" s="37">
        <v>0</v>
      </c>
      <c r="BC736" s="37">
        <v>0</v>
      </c>
      <c r="BD736" s="37">
        <v>0</v>
      </c>
      <c r="BE736" s="37">
        <v>0</v>
      </c>
      <c r="BF736" s="37">
        <v>0</v>
      </c>
      <c r="BG736" s="37">
        <v>0</v>
      </c>
      <c r="BH736" s="37">
        <v>0</v>
      </c>
      <c r="BI736" s="37">
        <v>0</v>
      </c>
      <c r="BJ736" s="37">
        <v>0</v>
      </c>
      <c r="BK736" s="59">
        <v>0</v>
      </c>
      <c r="BL736" s="37">
        <v>0</v>
      </c>
      <c r="BM736" s="37">
        <v>0</v>
      </c>
      <c r="BN736" s="37">
        <v>0</v>
      </c>
      <c r="BO736" s="37">
        <v>0</v>
      </c>
      <c r="BP736" s="37">
        <v>0</v>
      </c>
      <c r="BQ736" s="37">
        <v>0</v>
      </c>
      <c r="BR736" s="37">
        <v>0</v>
      </c>
      <c r="BS736" s="37">
        <v>0</v>
      </c>
      <c r="BT736" s="37">
        <v>0</v>
      </c>
      <c r="BU736" s="37">
        <v>0</v>
      </c>
      <c r="BV736" s="37">
        <v>0</v>
      </c>
      <c r="BW736" s="59">
        <v>0</v>
      </c>
      <c r="BX736" s="59">
        <v>0</v>
      </c>
      <c r="BZ736" s="37">
        <v>0</v>
      </c>
      <c r="CA736" s="37">
        <v>0</v>
      </c>
      <c r="CB736" s="37">
        <v>0</v>
      </c>
      <c r="CC736" s="37">
        <v>0</v>
      </c>
      <c r="CD736" s="37">
        <v>0</v>
      </c>
      <c r="CE736" s="37">
        <v>0</v>
      </c>
      <c r="CF736" s="37">
        <v>0</v>
      </c>
      <c r="CG736" s="59">
        <v>0</v>
      </c>
      <c r="CH736" s="37">
        <v>0</v>
      </c>
      <c r="CI736" s="37">
        <v>0</v>
      </c>
      <c r="CJ736" s="37">
        <v>0</v>
      </c>
      <c r="CK736" s="37">
        <v>0</v>
      </c>
      <c r="CL736" s="37">
        <v>0</v>
      </c>
      <c r="CM736" s="37">
        <v>0</v>
      </c>
      <c r="CN736" s="59">
        <v>0</v>
      </c>
      <c r="CO736" s="59">
        <v>0</v>
      </c>
      <c r="CP736" s="58"/>
      <c r="CQ736" s="3">
        <v>0</v>
      </c>
    </row>
    <row r="737" spans="1:95" customFormat="1" x14ac:dyDescent="0.2">
      <c r="A737" s="33">
        <v>0</v>
      </c>
      <c r="B737" s="33">
        <v>0</v>
      </c>
      <c r="C737" s="33">
        <v>0</v>
      </c>
      <c r="D737" s="43">
        <v>0</v>
      </c>
      <c r="E737" s="43">
        <v>0</v>
      </c>
      <c r="F737" s="43">
        <v>0</v>
      </c>
      <c r="G737" s="43">
        <v>0</v>
      </c>
      <c r="H737" s="43">
        <v>0</v>
      </c>
      <c r="I737" s="43">
        <v>0</v>
      </c>
      <c r="J737" s="43">
        <v>0</v>
      </c>
      <c r="K737" s="43">
        <v>0</v>
      </c>
      <c r="L737" s="43">
        <v>0</v>
      </c>
      <c r="M737" s="43">
        <v>0</v>
      </c>
      <c r="N737" s="43">
        <v>0</v>
      </c>
      <c r="O737" s="43">
        <v>0</v>
      </c>
      <c r="P737" s="47">
        <v>0</v>
      </c>
      <c r="R737" s="37">
        <v>0</v>
      </c>
      <c r="S737" s="37">
        <v>0</v>
      </c>
      <c r="T737" s="37">
        <v>0</v>
      </c>
      <c r="U737" s="37">
        <v>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7">
        <v>0</v>
      </c>
      <c r="AB737" s="37">
        <v>0</v>
      </c>
      <c r="AC737" s="37">
        <v>0</v>
      </c>
      <c r="AD737" s="37">
        <v>0</v>
      </c>
      <c r="AE737" s="37">
        <v>0</v>
      </c>
      <c r="AF737" s="37">
        <v>0</v>
      </c>
      <c r="AG737" s="59">
        <v>0</v>
      </c>
      <c r="AH737" s="37">
        <v>0</v>
      </c>
      <c r="AI737" s="37">
        <v>0</v>
      </c>
      <c r="AJ737" s="37"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v>0</v>
      </c>
      <c r="AP737" s="37">
        <v>0</v>
      </c>
      <c r="AQ737" s="37">
        <v>0</v>
      </c>
      <c r="AR737" s="37">
        <v>0</v>
      </c>
      <c r="AS737" s="59">
        <v>0</v>
      </c>
      <c r="AT737" s="59">
        <v>0</v>
      </c>
      <c r="AU737" s="45"/>
      <c r="AV737" s="37">
        <v>0</v>
      </c>
      <c r="AW737" s="37">
        <v>0</v>
      </c>
      <c r="AX737" s="37">
        <v>0</v>
      </c>
      <c r="AY737" s="37">
        <v>0</v>
      </c>
      <c r="AZ737" s="37">
        <v>0</v>
      </c>
      <c r="BA737" s="37">
        <v>0</v>
      </c>
      <c r="BB737" s="37">
        <v>0</v>
      </c>
      <c r="BC737" s="37">
        <v>0</v>
      </c>
      <c r="BD737" s="37">
        <v>0</v>
      </c>
      <c r="BE737" s="37">
        <v>0</v>
      </c>
      <c r="BF737" s="37">
        <v>0</v>
      </c>
      <c r="BG737" s="37">
        <v>0</v>
      </c>
      <c r="BH737" s="37">
        <v>0</v>
      </c>
      <c r="BI737" s="37">
        <v>0</v>
      </c>
      <c r="BJ737" s="37">
        <v>0</v>
      </c>
      <c r="BK737" s="59">
        <v>0</v>
      </c>
      <c r="BL737" s="37">
        <v>0</v>
      </c>
      <c r="BM737" s="37">
        <v>0</v>
      </c>
      <c r="BN737" s="37">
        <v>0</v>
      </c>
      <c r="BO737" s="37">
        <v>0</v>
      </c>
      <c r="BP737" s="37">
        <v>0</v>
      </c>
      <c r="BQ737" s="37">
        <v>0</v>
      </c>
      <c r="BR737" s="37">
        <v>0</v>
      </c>
      <c r="BS737" s="37">
        <v>0</v>
      </c>
      <c r="BT737" s="37">
        <v>0</v>
      </c>
      <c r="BU737" s="37">
        <v>0</v>
      </c>
      <c r="BV737" s="37">
        <v>0</v>
      </c>
      <c r="BW737" s="59">
        <v>0</v>
      </c>
      <c r="BX737" s="59">
        <v>0</v>
      </c>
      <c r="BZ737" s="37">
        <v>0</v>
      </c>
      <c r="CA737" s="37">
        <v>0</v>
      </c>
      <c r="CB737" s="37">
        <v>0</v>
      </c>
      <c r="CC737" s="37">
        <v>0</v>
      </c>
      <c r="CD737" s="37">
        <v>0</v>
      </c>
      <c r="CE737" s="37">
        <v>0</v>
      </c>
      <c r="CF737" s="37">
        <v>0</v>
      </c>
      <c r="CG737" s="59">
        <v>0</v>
      </c>
      <c r="CH737" s="37">
        <v>0</v>
      </c>
      <c r="CI737" s="37">
        <v>0</v>
      </c>
      <c r="CJ737" s="37">
        <v>0</v>
      </c>
      <c r="CK737" s="37">
        <v>0</v>
      </c>
      <c r="CL737" s="37">
        <v>0</v>
      </c>
      <c r="CM737" s="37">
        <v>0</v>
      </c>
      <c r="CN737" s="59">
        <v>0</v>
      </c>
      <c r="CO737" s="59">
        <v>0</v>
      </c>
      <c r="CP737" s="58"/>
      <c r="CQ737" s="3">
        <v>0</v>
      </c>
    </row>
    <row r="738" spans="1:95" customFormat="1" x14ac:dyDescent="0.2">
      <c r="A738" s="33">
        <v>0</v>
      </c>
      <c r="B738" s="33">
        <v>0</v>
      </c>
      <c r="C738" s="33">
        <v>0</v>
      </c>
      <c r="D738" s="43">
        <v>0</v>
      </c>
      <c r="E738" s="43">
        <v>0</v>
      </c>
      <c r="F738" s="43">
        <v>0</v>
      </c>
      <c r="G738" s="43">
        <v>0</v>
      </c>
      <c r="H738" s="43">
        <v>0</v>
      </c>
      <c r="I738" s="43">
        <v>0</v>
      </c>
      <c r="J738" s="43">
        <v>0</v>
      </c>
      <c r="K738" s="43">
        <v>0</v>
      </c>
      <c r="L738" s="43">
        <v>0</v>
      </c>
      <c r="M738" s="43">
        <v>0</v>
      </c>
      <c r="N738" s="43">
        <v>0</v>
      </c>
      <c r="O738" s="43">
        <v>0</v>
      </c>
      <c r="P738" s="47">
        <v>0</v>
      </c>
      <c r="R738" s="37">
        <v>0</v>
      </c>
      <c r="S738" s="37">
        <v>0</v>
      </c>
      <c r="T738" s="37">
        <v>0</v>
      </c>
      <c r="U738" s="37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0</v>
      </c>
      <c r="AB738" s="37">
        <v>0</v>
      </c>
      <c r="AC738" s="37">
        <v>0</v>
      </c>
      <c r="AD738" s="37">
        <v>0</v>
      </c>
      <c r="AE738" s="37">
        <v>0</v>
      </c>
      <c r="AF738" s="37">
        <v>0</v>
      </c>
      <c r="AG738" s="59">
        <v>0</v>
      </c>
      <c r="AH738" s="37">
        <v>0</v>
      </c>
      <c r="AI738" s="37">
        <v>0</v>
      </c>
      <c r="AJ738" s="37">
        <v>0</v>
      </c>
      <c r="AK738" s="37">
        <v>0</v>
      </c>
      <c r="AL738" s="37">
        <v>0</v>
      </c>
      <c r="AM738" s="37">
        <v>0</v>
      </c>
      <c r="AN738" s="37">
        <v>0</v>
      </c>
      <c r="AO738" s="37">
        <v>0</v>
      </c>
      <c r="AP738" s="37">
        <v>0</v>
      </c>
      <c r="AQ738" s="37">
        <v>0</v>
      </c>
      <c r="AR738" s="37">
        <v>0</v>
      </c>
      <c r="AS738" s="59">
        <v>0</v>
      </c>
      <c r="AT738" s="59">
        <v>0</v>
      </c>
      <c r="AU738" s="45"/>
      <c r="AV738" s="37">
        <v>0</v>
      </c>
      <c r="AW738" s="37">
        <v>0</v>
      </c>
      <c r="AX738" s="37">
        <v>0</v>
      </c>
      <c r="AY738" s="37">
        <v>0</v>
      </c>
      <c r="AZ738" s="37">
        <v>0</v>
      </c>
      <c r="BA738" s="37">
        <v>0</v>
      </c>
      <c r="BB738" s="37">
        <v>0</v>
      </c>
      <c r="BC738" s="37">
        <v>0</v>
      </c>
      <c r="BD738" s="37">
        <v>0</v>
      </c>
      <c r="BE738" s="37">
        <v>0</v>
      </c>
      <c r="BF738" s="37">
        <v>0</v>
      </c>
      <c r="BG738" s="37">
        <v>0</v>
      </c>
      <c r="BH738" s="37">
        <v>0</v>
      </c>
      <c r="BI738" s="37">
        <v>0</v>
      </c>
      <c r="BJ738" s="37">
        <v>0</v>
      </c>
      <c r="BK738" s="59">
        <v>0</v>
      </c>
      <c r="BL738" s="37">
        <v>0</v>
      </c>
      <c r="BM738" s="37">
        <v>0</v>
      </c>
      <c r="BN738" s="37">
        <v>0</v>
      </c>
      <c r="BO738" s="37">
        <v>0</v>
      </c>
      <c r="BP738" s="37">
        <v>0</v>
      </c>
      <c r="BQ738" s="37">
        <v>0</v>
      </c>
      <c r="BR738" s="37">
        <v>0</v>
      </c>
      <c r="BS738" s="37">
        <v>0</v>
      </c>
      <c r="BT738" s="37">
        <v>0</v>
      </c>
      <c r="BU738" s="37">
        <v>0</v>
      </c>
      <c r="BV738" s="37">
        <v>0</v>
      </c>
      <c r="BW738" s="59">
        <v>0</v>
      </c>
      <c r="BX738" s="59">
        <v>0</v>
      </c>
      <c r="BZ738" s="37">
        <v>0</v>
      </c>
      <c r="CA738" s="37">
        <v>0</v>
      </c>
      <c r="CB738" s="37">
        <v>0</v>
      </c>
      <c r="CC738" s="37">
        <v>0</v>
      </c>
      <c r="CD738" s="37">
        <v>0</v>
      </c>
      <c r="CE738" s="37">
        <v>0</v>
      </c>
      <c r="CF738" s="37">
        <v>0</v>
      </c>
      <c r="CG738" s="59">
        <v>0</v>
      </c>
      <c r="CH738" s="37">
        <v>0</v>
      </c>
      <c r="CI738" s="37">
        <v>0</v>
      </c>
      <c r="CJ738" s="37">
        <v>0</v>
      </c>
      <c r="CK738" s="37">
        <v>0</v>
      </c>
      <c r="CL738" s="37">
        <v>0</v>
      </c>
      <c r="CM738" s="37">
        <v>0</v>
      </c>
      <c r="CN738" s="59">
        <v>0</v>
      </c>
      <c r="CO738" s="59">
        <v>0</v>
      </c>
      <c r="CP738" s="58"/>
      <c r="CQ738" s="3">
        <v>0</v>
      </c>
    </row>
    <row r="739" spans="1:95" customFormat="1" x14ac:dyDescent="0.2">
      <c r="A739" s="33">
        <v>0</v>
      </c>
      <c r="B739" s="33">
        <v>0</v>
      </c>
      <c r="C739" s="33">
        <v>0</v>
      </c>
      <c r="D739" s="43">
        <v>0</v>
      </c>
      <c r="E739" s="43">
        <v>0</v>
      </c>
      <c r="F739" s="43">
        <v>0</v>
      </c>
      <c r="G739" s="43">
        <v>0</v>
      </c>
      <c r="H739" s="43">
        <v>0</v>
      </c>
      <c r="I739" s="43">
        <v>0</v>
      </c>
      <c r="J739" s="43">
        <v>0</v>
      </c>
      <c r="K739" s="43">
        <v>0</v>
      </c>
      <c r="L739" s="43">
        <v>0</v>
      </c>
      <c r="M739" s="43">
        <v>0</v>
      </c>
      <c r="N739" s="43">
        <v>0</v>
      </c>
      <c r="O739" s="43">
        <v>0</v>
      </c>
      <c r="P739" s="47">
        <v>0</v>
      </c>
      <c r="R739" s="37">
        <v>0</v>
      </c>
      <c r="S739" s="37">
        <v>0</v>
      </c>
      <c r="T739" s="37">
        <v>0</v>
      </c>
      <c r="U739" s="37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0</v>
      </c>
      <c r="AB739" s="37">
        <v>0</v>
      </c>
      <c r="AC739" s="37">
        <v>0</v>
      </c>
      <c r="AD739" s="37">
        <v>0</v>
      </c>
      <c r="AE739" s="37">
        <v>0</v>
      </c>
      <c r="AF739" s="37">
        <v>0</v>
      </c>
      <c r="AG739" s="59">
        <v>0</v>
      </c>
      <c r="AH739" s="37">
        <v>0</v>
      </c>
      <c r="AI739" s="37">
        <v>0</v>
      </c>
      <c r="AJ739" s="37">
        <v>0</v>
      </c>
      <c r="AK739" s="37">
        <v>0</v>
      </c>
      <c r="AL739" s="37">
        <v>0</v>
      </c>
      <c r="AM739" s="37">
        <v>0</v>
      </c>
      <c r="AN739" s="37">
        <v>0</v>
      </c>
      <c r="AO739" s="37">
        <v>0</v>
      </c>
      <c r="AP739" s="37">
        <v>0</v>
      </c>
      <c r="AQ739" s="37">
        <v>0</v>
      </c>
      <c r="AR739" s="37">
        <v>0</v>
      </c>
      <c r="AS739" s="59">
        <v>0</v>
      </c>
      <c r="AT739" s="59">
        <v>0</v>
      </c>
      <c r="AU739" s="45"/>
      <c r="AV739" s="37">
        <v>0</v>
      </c>
      <c r="AW739" s="37">
        <v>0</v>
      </c>
      <c r="AX739" s="37">
        <v>0</v>
      </c>
      <c r="AY739" s="37">
        <v>0</v>
      </c>
      <c r="AZ739" s="37">
        <v>0</v>
      </c>
      <c r="BA739" s="37">
        <v>0</v>
      </c>
      <c r="BB739" s="37">
        <v>0</v>
      </c>
      <c r="BC739" s="37">
        <v>0</v>
      </c>
      <c r="BD739" s="37">
        <v>0</v>
      </c>
      <c r="BE739" s="37">
        <v>0</v>
      </c>
      <c r="BF739" s="37">
        <v>0</v>
      </c>
      <c r="BG739" s="37">
        <v>0</v>
      </c>
      <c r="BH739" s="37">
        <v>0</v>
      </c>
      <c r="BI739" s="37">
        <v>0</v>
      </c>
      <c r="BJ739" s="37">
        <v>0</v>
      </c>
      <c r="BK739" s="59">
        <v>0</v>
      </c>
      <c r="BL739" s="37">
        <v>0</v>
      </c>
      <c r="BM739" s="37">
        <v>0</v>
      </c>
      <c r="BN739" s="37">
        <v>0</v>
      </c>
      <c r="BO739" s="37">
        <v>0</v>
      </c>
      <c r="BP739" s="37">
        <v>0</v>
      </c>
      <c r="BQ739" s="37">
        <v>0</v>
      </c>
      <c r="BR739" s="37">
        <v>0</v>
      </c>
      <c r="BS739" s="37">
        <v>0</v>
      </c>
      <c r="BT739" s="37">
        <v>0</v>
      </c>
      <c r="BU739" s="37">
        <v>0</v>
      </c>
      <c r="BV739" s="37">
        <v>0</v>
      </c>
      <c r="BW739" s="59">
        <v>0</v>
      </c>
      <c r="BX739" s="59">
        <v>0</v>
      </c>
      <c r="BZ739" s="37">
        <v>0</v>
      </c>
      <c r="CA739" s="37">
        <v>0</v>
      </c>
      <c r="CB739" s="37">
        <v>0</v>
      </c>
      <c r="CC739" s="37">
        <v>0</v>
      </c>
      <c r="CD739" s="37">
        <v>0</v>
      </c>
      <c r="CE739" s="37">
        <v>0</v>
      </c>
      <c r="CF739" s="37">
        <v>0</v>
      </c>
      <c r="CG739" s="59">
        <v>0</v>
      </c>
      <c r="CH739" s="37">
        <v>0</v>
      </c>
      <c r="CI739" s="37">
        <v>0</v>
      </c>
      <c r="CJ739" s="37">
        <v>0</v>
      </c>
      <c r="CK739" s="37">
        <v>0</v>
      </c>
      <c r="CL739" s="37">
        <v>0</v>
      </c>
      <c r="CM739" s="37">
        <v>0</v>
      </c>
      <c r="CN739" s="59">
        <v>0</v>
      </c>
      <c r="CO739" s="59">
        <v>0</v>
      </c>
      <c r="CP739" s="58"/>
      <c r="CQ739" s="3">
        <v>0</v>
      </c>
    </row>
    <row r="740" spans="1:95" customFormat="1" x14ac:dyDescent="0.2">
      <c r="A740" s="33">
        <v>0</v>
      </c>
      <c r="B740" s="33">
        <v>0</v>
      </c>
      <c r="C740" s="33">
        <v>0</v>
      </c>
      <c r="D740" s="43">
        <v>0</v>
      </c>
      <c r="E740" s="43">
        <v>0</v>
      </c>
      <c r="F740" s="43">
        <v>0</v>
      </c>
      <c r="G740" s="43">
        <v>0</v>
      </c>
      <c r="H740" s="43">
        <v>0</v>
      </c>
      <c r="I740" s="43">
        <v>0</v>
      </c>
      <c r="J740" s="43">
        <v>0</v>
      </c>
      <c r="K740" s="43">
        <v>0</v>
      </c>
      <c r="L740" s="43">
        <v>0</v>
      </c>
      <c r="M740" s="43">
        <v>0</v>
      </c>
      <c r="N740" s="43">
        <v>0</v>
      </c>
      <c r="O740" s="43">
        <v>0</v>
      </c>
      <c r="P740" s="47">
        <v>0</v>
      </c>
      <c r="R740" s="37">
        <v>0</v>
      </c>
      <c r="S740" s="37">
        <v>0</v>
      </c>
      <c r="T740" s="37">
        <v>0</v>
      </c>
      <c r="U740" s="37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0</v>
      </c>
      <c r="AB740" s="37">
        <v>0</v>
      </c>
      <c r="AC740" s="37">
        <v>0</v>
      </c>
      <c r="AD740" s="37">
        <v>0</v>
      </c>
      <c r="AE740" s="37">
        <v>0</v>
      </c>
      <c r="AF740" s="37">
        <v>0</v>
      </c>
      <c r="AG740" s="59">
        <v>0</v>
      </c>
      <c r="AH740" s="37">
        <v>0</v>
      </c>
      <c r="AI740" s="37">
        <v>0</v>
      </c>
      <c r="AJ740" s="37">
        <v>0</v>
      </c>
      <c r="AK740" s="37">
        <v>0</v>
      </c>
      <c r="AL740" s="37">
        <v>0</v>
      </c>
      <c r="AM740" s="37">
        <v>0</v>
      </c>
      <c r="AN740" s="37">
        <v>0</v>
      </c>
      <c r="AO740" s="37">
        <v>0</v>
      </c>
      <c r="AP740" s="37">
        <v>0</v>
      </c>
      <c r="AQ740" s="37">
        <v>0</v>
      </c>
      <c r="AR740" s="37">
        <v>0</v>
      </c>
      <c r="AS740" s="59">
        <v>0</v>
      </c>
      <c r="AT740" s="59">
        <v>0</v>
      </c>
      <c r="AU740" s="45"/>
      <c r="AV740" s="37">
        <v>0</v>
      </c>
      <c r="AW740" s="37">
        <v>0</v>
      </c>
      <c r="AX740" s="37">
        <v>0</v>
      </c>
      <c r="AY740" s="37">
        <v>0</v>
      </c>
      <c r="AZ740" s="37">
        <v>0</v>
      </c>
      <c r="BA740" s="37">
        <v>0</v>
      </c>
      <c r="BB740" s="37">
        <v>0</v>
      </c>
      <c r="BC740" s="37">
        <v>0</v>
      </c>
      <c r="BD740" s="37">
        <v>0</v>
      </c>
      <c r="BE740" s="37">
        <v>0</v>
      </c>
      <c r="BF740" s="37">
        <v>0</v>
      </c>
      <c r="BG740" s="37">
        <v>0</v>
      </c>
      <c r="BH740" s="37">
        <v>0</v>
      </c>
      <c r="BI740" s="37">
        <v>0</v>
      </c>
      <c r="BJ740" s="37">
        <v>0</v>
      </c>
      <c r="BK740" s="59">
        <v>0</v>
      </c>
      <c r="BL740" s="37">
        <v>0</v>
      </c>
      <c r="BM740" s="37">
        <v>0</v>
      </c>
      <c r="BN740" s="37">
        <v>0</v>
      </c>
      <c r="BO740" s="37">
        <v>0</v>
      </c>
      <c r="BP740" s="37">
        <v>0</v>
      </c>
      <c r="BQ740" s="37">
        <v>0</v>
      </c>
      <c r="BR740" s="37">
        <v>0</v>
      </c>
      <c r="BS740" s="37">
        <v>0</v>
      </c>
      <c r="BT740" s="37">
        <v>0</v>
      </c>
      <c r="BU740" s="37">
        <v>0</v>
      </c>
      <c r="BV740" s="37">
        <v>0</v>
      </c>
      <c r="BW740" s="59">
        <v>0</v>
      </c>
      <c r="BX740" s="59">
        <v>0</v>
      </c>
      <c r="BZ740" s="37">
        <v>0</v>
      </c>
      <c r="CA740" s="37">
        <v>0</v>
      </c>
      <c r="CB740" s="37">
        <v>0</v>
      </c>
      <c r="CC740" s="37">
        <v>0</v>
      </c>
      <c r="CD740" s="37">
        <v>0</v>
      </c>
      <c r="CE740" s="37">
        <v>0</v>
      </c>
      <c r="CF740" s="37">
        <v>0</v>
      </c>
      <c r="CG740" s="59">
        <v>0</v>
      </c>
      <c r="CH740" s="37">
        <v>0</v>
      </c>
      <c r="CI740" s="37">
        <v>0</v>
      </c>
      <c r="CJ740" s="37">
        <v>0</v>
      </c>
      <c r="CK740" s="37">
        <v>0</v>
      </c>
      <c r="CL740" s="37">
        <v>0</v>
      </c>
      <c r="CM740" s="37">
        <v>0</v>
      </c>
      <c r="CN740" s="59">
        <v>0</v>
      </c>
      <c r="CO740" s="59">
        <v>0</v>
      </c>
      <c r="CP740" s="58"/>
      <c r="CQ740" s="3">
        <v>0</v>
      </c>
    </row>
    <row r="741" spans="1:95" customFormat="1" x14ac:dyDescent="0.2">
      <c r="A741" s="33">
        <v>0</v>
      </c>
      <c r="B741" s="33">
        <v>0</v>
      </c>
      <c r="C741" s="33">
        <v>0</v>
      </c>
      <c r="D741" s="43">
        <v>0</v>
      </c>
      <c r="E741" s="43">
        <v>0</v>
      </c>
      <c r="F741" s="43">
        <v>0</v>
      </c>
      <c r="G741" s="43">
        <v>0</v>
      </c>
      <c r="H741" s="43">
        <v>0</v>
      </c>
      <c r="I741" s="43">
        <v>0</v>
      </c>
      <c r="J741" s="43">
        <v>0</v>
      </c>
      <c r="K741" s="43">
        <v>0</v>
      </c>
      <c r="L741" s="43">
        <v>0</v>
      </c>
      <c r="M741" s="43">
        <v>0</v>
      </c>
      <c r="N741" s="43">
        <v>0</v>
      </c>
      <c r="O741" s="43">
        <v>0</v>
      </c>
      <c r="P741" s="47">
        <v>0</v>
      </c>
      <c r="R741" s="37">
        <v>0</v>
      </c>
      <c r="S741" s="37">
        <v>0</v>
      </c>
      <c r="T741" s="37">
        <v>0</v>
      </c>
      <c r="U741" s="37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0</v>
      </c>
      <c r="AB741" s="37">
        <v>0</v>
      </c>
      <c r="AC741" s="37">
        <v>0</v>
      </c>
      <c r="AD741" s="37">
        <v>0</v>
      </c>
      <c r="AE741" s="37">
        <v>0</v>
      </c>
      <c r="AF741" s="37">
        <v>0</v>
      </c>
      <c r="AG741" s="59">
        <v>0</v>
      </c>
      <c r="AH741" s="37">
        <v>0</v>
      </c>
      <c r="AI741" s="37">
        <v>0</v>
      </c>
      <c r="AJ741" s="37"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v>0</v>
      </c>
      <c r="AP741" s="37">
        <v>0</v>
      </c>
      <c r="AQ741" s="37">
        <v>0</v>
      </c>
      <c r="AR741" s="37">
        <v>0</v>
      </c>
      <c r="AS741" s="59">
        <v>0</v>
      </c>
      <c r="AT741" s="59">
        <v>0</v>
      </c>
      <c r="AU741" s="45"/>
      <c r="AV741" s="37">
        <v>0</v>
      </c>
      <c r="AW741" s="37">
        <v>0</v>
      </c>
      <c r="AX741" s="37">
        <v>0</v>
      </c>
      <c r="AY741" s="37">
        <v>0</v>
      </c>
      <c r="AZ741" s="37">
        <v>0</v>
      </c>
      <c r="BA741" s="37">
        <v>0</v>
      </c>
      <c r="BB741" s="37">
        <v>0</v>
      </c>
      <c r="BC741" s="37">
        <v>0</v>
      </c>
      <c r="BD741" s="37">
        <v>0</v>
      </c>
      <c r="BE741" s="37">
        <v>0</v>
      </c>
      <c r="BF741" s="37">
        <v>0</v>
      </c>
      <c r="BG741" s="37">
        <v>0</v>
      </c>
      <c r="BH741" s="37">
        <v>0</v>
      </c>
      <c r="BI741" s="37">
        <v>0</v>
      </c>
      <c r="BJ741" s="37">
        <v>0</v>
      </c>
      <c r="BK741" s="59">
        <v>0</v>
      </c>
      <c r="BL741" s="37">
        <v>0</v>
      </c>
      <c r="BM741" s="37">
        <v>0</v>
      </c>
      <c r="BN741" s="37">
        <v>0</v>
      </c>
      <c r="BO741" s="37">
        <v>0</v>
      </c>
      <c r="BP741" s="37">
        <v>0</v>
      </c>
      <c r="BQ741" s="37">
        <v>0</v>
      </c>
      <c r="BR741" s="37">
        <v>0</v>
      </c>
      <c r="BS741" s="37">
        <v>0</v>
      </c>
      <c r="BT741" s="37">
        <v>0</v>
      </c>
      <c r="BU741" s="37">
        <v>0</v>
      </c>
      <c r="BV741" s="37">
        <v>0</v>
      </c>
      <c r="BW741" s="59">
        <v>0</v>
      </c>
      <c r="BX741" s="59">
        <v>0</v>
      </c>
      <c r="BZ741" s="37">
        <v>0</v>
      </c>
      <c r="CA741" s="37">
        <v>0</v>
      </c>
      <c r="CB741" s="37">
        <v>0</v>
      </c>
      <c r="CC741" s="37">
        <v>0</v>
      </c>
      <c r="CD741" s="37">
        <v>0</v>
      </c>
      <c r="CE741" s="37">
        <v>0</v>
      </c>
      <c r="CF741" s="37">
        <v>0</v>
      </c>
      <c r="CG741" s="59">
        <v>0</v>
      </c>
      <c r="CH741" s="37">
        <v>0</v>
      </c>
      <c r="CI741" s="37">
        <v>0</v>
      </c>
      <c r="CJ741" s="37">
        <v>0</v>
      </c>
      <c r="CK741" s="37">
        <v>0</v>
      </c>
      <c r="CL741" s="37">
        <v>0</v>
      </c>
      <c r="CM741" s="37">
        <v>0</v>
      </c>
      <c r="CN741" s="59">
        <v>0</v>
      </c>
      <c r="CO741" s="59">
        <v>0</v>
      </c>
      <c r="CP741" s="58"/>
      <c r="CQ741" s="3">
        <v>0</v>
      </c>
    </row>
    <row r="742" spans="1:95" customFormat="1" x14ac:dyDescent="0.2">
      <c r="A742" s="33">
        <v>0</v>
      </c>
      <c r="B742" s="33">
        <v>0</v>
      </c>
      <c r="C742" s="33">
        <v>0</v>
      </c>
      <c r="D742" s="43">
        <v>0</v>
      </c>
      <c r="E742" s="43">
        <v>0</v>
      </c>
      <c r="F742" s="43">
        <v>0</v>
      </c>
      <c r="G742" s="43">
        <v>0</v>
      </c>
      <c r="H742" s="43">
        <v>0</v>
      </c>
      <c r="I742" s="43">
        <v>0</v>
      </c>
      <c r="J742" s="43">
        <v>0</v>
      </c>
      <c r="K742" s="43">
        <v>0</v>
      </c>
      <c r="L742" s="43">
        <v>0</v>
      </c>
      <c r="M742" s="43">
        <v>0</v>
      </c>
      <c r="N742" s="43">
        <v>0</v>
      </c>
      <c r="O742" s="43">
        <v>0</v>
      </c>
      <c r="P742" s="47">
        <v>0</v>
      </c>
      <c r="R742" s="37">
        <v>0</v>
      </c>
      <c r="S742" s="37">
        <v>0</v>
      </c>
      <c r="T742" s="37">
        <v>0</v>
      </c>
      <c r="U742" s="37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0</v>
      </c>
      <c r="AB742" s="37">
        <v>0</v>
      </c>
      <c r="AC742" s="37">
        <v>0</v>
      </c>
      <c r="AD742" s="37">
        <v>0</v>
      </c>
      <c r="AE742" s="37">
        <v>0</v>
      </c>
      <c r="AF742" s="37">
        <v>0</v>
      </c>
      <c r="AG742" s="59">
        <v>0</v>
      </c>
      <c r="AH742" s="37">
        <v>0</v>
      </c>
      <c r="AI742" s="37">
        <v>0</v>
      </c>
      <c r="AJ742" s="37">
        <v>0</v>
      </c>
      <c r="AK742" s="37">
        <v>0</v>
      </c>
      <c r="AL742" s="37">
        <v>0</v>
      </c>
      <c r="AM742" s="37">
        <v>0</v>
      </c>
      <c r="AN742" s="37">
        <v>0</v>
      </c>
      <c r="AO742" s="37">
        <v>0</v>
      </c>
      <c r="AP742" s="37">
        <v>0</v>
      </c>
      <c r="AQ742" s="37">
        <v>0</v>
      </c>
      <c r="AR742" s="37">
        <v>0</v>
      </c>
      <c r="AS742" s="59">
        <v>0</v>
      </c>
      <c r="AT742" s="59">
        <v>0</v>
      </c>
      <c r="AU742" s="45"/>
      <c r="AV742" s="37">
        <v>0</v>
      </c>
      <c r="AW742" s="37">
        <v>0</v>
      </c>
      <c r="AX742" s="37">
        <v>0</v>
      </c>
      <c r="AY742" s="37">
        <v>0</v>
      </c>
      <c r="AZ742" s="37">
        <v>0</v>
      </c>
      <c r="BA742" s="37">
        <v>0</v>
      </c>
      <c r="BB742" s="37">
        <v>0</v>
      </c>
      <c r="BC742" s="37">
        <v>0</v>
      </c>
      <c r="BD742" s="37">
        <v>0</v>
      </c>
      <c r="BE742" s="37">
        <v>0</v>
      </c>
      <c r="BF742" s="37">
        <v>0</v>
      </c>
      <c r="BG742" s="37">
        <v>0</v>
      </c>
      <c r="BH742" s="37">
        <v>0</v>
      </c>
      <c r="BI742" s="37">
        <v>0</v>
      </c>
      <c r="BJ742" s="37">
        <v>0</v>
      </c>
      <c r="BK742" s="59">
        <v>0</v>
      </c>
      <c r="BL742" s="37">
        <v>0</v>
      </c>
      <c r="BM742" s="37">
        <v>0</v>
      </c>
      <c r="BN742" s="37">
        <v>0</v>
      </c>
      <c r="BO742" s="37">
        <v>0</v>
      </c>
      <c r="BP742" s="37">
        <v>0</v>
      </c>
      <c r="BQ742" s="37">
        <v>0</v>
      </c>
      <c r="BR742" s="37">
        <v>0</v>
      </c>
      <c r="BS742" s="37">
        <v>0</v>
      </c>
      <c r="BT742" s="37">
        <v>0</v>
      </c>
      <c r="BU742" s="37">
        <v>0</v>
      </c>
      <c r="BV742" s="37">
        <v>0</v>
      </c>
      <c r="BW742" s="59">
        <v>0</v>
      </c>
      <c r="BX742" s="59">
        <v>0</v>
      </c>
      <c r="BZ742" s="37">
        <v>0</v>
      </c>
      <c r="CA742" s="37">
        <v>0</v>
      </c>
      <c r="CB742" s="37">
        <v>0</v>
      </c>
      <c r="CC742" s="37">
        <v>0</v>
      </c>
      <c r="CD742" s="37">
        <v>0</v>
      </c>
      <c r="CE742" s="37">
        <v>0</v>
      </c>
      <c r="CF742" s="37">
        <v>0</v>
      </c>
      <c r="CG742" s="59">
        <v>0</v>
      </c>
      <c r="CH742" s="37">
        <v>0</v>
      </c>
      <c r="CI742" s="37">
        <v>0</v>
      </c>
      <c r="CJ742" s="37">
        <v>0</v>
      </c>
      <c r="CK742" s="37">
        <v>0</v>
      </c>
      <c r="CL742" s="37">
        <v>0</v>
      </c>
      <c r="CM742" s="37">
        <v>0</v>
      </c>
      <c r="CN742" s="59">
        <v>0</v>
      </c>
      <c r="CO742" s="59">
        <v>0</v>
      </c>
      <c r="CP742" s="58"/>
      <c r="CQ742" s="3">
        <v>0</v>
      </c>
    </row>
    <row r="743" spans="1:95" customFormat="1" x14ac:dyDescent="0.2">
      <c r="A743" s="33">
        <v>0</v>
      </c>
      <c r="B743" s="33">
        <v>0</v>
      </c>
      <c r="C743" s="33">
        <v>0</v>
      </c>
      <c r="D743" s="43">
        <v>0</v>
      </c>
      <c r="E743" s="43">
        <v>0</v>
      </c>
      <c r="F743" s="43">
        <v>0</v>
      </c>
      <c r="G743" s="43">
        <v>0</v>
      </c>
      <c r="H743" s="43">
        <v>0</v>
      </c>
      <c r="I743" s="43">
        <v>0</v>
      </c>
      <c r="J743" s="43">
        <v>0</v>
      </c>
      <c r="K743" s="43">
        <v>0</v>
      </c>
      <c r="L743" s="43">
        <v>0</v>
      </c>
      <c r="M743" s="43">
        <v>0</v>
      </c>
      <c r="N743" s="43">
        <v>0</v>
      </c>
      <c r="O743" s="43">
        <v>0</v>
      </c>
      <c r="P743" s="47">
        <v>0</v>
      </c>
      <c r="R743" s="37">
        <v>0</v>
      </c>
      <c r="S743" s="37">
        <v>0</v>
      </c>
      <c r="T743" s="37">
        <v>0</v>
      </c>
      <c r="U743" s="37">
        <v>0</v>
      </c>
      <c r="V743" s="37">
        <v>0</v>
      </c>
      <c r="W743" s="37">
        <v>0</v>
      </c>
      <c r="X743" s="37">
        <v>0</v>
      </c>
      <c r="Y743" s="37">
        <v>0</v>
      </c>
      <c r="Z743" s="37">
        <v>0</v>
      </c>
      <c r="AA743" s="37">
        <v>0</v>
      </c>
      <c r="AB743" s="37">
        <v>0</v>
      </c>
      <c r="AC743" s="37">
        <v>0</v>
      </c>
      <c r="AD743" s="37">
        <v>0</v>
      </c>
      <c r="AE743" s="37">
        <v>0</v>
      </c>
      <c r="AF743" s="37">
        <v>0</v>
      </c>
      <c r="AG743" s="59">
        <v>0</v>
      </c>
      <c r="AH743" s="37">
        <v>0</v>
      </c>
      <c r="AI743" s="37">
        <v>0</v>
      </c>
      <c r="AJ743" s="37">
        <v>0</v>
      </c>
      <c r="AK743" s="37">
        <v>0</v>
      </c>
      <c r="AL743" s="37">
        <v>0</v>
      </c>
      <c r="AM743" s="37">
        <v>0</v>
      </c>
      <c r="AN743" s="37">
        <v>0</v>
      </c>
      <c r="AO743" s="37">
        <v>0</v>
      </c>
      <c r="AP743" s="37">
        <v>0</v>
      </c>
      <c r="AQ743" s="37">
        <v>0</v>
      </c>
      <c r="AR743" s="37">
        <v>0</v>
      </c>
      <c r="AS743" s="59">
        <v>0</v>
      </c>
      <c r="AT743" s="59">
        <v>0</v>
      </c>
      <c r="AU743" s="45"/>
      <c r="AV743" s="37">
        <v>0</v>
      </c>
      <c r="AW743" s="37">
        <v>0</v>
      </c>
      <c r="AX743" s="37">
        <v>0</v>
      </c>
      <c r="AY743" s="37">
        <v>0</v>
      </c>
      <c r="AZ743" s="37">
        <v>0</v>
      </c>
      <c r="BA743" s="37">
        <v>0</v>
      </c>
      <c r="BB743" s="37">
        <v>0</v>
      </c>
      <c r="BC743" s="37">
        <v>0</v>
      </c>
      <c r="BD743" s="37">
        <v>0</v>
      </c>
      <c r="BE743" s="37">
        <v>0</v>
      </c>
      <c r="BF743" s="37">
        <v>0</v>
      </c>
      <c r="BG743" s="37">
        <v>0</v>
      </c>
      <c r="BH743" s="37">
        <v>0</v>
      </c>
      <c r="BI743" s="37">
        <v>0</v>
      </c>
      <c r="BJ743" s="37">
        <v>0</v>
      </c>
      <c r="BK743" s="59">
        <v>0</v>
      </c>
      <c r="BL743" s="37">
        <v>0</v>
      </c>
      <c r="BM743" s="37">
        <v>0</v>
      </c>
      <c r="BN743" s="37">
        <v>0</v>
      </c>
      <c r="BO743" s="37">
        <v>0</v>
      </c>
      <c r="BP743" s="37">
        <v>0</v>
      </c>
      <c r="BQ743" s="37">
        <v>0</v>
      </c>
      <c r="BR743" s="37">
        <v>0</v>
      </c>
      <c r="BS743" s="37">
        <v>0</v>
      </c>
      <c r="BT743" s="37">
        <v>0</v>
      </c>
      <c r="BU743" s="37">
        <v>0</v>
      </c>
      <c r="BV743" s="37">
        <v>0</v>
      </c>
      <c r="BW743" s="59">
        <v>0</v>
      </c>
      <c r="BX743" s="59">
        <v>0</v>
      </c>
      <c r="BZ743" s="37">
        <v>0</v>
      </c>
      <c r="CA743" s="37">
        <v>0</v>
      </c>
      <c r="CB743" s="37">
        <v>0</v>
      </c>
      <c r="CC743" s="37">
        <v>0</v>
      </c>
      <c r="CD743" s="37">
        <v>0</v>
      </c>
      <c r="CE743" s="37">
        <v>0</v>
      </c>
      <c r="CF743" s="37">
        <v>0</v>
      </c>
      <c r="CG743" s="59">
        <v>0</v>
      </c>
      <c r="CH743" s="37">
        <v>0</v>
      </c>
      <c r="CI743" s="37">
        <v>0</v>
      </c>
      <c r="CJ743" s="37">
        <v>0</v>
      </c>
      <c r="CK743" s="37">
        <v>0</v>
      </c>
      <c r="CL743" s="37">
        <v>0</v>
      </c>
      <c r="CM743" s="37">
        <v>0</v>
      </c>
      <c r="CN743" s="59">
        <v>0</v>
      </c>
      <c r="CO743" s="59">
        <v>0</v>
      </c>
      <c r="CP743" s="58"/>
      <c r="CQ743" s="3">
        <v>0</v>
      </c>
    </row>
    <row r="744" spans="1:95" customFormat="1" x14ac:dyDescent="0.2">
      <c r="A744" s="33">
        <v>0</v>
      </c>
      <c r="B744" s="33">
        <v>0</v>
      </c>
      <c r="C744" s="33">
        <v>0</v>
      </c>
      <c r="D744" s="43">
        <v>0</v>
      </c>
      <c r="E744" s="43">
        <v>0</v>
      </c>
      <c r="F744" s="43">
        <v>0</v>
      </c>
      <c r="G744" s="43">
        <v>0</v>
      </c>
      <c r="H744" s="43">
        <v>0</v>
      </c>
      <c r="I744" s="43">
        <v>0</v>
      </c>
      <c r="J744" s="43">
        <v>0</v>
      </c>
      <c r="K744" s="43">
        <v>0</v>
      </c>
      <c r="L744" s="43">
        <v>0</v>
      </c>
      <c r="M744" s="43">
        <v>0</v>
      </c>
      <c r="N744" s="43">
        <v>0</v>
      </c>
      <c r="O744" s="43">
        <v>0</v>
      </c>
      <c r="P744" s="47">
        <v>0</v>
      </c>
      <c r="R744" s="37">
        <v>0</v>
      </c>
      <c r="S744" s="37">
        <v>0</v>
      </c>
      <c r="T744" s="37">
        <v>0</v>
      </c>
      <c r="U744" s="37">
        <v>0</v>
      </c>
      <c r="V744" s="37">
        <v>0</v>
      </c>
      <c r="W744" s="37">
        <v>0</v>
      </c>
      <c r="X744" s="37">
        <v>0</v>
      </c>
      <c r="Y744" s="37">
        <v>0</v>
      </c>
      <c r="Z744" s="37">
        <v>0</v>
      </c>
      <c r="AA744" s="37">
        <v>0</v>
      </c>
      <c r="AB744" s="37">
        <v>0</v>
      </c>
      <c r="AC744" s="37">
        <v>0</v>
      </c>
      <c r="AD744" s="37">
        <v>0</v>
      </c>
      <c r="AE744" s="37">
        <v>0</v>
      </c>
      <c r="AF744" s="37">
        <v>0</v>
      </c>
      <c r="AG744" s="59">
        <v>0</v>
      </c>
      <c r="AH744" s="37">
        <v>0</v>
      </c>
      <c r="AI744" s="37">
        <v>0</v>
      </c>
      <c r="AJ744" s="37">
        <v>0</v>
      </c>
      <c r="AK744" s="37">
        <v>0</v>
      </c>
      <c r="AL744" s="37">
        <v>0</v>
      </c>
      <c r="AM744" s="37">
        <v>0</v>
      </c>
      <c r="AN744" s="37">
        <v>0</v>
      </c>
      <c r="AO744" s="37">
        <v>0</v>
      </c>
      <c r="AP744" s="37">
        <v>0</v>
      </c>
      <c r="AQ744" s="37">
        <v>0</v>
      </c>
      <c r="AR744" s="37">
        <v>0</v>
      </c>
      <c r="AS744" s="59">
        <v>0</v>
      </c>
      <c r="AT744" s="59">
        <v>0</v>
      </c>
      <c r="AU744" s="45"/>
      <c r="AV744" s="37">
        <v>0</v>
      </c>
      <c r="AW744" s="37">
        <v>0</v>
      </c>
      <c r="AX744" s="37">
        <v>0</v>
      </c>
      <c r="AY744" s="37">
        <v>0</v>
      </c>
      <c r="AZ744" s="37">
        <v>0</v>
      </c>
      <c r="BA744" s="37">
        <v>0</v>
      </c>
      <c r="BB744" s="37">
        <v>0</v>
      </c>
      <c r="BC744" s="37">
        <v>0</v>
      </c>
      <c r="BD744" s="37">
        <v>0</v>
      </c>
      <c r="BE744" s="37">
        <v>0</v>
      </c>
      <c r="BF744" s="37">
        <v>0</v>
      </c>
      <c r="BG744" s="37">
        <v>0</v>
      </c>
      <c r="BH744" s="37">
        <v>0</v>
      </c>
      <c r="BI744" s="37">
        <v>0</v>
      </c>
      <c r="BJ744" s="37">
        <v>0</v>
      </c>
      <c r="BK744" s="59">
        <v>0</v>
      </c>
      <c r="BL744" s="37">
        <v>0</v>
      </c>
      <c r="BM744" s="37">
        <v>0</v>
      </c>
      <c r="BN744" s="37">
        <v>0</v>
      </c>
      <c r="BO744" s="37">
        <v>0</v>
      </c>
      <c r="BP744" s="37">
        <v>0</v>
      </c>
      <c r="BQ744" s="37">
        <v>0</v>
      </c>
      <c r="BR744" s="37">
        <v>0</v>
      </c>
      <c r="BS744" s="37">
        <v>0</v>
      </c>
      <c r="BT744" s="37">
        <v>0</v>
      </c>
      <c r="BU744" s="37">
        <v>0</v>
      </c>
      <c r="BV744" s="37">
        <v>0</v>
      </c>
      <c r="BW744" s="59">
        <v>0</v>
      </c>
      <c r="BX744" s="59">
        <v>0</v>
      </c>
      <c r="BZ744" s="37">
        <v>0</v>
      </c>
      <c r="CA744" s="37">
        <v>0</v>
      </c>
      <c r="CB744" s="37">
        <v>0</v>
      </c>
      <c r="CC744" s="37">
        <v>0</v>
      </c>
      <c r="CD744" s="37">
        <v>0</v>
      </c>
      <c r="CE744" s="37">
        <v>0</v>
      </c>
      <c r="CF744" s="37">
        <v>0</v>
      </c>
      <c r="CG744" s="59">
        <v>0</v>
      </c>
      <c r="CH744" s="37">
        <v>0</v>
      </c>
      <c r="CI744" s="37">
        <v>0</v>
      </c>
      <c r="CJ744" s="37">
        <v>0</v>
      </c>
      <c r="CK744" s="37">
        <v>0</v>
      </c>
      <c r="CL744" s="37">
        <v>0</v>
      </c>
      <c r="CM744" s="37">
        <v>0</v>
      </c>
      <c r="CN744" s="59">
        <v>0</v>
      </c>
      <c r="CO744" s="59">
        <v>0</v>
      </c>
      <c r="CP744" s="58"/>
      <c r="CQ744" s="3">
        <v>0</v>
      </c>
    </row>
    <row r="745" spans="1:95" customFormat="1" x14ac:dyDescent="0.2">
      <c r="A745" s="33">
        <v>0</v>
      </c>
      <c r="B745" s="33">
        <v>0</v>
      </c>
      <c r="C745" s="33">
        <v>0</v>
      </c>
      <c r="D745" s="43">
        <v>0</v>
      </c>
      <c r="E745" s="43">
        <v>0</v>
      </c>
      <c r="F745" s="43">
        <v>0</v>
      </c>
      <c r="G745" s="43">
        <v>0</v>
      </c>
      <c r="H745" s="43">
        <v>0</v>
      </c>
      <c r="I745" s="43">
        <v>0</v>
      </c>
      <c r="J745" s="43">
        <v>0</v>
      </c>
      <c r="K745" s="43">
        <v>0</v>
      </c>
      <c r="L745" s="43">
        <v>0</v>
      </c>
      <c r="M745" s="43">
        <v>0</v>
      </c>
      <c r="N745" s="43">
        <v>0</v>
      </c>
      <c r="O745" s="43">
        <v>0</v>
      </c>
      <c r="P745" s="47">
        <v>0</v>
      </c>
      <c r="R745" s="37">
        <v>0</v>
      </c>
      <c r="S745" s="37">
        <v>0</v>
      </c>
      <c r="T745" s="37">
        <v>0</v>
      </c>
      <c r="U745" s="37">
        <v>0</v>
      </c>
      <c r="V745" s="37">
        <v>0</v>
      </c>
      <c r="W745" s="37">
        <v>0</v>
      </c>
      <c r="X745" s="37">
        <v>0</v>
      </c>
      <c r="Y745" s="37">
        <v>0</v>
      </c>
      <c r="Z745" s="37">
        <v>0</v>
      </c>
      <c r="AA745" s="37">
        <v>0</v>
      </c>
      <c r="AB745" s="37">
        <v>0</v>
      </c>
      <c r="AC745" s="37">
        <v>0</v>
      </c>
      <c r="AD745" s="37">
        <v>0</v>
      </c>
      <c r="AE745" s="37">
        <v>0</v>
      </c>
      <c r="AF745" s="37">
        <v>0</v>
      </c>
      <c r="AG745" s="59">
        <v>0</v>
      </c>
      <c r="AH745" s="37">
        <v>0</v>
      </c>
      <c r="AI745" s="37">
        <v>0</v>
      </c>
      <c r="AJ745" s="37">
        <v>0</v>
      </c>
      <c r="AK745" s="37">
        <v>0</v>
      </c>
      <c r="AL745" s="37">
        <v>0</v>
      </c>
      <c r="AM745" s="37">
        <v>0</v>
      </c>
      <c r="AN745" s="37">
        <v>0</v>
      </c>
      <c r="AO745" s="37">
        <v>0</v>
      </c>
      <c r="AP745" s="37">
        <v>0</v>
      </c>
      <c r="AQ745" s="37">
        <v>0</v>
      </c>
      <c r="AR745" s="37">
        <v>0</v>
      </c>
      <c r="AS745" s="59">
        <v>0</v>
      </c>
      <c r="AT745" s="59">
        <v>0</v>
      </c>
      <c r="AU745" s="45"/>
      <c r="AV745" s="37">
        <v>0</v>
      </c>
      <c r="AW745" s="37">
        <v>0</v>
      </c>
      <c r="AX745" s="37">
        <v>0</v>
      </c>
      <c r="AY745" s="37">
        <v>0</v>
      </c>
      <c r="AZ745" s="37">
        <v>0</v>
      </c>
      <c r="BA745" s="37">
        <v>0</v>
      </c>
      <c r="BB745" s="37">
        <v>0</v>
      </c>
      <c r="BC745" s="37">
        <v>0</v>
      </c>
      <c r="BD745" s="37">
        <v>0</v>
      </c>
      <c r="BE745" s="37">
        <v>0</v>
      </c>
      <c r="BF745" s="37">
        <v>0</v>
      </c>
      <c r="BG745" s="37">
        <v>0</v>
      </c>
      <c r="BH745" s="37">
        <v>0</v>
      </c>
      <c r="BI745" s="37">
        <v>0</v>
      </c>
      <c r="BJ745" s="37">
        <v>0</v>
      </c>
      <c r="BK745" s="59">
        <v>0</v>
      </c>
      <c r="BL745" s="37">
        <v>0</v>
      </c>
      <c r="BM745" s="37">
        <v>0</v>
      </c>
      <c r="BN745" s="37">
        <v>0</v>
      </c>
      <c r="BO745" s="37">
        <v>0</v>
      </c>
      <c r="BP745" s="37">
        <v>0</v>
      </c>
      <c r="BQ745" s="37">
        <v>0</v>
      </c>
      <c r="BR745" s="37">
        <v>0</v>
      </c>
      <c r="BS745" s="37">
        <v>0</v>
      </c>
      <c r="BT745" s="37">
        <v>0</v>
      </c>
      <c r="BU745" s="37">
        <v>0</v>
      </c>
      <c r="BV745" s="37">
        <v>0</v>
      </c>
      <c r="BW745" s="59">
        <v>0</v>
      </c>
      <c r="BX745" s="59">
        <v>0</v>
      </c>
      <c r="BZ745" s="37">
        <v>0</v>
      </c>
      <c r="CA745" s="37">
        <v>0</v>
      </c>
      <c r="CB745" s="37">
        <v>0</v>
      </c>
      <c r="CC745" s="37">
        <v>0</v>
      </c>
      <c r="CD745" s="37">
        <v>0</v>
      </c>
      <c r="CE745" s="37">
        <v>0</v>
      </c>
      <c r="CF745" s="37">
        <v>0</v>
      </c>
      <c r="CG745" s="59">
        <v>0</v>
      </c>
      <c r="CH745" s="37">
        <v>0</v>
      </c>
      <c r="CI745" s="37">
        <v>0</v>
      </c>
      <c r="CJ745" s="37">
        <v>0</v>
      </c>
      <c r="CK745" s="37">
        <v>0</v>
      </c>
      <c r="CL745" s="37">
        <v>0</v>
      </c>
      <c r="CM745" s="37">
        <v>0</v>
      </c>
      <c r="CN745" s="59">
        <v>0</v>
      </c>
      <c r="CO745" s="59">
        <v>0</v>
      </c>
      <c r="CP745" s="58"/>
      <c r="CQ745" s="3">
        <v>0</v>
      </c>
    </row>
    <row r="746" spans="1:95" customFormat="1" x14ac:dyDescent="0.2">
      <c r="A746" s="33">
        <v>0</v>
      </c>
      <c r="B746" s="33">
        <v>0</v>
      </c>
      <c r="C746" s="33">
        <v>0</v>
      </c>
      <c r="D746" s="43">
        <v>0</v>
      </c>
      <c r="E746" s="43">
        <v>0</v>
      </c>
      <c r="F746" s="43">
        <v>0</v>
      </c>
      <c r="G746" s="43">
        <v>0</v>
      </c>
      <c r="H746" s="43">
        <v>0</v>
      </c>
      <c r="I746" s="43">
        <v>0</v>
      </c>
      <c r="J746" s="43">
        <v>0</v>
      </c>
      <c r="K746" s="43">
        <v>0</v>
      </c>
      <c r="L746" s="43">
        <v>0</v>
      </c>
      <c r="M746" s="43">
        <v>0</v>
      </c>
      <c r="N746" s="43">
        <v>0</v>
      </c>
      <c r="O746" s="43">
        <v>0</v>
      </c>
      <c r="P746" s="47">
        <v>0</v>
      </c>
      <c r="R746" s="37">
        <v>0</v>
      </c>
      <c r="S746" s="37">
        <v>0</v>
      </c>
      <c r="T746" s="37">
        <v>0</v>
      </c>
      <c r="U746" s="37">
        <v>0</v>
      </c>
      <c r="V746" s="37">
        <v>0</v>
      </c>
      <c r="W746" s="37">
        <v>0</v>
      </c>
      <c r="X746" s="37">
        <v>0</v>
      </c>
      <c r="Y746" s="37">
        <v>0</v>
      </c>
      <c r="Z746" s="37">
        <v>0</v>
      </c>
      <c r="AA746" s="37">
        <v>0</v>
      </c>
      <c r="AB746" s="37">
        <v>0</v>
      </c>
      <c r="AC746" s="37">
        <v>0</v>
      </c>
      <c r="AD746" s="37">
        <v>0</v>
      </c>
      <c r="AE746" s="37">
        <v>0</v>
      </c>
      <c r="AF746" s="37">
        <v>0</v>
      </c>
      <c r="AG746" s="59">
        <v>0</v>
      </c>
      <c r="AH746" s="37">
        <v>0</v>
      </c>
      <c r="AI746" s="37">
        <v>0</v>
      </c>
      <c r="AJ746" s="37">
        <v>0</v>
      </c>
      <c r="AK746" s="37">
        <v>0</v>
      </c>
      <c r="AL746" s="37">
        <v>0</v>
      </c>
      <c r="AM746" s="37">
        <v>0</v>
      </c>
      <c r="AN746" s="37">
        <v>0</v>
      </c>
      <c r="AO746" s="37">
        <v>0</v>
      </c>
      <c r="AP746" s="37">
        <v>0</v>
      </c>
      <c r="AQ746" s="37">
        <v>0</v>
      </c>
      <c r="AR746" s="37">
        <v>0</v>
      </c>
      <c r="AS746" s="59">
        <v>0</v>
      </c>
      <c r="AT746" s="59">
        <v>0</v>
      </c>
      <c r="AU746" s="45"/>
      <c r="AV746" s="37">
        <v>0</v>
      </c>
      <c r="AW746" s="37">
        <v>0</v>
      </c>
      <c r="AX746" s="37">
        <v>0</v>
      </c>
      <c r="AY746" s="37">
        <v>0</v>
      </c>
      <c r="AZ746" s="37">
        <v>0</v>
      </c>
      <c r="BA746" s="37">
        <v>0</v>
      </c>
      <c r="BB746" s="37">
        <v>0</v>
      </c>
      <c r="BC746" s="37">
        <v>0</v>
      </c>
      <c r="BD746" s="37">
        <v>0</v>
      </c>
      <c r="BE746" s="37">
        <v>0</v>
      </c>
      <c r="BF746" s="37">
        <v>0</v>
      </c>
      <c r="BG746" s="37">
        <v>0</v>
      </c>
      <c r="BH746" s="37">
        <v>0</v>
      </c>
      <c r="BI746" s="37">
        <v>0</v>
      </c>
      <c r="BJ746" s="37">
        <v>0</v>
      </c>
      <c r="BK746" s="59">
        <v>0</v>
      </c>
      <c r="BL746" s="37">
        <v>0</v>
      </c>
      <c r="BM746" s="37">
        <v>0</v>
      </c>
      <c r="BN746" s="37">
        <v>0</v>
      </c>
      <c r="BO746" s="37">
        <v>0</v>
      </c>
      <c r="BP746" s="37">
        <v>0</v>
      </c>
      <c r="BQ746" s="37">
        <v>0</v>
      </c>
      <c r="BR746" s="37">
        <v>0</v>
      </c>
      <c r="BS746" s="37">
        <v>0</v>
      </c>
      <c r="BT746" s="37">
        <v>0</v>
      </c>
      <c r="BU746" s="37">
        <v>0</v>
      </c>
      <c r="BV746" s="37">
        <v>0</v>
      </c>
      <c r="BW746" s="59">
        <v>0</v>
      </c>
      <c r="BX746" s="59">
        <v>0</v>
      </c>
      <c r="BZ746" s="37">
        <v>0</v>
      </c>
      <c r="CA746" s="37">
        <v>0</v>
      </c>
      <c r="CB746" s="37">
        <v>0</v>
      </c>
      <c r="CC746" s="37">
        <v>0</v>
      </c>
      <c r="CD746" s="37">
        <v>0</v>
      </c>
      <c r="CE746" s="37">
        <v>0</v>
      </c>
      <c r="CF746" s="37">
        <v>0</v>
      </c>
      <c r="CG746" s="59">
        <v>0</v>
      </c>
      <c r="CH746" s="37">
        <v>0</v>
      </c>
      <c r="CI746" s="37">
        <v>0</v>
      </c>
      <c r="CJ746" s="37">
        <v>0</v>
      </c>
      <c r="CK746" s="37">
        <v>0</v>
      </c>
      <c r="CL746" s="37">
        <v>0</v>
      </c>
      <c r="CM746" s="37">
        <v>0</v>
      </c>
      <c r="CN746" s="59">
        <v>0</v>
      </c>
      <c r="CO746" s="59">
        <v>0</v>
      </c>
      <c r="CP746" s="58"/>
      <c r="CQ746" s="3">
        <v>0</v>
      </c>
    </row>
    <row r="747" spans="1:95" customFormat="1" x14ac:dyDescent="0.2">
      <c r="A747" s="33">
        <v>0</v>
      </c>
      <c r="B747" s="33">
        <v>0</v>
      </c>
      <c r="C747" s="33">
        <v>0</v>
      </c>
      <c r="D747" s="43">
        <v>0</v>
      </c>
      <c r="E747" s="43">
        <v>0</v>
      </c>
      <c r="F747" s="43">
        <v>0</v>
      </c>
      <c r="G747" s="43">
        <v>0</v>
      </c>
      <c r="H747" s="43">
        <v>0</v>
      </c>
      <c r="I747" s="43">
        <v>0</v>
      </c>
      <c r="J747" s="43">
        <v>0</v>
      </c>
      <c r="K747" s="43">
        <v>0</v>
      </c>
      <c r="L747" s="43">
        <v>0</v>
      </c>
      <c r="M747" s="43">
        <v>0</v>
      </c>
      <c r="N747" s="43">
        <v>0</v>
      </c>
      <c r="O747" s="43">
        <v>0</v>
      </c>
      <c r="P747" s="4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0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59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59">
        <v>0</v>
      </c>
      <c r="AT747" s="59">
        <v>0</v>
      </c>
      <c r="AU747" s="45"/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>
        <v>0</v>
      </c>
      <c r="BB747" s="37">
        <v>0</v>
      </c>
      <c r="BC747" s="37">
        <v>0</v>
      </c>
      <c r="BD747" s="37">
        <v>0</v>
      </c>
      <c r="BE747" s="37">
        <v>0</v>
      </c>
      <c r="BF747" s="37">
        <v>0</v>
      </c>
      <c r="BG747" s="37">
        <v>0</v>
      </c>
      <c r="BH747" s="37">
        <v>0</v>
      </c>
      <c r="BI747" s="37">
        <v>0</v>
      </c>
      <c r="BJ747" s="37">
        <v>0</v>
      </c>
      <c r="BK747" s="59">
        <v>0</v>
      </c>
      <c r="BL747" s="37">
        <v>0</v>
      </c>
      <c r="BM747" s="37">
        <v>0</v>
      </c>
      <c r="BN747" s="37">
        <v>0</v>
      </c>
      <c r="BO747" s="37">
        <v>0</v>
      </c>
      <c r="BP747" s="37">
        <v>0</v>
      </c>
      <c r="BQ747" s="37">
        <v>0</v>
      </c>
      <c r="BR747" s="37">
        <v>0</v>
      </c>
      <c r="BS747" s="37">
        <v>0</v>
      </c>
      <c r="BT747" s="37">
        <v>0</v>
      </c>
      <c r="BU747" s="37">
        <v>0</v>
      </c>
      <c r="BV747" s="37">
        <v>0</v>
      </c>
      <c r="BW747" s="59">
        <v>0</v>
      </c>
      <c r="BX747" s="59">
        <v>0</v>
      </c>
      <c r="BZ747" s="37">
        <v>0</v>
      </c>
      <c r="CA747" s="37">
        <v>0</v>
      </c>
      <c r="CB747" s="37">
        <v>0</v>
      </c>
      <c r="CC747" s="37">
        <v>0</v>
      </c>
      <c r="CD747" s="37">
        <v>0</v>
      </c>
      <c r="CE747" s="37">
        <v>0</v>
      </c>
      <c r="CF747" s="37">
        <v>0</v>
      </c>
      <c r="CG747" s="59">
        <v>0</v>
      </c>
      <c r="CH747" s="37">
        <v>0</v>
      </c>
      <c r="CI747" s="37">
        <v>0</v>
      </c>
      <c r="CJ747" s="37">
        <v>0</v>
      </c>
      <c r="CK747" s="37">
        <v>0</v>
      </c>
      <c r="CL747" s="37">
        <v>0</v>
      </c>
      <c r="CM747" s="37">
        <v>0</v>
      </c>
      <c r="CN747" s="59">
        <v>0</v>
      </c>
      <c r="CO747" s="59">
        <v>0</v>
      </c>
      <c r="CP747" s="58"/>
      <c r="CQ747" s="3">
        <v>0</v>
      </c>
    </row>
    <row r="748" spans="1:95" customFormat="1" x14ac:dyDescent="0.2">
      <c r="A748" s="33">
        <v>0</v>
      </c>
      <c r="B748" s="33">
        <v>0</v>
      </c>
      <c r="C748" s="33">
        <v>0</v>
      </c>
      <c r="D748" s="43">
        <v>0</v>
      </c>
      <c r="E748" s="43">
        <v>0</v>
      </c>
      <c r="F748" s="43">
        <v>0</v>
      </c>
      <c r="G748" s="43">
        <v>0</v>
      </c>
      <c r="H748" s="43">
        <v>0</v>
      </c>
      <c r="I748" s="43">
        <v>0</v>
      </c>
      <c r="J748" s="43">
        <v>0</v>
      </c>
      <c r="K748" s="43">
        <v>0</v>
      </c>
      <c r="L748" s="43">
        <v>0</v>
      </c>
      <c r="M748" s="43">
        <v>0</v>
      </c>
      <c r="N748" s="43">
        <v>0</v>
      </c>
      <c r="O748" s="43">
        <v>0</v>
      </c>
      <c r="P748" s="47">
        <v>0</v>
      </c>
      <c r="R748" s="37">
        <v>0</v>
      </c>
      <c r="S748" s="37">
        <v>0</v>
      </c>
      <c r="T748" s="37">
        <v>0</v>
      </c>
      <c r="U748" s="37">
        <v>0</v>
      </c>
      <c r="V748" s="37">
        <v>0</v>
      </c>
      <c r="W748" s="37">
        <v>0</v>
      </c>
      <c r="X748" s="37">
        <v>0</v>
      </c>
      <c r="Y748" s="37">
        <v>0</v>
      </c>
      <c r="Z748" s="37">
        <v>0</v>
      </c>
      <c r="AA748" s="37">
        <v>0</v>
      </c>
      <c r="AB748" s="37">
        <v>0</v>
      </c>
      <c r="AC748" s="37">
        <v>0</v>
      </c>
      <c r="AD748" s="37">
        <v>0</v>
      </c>
      <c r="AE748" s="37">
        <v>0</v>
      </c>
      <c r="AF748" s="37">
        <v>0</v>
      </c>
      <c r="AG748" s="59">
        <v>0</v>
      </c>
      <c r="AH748" s="37">
        <v>0</v>
      </c>
      <c r="AI748" s="37">
        <v>0</v>
      </c>
      <c r="AJ748" s="37">
        <v>0</v>
      </c>
      <c r="AK748" s="37">
        <v>0</v>
      </c>
      <c r="AL748" s="37">
        <v>0</v>
      </c>
      <c r="AM748" s="37">
        <v>0</v>
      </c>
      <c r="AN748" s="37">
        <v>0</v>
      </c>
      <c r="AO748" s="37">
        <v>0</v>
      </c>
      <c r="AP748" s="37">
        <v>0</v>
      </c>
      <c r="AQ748" s="37">
        <v>0</v>
      </c>
      <c r="AR748" s="37">
        <v>0</v>
      </c>
      <c r="AS748" s="59">
        <v>0</v>
      </c>
      <c r="AT748" s="59">
        <v>0</v>
      </c>
      <c r="AU748" s="45"/>
      <c r="AV748" s="37">
        <v>0</v>
      </c>
      <c r="AW748" s="37">
        <v>0</v>
      </c>
      <c r="AX748" s="37">
        <v>0</v>
      </c>
      <c r="AY748" s="37">
        <v>0</v>
      </c>
      <c r="AZ748" s="37">
        <v>0</v>
      </c>
      <c r="BA748" s="37">
        <v>0</v>
      </c>
      <c r="BB748" s="37">
        <v>0</v>
      </c>
      <c r="BC748" s="37">
        <v>0</v>
      </c>
      <c r="BD748" s="37">
        <v>0</v>
      </c>
      <c r="BE748" s="37">
        <v>0</v>
      </c>
      <c r="BF748" s="37">
        <v>0</v>
      </c>
      <c r="BG748" s="37">
        <v>0</v>
      </c>
      <c r="BH748" s="37">
        <v>0</v>
      </c>
      <c r="BI748" s="37">
        <v>0</v>
      </c>
      <c r="BJ748" s="37">
        <v>0</v>
      </c>
      <c r="BK748" s="59">
        <v>0</v>
      </c>
      <c r="BL748" s="37">
        <v>0</v>
      </c>
      <c r="BM748" s="37">
        <v>0</v>
      </c>
      <c r="BN748" s="37">
        <v>0</v>
      </c>
      <c r="BO748" s="37">
        <v>0</v>
      </c>
      <c r="BP748" s="37">
        <v>0</v>
      </c>
      <c r="BQ748" s="37">
        <v>0</v>
      </c>
      <c r="BR748" s="37">
        <v>0</v>
      </c>
      <c r="BS748" s="37">
        <v>0</v>
      </c>
      <c r="BT748" s="37">
        <v>0</v>
      </c>
      <c r="BU748" s="37">
        <v>0</v>
      </c>
      <c r="BV748" s="37">
        <v>0</v>
      </c>
      <c r="BW748" s="59">
        <v>0</v>
      </c>
      <c r="BX748" s="59">
        <v>0</v>
      </c>
      <c r="BZ748" s="37">
        <v>0</v>
      </c>
      <c r="CA748" s="37">
        <v>0</v>
      </c>
      <c r="CB748" s="37">
        <v>0</v>
      </c>
      <c r="CC748" s="37">
        <v>0</v>
      </c>
      <c r="CD748" s="37">
        <v>0</v>
      </c>
      <c r="CE748" s="37">
        <v>0</v>
      </c>
      <c r="CF748" s="37">
        <v>0</v>
      </c>
      <c r="CG748" s="59">
        <v>0</v>
      </c>
      <c r="CH748" s="37">
        <v>0</v>
      </c>
      <c r="CI748" s="37">
        <v>0</v>
      </c>
      <c r="CJ748" s="37">
        <v>0</v>
      </c>
      <c r="CK748" s="37">
        <v>0</v>
      </c>
      <c r="CL748" s="37">
        <v>0</v>
      </c>
      <c r="CM748" s="37">
        <v>0</v>
      </c>
      <c r="CN748" s="59">
        <v>0</v>
      </c>
      <c r="CO748" s="59">
        <v>0</v>
      </c>
      <c r="CP748" s="58"/>
      <c r="CQ748" s="3">
        <v>0</v>
      </c>
    </row>
    <row r="749" spans="1:95" customFormat="1" x14ac:dyDescent="0.2">
      <c r="A749" s="33">
        <v>0</v>
      </c>
      <c r="B749" s="33">
        <v>0</v>
      </c>
      <c r="C749" s="33">
        <v>0</v>
      </c>
      <c r="D749" s="43">
        <v>0</v>
      </c>
      <c r="E749" s="43">
        <v>0</v>
      </c>
      <c r="F749" s="43">
        <v>0</v>
      </c>
      <c r="G749" s="43">
        <v>0</v>
      </c>
      <c r="H749" s="43">
        <v>0</v>
      </c>
      <c r="I749" s="43">
        <v>0</v>
      </c>
      <c r="J749" s="43">
        <v>0</v>
      </c>
      <c r="K749" s="43">
        <v>0</v>
      </c>
      <c r="L749" s="43">
        <v>0</v>
      </c>
      <c r="M749" s="43">
        <v>0</v>
      </c>
      <c r="N749" s="43">
        <v>0</v>
      </c>
      <c r="O749" s="43">
        <v>0</v>
      </c>
      <c r="P749" s="47">
        <v>0</v>
      </c>
      <c r="R749" s="37">
        <v>0</v>
      </c>
      <c r="S749" s="37">
        <v>0</v>
      </c>
      <c r="T749" s="37">
        <v>0</v>
      </c>
      <c r="U749" s="37">
        <v>0</v>
      </c>
      <c r="V749" s="37">
        <v>0</v>
      </c>
      <c r="W749" s="37">
        <v>0</v>
      </c>
      <c r="X749" s="37">
        <v>0</v>
      </c>
      <c r="Y749" s="37">
        <v>0</v>
      </c>
      <c r="Z749" s="37">
        <v>0</v>
      </c>
      <c r="AA749" s="37">
        <v>0</v>
      </c>
      <c r="AB749" s="37">
        <v>0</v>
      </c>
      <c r="AC749" s="37">
        <v>0</v>
      </c>
      <c r="AD749" s="37">
        <v>0</v>
      </c>
      <c r="AE749" s="37">
        <v>0</v>
      </c>
      <c r="AF749" s="37">
        <v>0</v>
      </c>
      <c r="AG749" s="59">
        <v>0</v>
      </c>
      <c r="AH749" s="37">
        <v>0</v>
      </c>
      <c r="AI749" s="37">
        <v>0</v>
      </c>
      <c r="AJ749" s="37">
        <v>0</v>
      </c>
      <c r="AK749" s="37">
        <v>0</v>
      </c>
      <c r="AL749" s="37">
        <v>0</v>
      </c>
      <c r="AM749" s="37">
        <v>0</v>
      </c>
      <c r="AN749" s="37">
        <v>0</v>
      </c>
      <c r="AO749" s="37">
        <v>0</v>
      </c>
      <c r="AP749" s="37">
        <v>0</v>
      </c>
      <c r="AQ749" s="37">
        <v>0</v>
      </c>
      <c r="AR749" s="37">
        <v>0</v>
      </c>
      <c r="AS749" s="59">
        <v>0</v>
      </c>
      <c r="AT749" s="59">
        <v>0</v>
      </c>
      <c r="AU749" s="45"/>
      <c r="AV749" s="37">
        <v>0</v>
      </c>
      <c r="AW749" s="37">
        <v>0</v>
      </c>
      <c r="AX749" s="37">
        <v>0</v>
      </c>
      <c r="AY749" s="37">
        <v>0</v>
      </c>
      <c r="AZ749" s="37">
        <v>0</v>
      </c>
      <c r="BA749" s="37">
        <v>0</v>
      </c>
      <c r="BB749" s="37">
        <v>0</v>
      </c>
      <c r="BC749" s="37">
        <v>0</v>
      </c>
      <c r="BD749" s="37">
        <v>0</v>
      </c>
      <c r="BE749" s="37">
        <v>0</v>
      </c>
      <c r="BF749" s="37">
        <v>0</v>
      </c>
      <c r="BG749" s="37">
        <v>0</v>
      </c>
      <c r="BH749" s="37">
        <v>0</v>
      </c>
      <c r="BI749" s="37">
        <v>0</v>
      </c>
      <c r="BJ749" s="37">
        <v>0</v>
      </c>
      <c r="BK749" s="59">
        <v>0</v>
      </c>
      <c r="BL749" s="37">
        <v>0</v>
      </c>
      <c r="BM749" s="37">
        <v>0</v>
      </c>
      <c r="BN749" s="37">
        <v>0</v>
      </c>
      <c r="BO749" s="37">
        <v>0</v>
      </c>
      <c r="BP749" s="37">
        <v>0</v>
      </c>
      <c r="BQ749" s="37">
        <v>0</v>
      </c>
      <c r="BR749" s="37">
        <v>0</v>
      </c>
      <c r="BS749" s="37">
        <v>0</v>
      </c>
      <c r="BT749" s="37">
        <v>0</v>
      </c>
      <c r="BU749" s="37">
        <v>0</v>
      </c>
      <c r="BV749" s="37">
        <v>0</v>
      </c>
      <c r="BW749" s="59">
        <v>0</v>
      </c>
      <c r="BX749" s="59">
        <v>0</v>
      </c>
      <c r="BZ749" s="37">
        <v>0</v>
      </c>
      <c r="CA749" s="37">
        <v>0</v>
      </c>
      <c r="CB749" s="37">
        <v>0</v>
      </c>
      <c r="CC749" s="37">
        <v>0</v>
      </c>
      <c r="CD749" s="37">
        <v>0</v>
      </c>
      <c r="CE749" s="37">
        <v>0</v>
      </c>
      <c r="CF749" s="37">
        <v>0</v>
      </c>
      <c r="CG749" s="59">
        <v>0</v>
      </c>
      <c r="CH749" s="37">
        <v>0</v>
      </c>
      <c r="CI749" s="37">
        <v>0</v>
      </c>
      <c r="CJ749" s="37">
        <v>0</v>
      </c>
      <c r="CK749" s="37">
        <v>0</v>
      </c>
      <c r="CL749" s="37">
        <v>0</v>
      </c>
      <c r="CM749" s="37">
        <v>0</v>
      </c>
      <c r="CN749" s="59">
        <v>0</v>
      </c>
      <c r="CO749" s="59">
        <v>0</v>
      </c>
      <c r="CP749" s="58"/>
      <c r="CQ749" s="3">
        <v>0</v>
      </c>
    </row>
    <row r="750" spans="1:95" customFormat="1" x14ac:dyDescent="0.2">
      <c r="A750" s="33">
        <v>0</v>
      </c>
      <c r="B750" s="33">
        <v>0</v>
      </c>
      <c r="C750" s="33">
        <v>0</v>
      </c>
      <c r="D750" s="43">
        <v>0</v>
      </c>
      <c r="E750" s="43">
        <v>0</v>
      </c>
      <c r="F750" s="43">
        <v>0</v>
      </c>
      <c r="G750" s="43">
        <v>0</v>
      </c>
      <c r="H750" s="43">
        <v>0</v>
      </c>
      <c r="I750" s="43">
        <v>0</v>
      </c>
      <c r="J750" s="43">
        <v>0</v>
      </c>
      <c r="K750" s="43">
        <v>0</v>
      </c>
      <c r="L750" s="43">
        <v>0</v>
      </c>
      <c r="M750" s="43">
        <v>0</v>
      </c>
      <c r="N750" s="43">
        <v>0</v>
      </c>
      <c r="O750" s="43">
        <v>0</v>
      </c>
      <c r="P750" s="47">
        <v>0</v>
      </c>
      <c r="R750" s="37">
        <v>0</v>
      </c>
      <c r="S750" s="37">
        <v>0</v>
      </c>
      <c r="T750" s="37">
        <v>0</v>
      </c>
      <c r="U750" s="37">
        <v>0</v>
      </c>
      <c r="V750" s="37">
        <v>0</v>
      </c>
      <c r="W750" s="37">
        <v>0</v>
      </c>
      <c r="X750" s="37">
        <v>0</v>
      </c>
      <c r="Y750" s="37">
        <v>0</v>
      </c>
      <c r="Z750" s="37">
        <v>0</v>
      </c>
      <c r="AA750" s="37">
        <v>0</v>
      </c>
      <c r="AB750" s="37">
        <v>0</v>
      </c>
      <c r="AC750" s="37">
        <v>0</v>
      </c>
      <c r="AD750" s="37">
        <v>0</v>
      </c>
      <c r="AE750" s="37">
        <v>0</v>
      </c>
      <c r="AF750" s="37">
        <v>0</v>
      </c>
      <c r="AG750" s="59">
        <v>0</v>
      </c>
      <c r="AH750" s="37">
        <v>0</v>
      </c>
      <c r="AI750" s="37">
        <v>0</v>
      </c>
      <c r="AJ750" s="37">
        <v>0</v>
      </c>
      <c r="AK750" s="37">
        <v>0</v>
      </c>
      <c r="AL750" s="37">
        <v>0</v>
      </c>
      <c r="AM750" s="37">
        <v>0</v>
      </c>
      <c r="AN750" s="37">
        <v>0</v>
      </c>
      <c r="AO750" s="37">
        <v>0</v>
      </c>
      <c r="AP750" s="37">
        <v>0</v>
      </c>
      <c r="AQ750" s="37">
        <v>0</v>
      </c>
      <c r="AR750" s="37">
        <v>0</v>
      </c>
      <c r="AS750" s="59">
        <v>0</v>
      </c>
      <c r="AT750" s="59">
        <v>0</v>
      </c>
      <c r="AU750" s="45"/>
      <c r="AV750" s="37">
        <v>0</v>
      </c>
      <c r="AW750" s="37">
        <v>0</v>
      </c>
      <c r="AX750" s="37">
        <v>0</v>
      </c>
      <c r="AY750" s="37">
        <v>0</v>
      </c>
      <c r="AZ750" s="37">
        <v>0</v>
      </c>
      <c r="BA750" s="37">
        <v>0</v>
      </c>
      <c r="BB750" s="37">
        <v>0</v>
      </c>
      <c r="BC750" s="37">
        <v>0</v>
      </c>
      <c r="BD750" s="37">
        <v>0</v>
      </c>
      <c r="BE750" s="37">
        <v>0</v>
      </c>
      <c r="BF750" s="37">
        <v>0</v>
      </c>
      <c r="BG750" s="37">
        <v>0</v>
      </c>
      <c r="BH750" s="37">
        <v>0</v>
      </c>
      <c r="BI750" s="37">
        <v>0</v>
      </c>
      <c r="BJ750" s="37">
        <v>0</v>
      </c>
      <c r="BK750" s="59">
        <v>0</v>
      </c>
      <c r="BL750" s="37">
        <v>0</v>
      </c>
      <c r="BM750" s="37">
        <v>0</v>
      </c>
      <c r="BN750" s="37">
        <v>0</v>
      </c>
      <c r="BO750" s="37">
        <v>0</v>
      </c>
      <c r="BP750" s="37">
        <v>0</v>
      </c>
      <c r="BQ750" s="37">
        <v>0</v>
      </c>
      <c r="BR750" s="37">
        <v>0</v>
      </c>
      <c r="BS750" s="37">
        <v>0</v>
      </c>
      <c r="BT750" s="37">
        <v>0</v>
      </c>
      <c r="BU750" s="37">
        <v>0</v>
      </c>
      <c r="BV750" s="37">
        <v>0</v>
      </c>
      <c r="BW750" s="59">
        <v>0</v>
      </c>
      <c r="BX750" s="59">
        <v>0</v>
      </c>
      <c r="BZ750" s="37">
        <v>0</v>
      </c>
      <c r="CA750" s="37">
        <v>0</v>
      </c>
      <c r="CB750" s="37">
        <v>0</v>
      </c>
      <c r="CC750" s="37">
        <v>0</v>
      </c>
      <c r="CD750" s="37">
        <v>0</v>
      </c>
      <c r="CE750" s="37">
        <v>0</v>
      </c>
      <c r="CF750" s="37">
        <v>0</v>
      </c>
      <c r="CG750" s="59">
        <v>0</v>
      </c>
      <c r="CH750" s="37">
        <v>0</v>
      </c>
      <c r="CI750" s="37">
        <v>0</v>
      </c>
      <c r="CJ750" s="37">
        <v>0</v>
      </c>
      <c r="CK750" s="37">
        <v>0</v>
      </c>
      <c r="CL750" s="37">
        <v>0</v>
      </c>
      <c r="CM750" s="37">
        <v>0</v>
      </c>
      <c r="CN750" s="59">
        <v>0</v>
      </c>
      <c r="CO750" s="59">
        <v>0</v>
      </c>
      <c r="CP750" s="58"/>
      <c r="CQ750" s="3">
        <v>0</v>
      </c>
    </row>
    <row r="751" spans="1:95" customFormat="1" x14ac:dyDescent="0.2">
      <c r="A751" s="33">
        <v>0</v>
      </c>
      <c r="B751" s="33">
        <v>0</v>
      </c>
      <c r="C751" s="33">
        <v>0</v>
      </c>
      <c r="D751" s="43">
        <v>0</v>
      </c>
      <c r="E751" s="43">
        <v>0</v>
      </c>
      <c r="F751" s="43">
        <v>0</v>
      </c>
      <c r="G751" s="43">
        <v>0</v>
      </c>
      <c r="H751" s="43">
        <v>0</v>
      </c>
      <c r="I751" s="43">
        <v>0</v>
      </c>
      <c r="J751" s="43">
        <v>0</v>
      </c>
      <c r="K751" s="43">
        <v>0</v>
      </c>
      <c r="L751" s="43">
        <v>0</v>
      </c>
      <c r="M751" s="43">
        <v>0</v>
      </c>
      <c r="N751" s="43">
        <v>0</v>
      </c>
      <c r="O751" s="43">
        <v>0</v>
      </c>
      <c r="P751" s="47">
        <v>0</v>
      </c>
      <c r="R751" s="37">
        <v>0</v>
      </c>
      <c r="S751" s="37">
        <v>0</v>
      </c>
      <c r="T751" s="37">
        <v>0</v>
      </c>
      <c r="U751" s="37">
        <v>0</v>
      </c>
      <c r="V751" s="37">
        <v>0</v>
      </c>
      <c r="W751" s="37">
        <v>0</v>
      </c>
      <c r="X751" s="37">
        <v>0</v>
      </c>
      <c r="Y751" s="37">
        <v>0</v>
      </c>
      <c r="Z751" s="37">
        <v>0</v>
      </c>
      <c r="AA751" s="37">
        <v>0</v>
      </c>
      <c r="AB751" s="37">
        <v>0</v>
      </c>
      <c r="AC751" s="37">
        <v>0</v>
      </c>
      <c r="AD751" s="37">
        <v>0</v>
      </c>
      <c r="AE751" s="37">
        <v>0</v>
      </c>
      <c r="AF751" s="37">
        <v>0</v>
      </c>
      <c r="AG751" s="59">
        <v>0</v>
      </c>
      <c r="AH751" s="37">
        <v>0</v>
      </c>
      <c r="AI751" s="37">
        <v>0</v>
      </c>
      <c r="AJ751" s="37">
        <v>0</v>
      </c>
      <c r="AK751" s="37">
        <v>0</v>
      </c>
      <c r="AL751" s="37">
        <v>0</v>
      </c>
      <c r="AM751" s="37">
        <v>0</v>
      </c>
      <c r="AN751" s="37">
        <v>0</v>
      </c>
      <c r="AO751" s="37">
        <v>0</v>
      </c>
      <c r="AP751" s="37">
        <v>0</v>
      </c>
      <c r="AQ751" s="37">
        <v>0</v>
      </c>
      <c r="AR751" s="37">
        <v>0</v>
      </c>
      <c r="AS751" s="59">
        <v>0</v>
      </c>
      <c r="AT751" s="59">
        <v>0</v>
      </c>
      <c r="AU751" s="45"/>
      <c r="AV751" s="37">
        <v>0</v>
      </c>
      <c r="AW751" s="37">
        <v>0</v>
      </c>
      <c r="AX751" s="37">
        <v>0</v>
      </c>
      <c r="AY751" s="37">
        <v>0</v>
      </c>
      <c r="AZ751" s="37">
        <v>0</v>
      </c>
      <c r="BA751" s="37">
        <v>0</v>
      </c>
      <c r="BB751" s="37">
        <v>0</v>
      </c>
      <c r="BC751" s="37">
        <v>0</v>
      </c>
      <c r="BD751" s="37">
        <v>0</v>
      </c>
      <c r="BE751" s="37">
        <v>0</v>
      </c>
      <c r="BF751" s="37">
        <v>0</v>
      </c>
      <c r="BG751" s="37">
        <v>0</v>
      </c>
      <c r="BH751" s="37">
        <v>0</v>
      </c>
      <c r="BI751" s="37">
        <v>0</v>
      </c>
      <c r="BJ751" s="37">
        <v>0</v>
      </c>
      <c r="BK751" s="59">
        <v>0</v>
      </c>
      <c r="BL751" s="37">
        <v>0</v>
      </c>
      <c r="BM751" s="37">
        <v>0</v>
      </c>
      <c r="BN751" s="37">
        <v>0</v>
      </c>
      <c r="BO751" s="37">
        <v>0</v>
      </c>
      <c r="BP751" s="37">
        <v>0</v>
      </c>
      <c r="BQ751" s="37">
        <v>0</v>
      </c>
      <c r="BR751" s="37">
        <v>0</v>
      </c>
      <c r="BS751" s="37">
        <v>0</v>
      </c>
      <c r="BT751" s="37">
        <v>0</v>
      </c>
      <c r="BU751" s="37">
        <v>0</v>
      </c>
      <c r="BV751" s="37">
        <v>0</v>
      </c>
      <c r="BW751" s="59">
        <v>0</v>
      </c>
      <c r="BX751" s="59">
        <v>0</v>
      </c>
      <c r="BZ751" s="37">
        <v>0</v>
      </c>
      <c r="CA751" s="37">
        <v>0</v>
      </c>
      <c r="CB751" s="37">
        <v>0</v>
      </c>
      <c r="CC751" s="37">
        <v>0</v>
      </c>
      <c r="CD751" s="37">
        <v>0</v>
      </c>
      <c r="CE751" s="37">
        <v>0</v>
      </c>
      <c r="CF751" s="37">
        <v>0</v>
      </c>
      <c r="CG751" s="59">
        <v>0</v>
      </c>
      <c r="CH751" s="37">
        <v>0</v>
      </c>
      <c r="CI751" s="37">
        <v>0</v>
      </c>
      <c r="CJ751" s="37">
        <v>0</v>
      </c>
      <c r="CK751" s="37">
        <v>0</v>
      </c>
      <c r="CL751" s="37">
        <v>0</v>
      </c>
      <c r="CM751" s="37">
        <v>0</v>
      </c>
      <c r="CN751" s="59">
        <v>0</v>
      </c>
      <c r="CO751" s="59">
        <v>0</v>
      </c>
      <c r="CP751" s="58"/>
      <c r="CQ751" s="3">
        <v>0</v>
      </c>
    </row>
    <row r="752" spans="1:95" customFormat="1" x14ac:dyDescent="0.2">
      <c r="A752" s="33">
        <v>0</v>
      </c>
      <c r="B752" s="33">
        <v>0</v>
      </c>
      <c r="C752" s="33">
        <v>0</v>
      </c>
      <c r="D752" s="43">
        <v>0</v>
      </c>
      <c r="E752" s="43">
        <v>0</v>
      </c>
      <c r="F752" s="43">
        <v>0</v>
      </c>
      <c r="G752" s="43">
        <v>0</v>
      </c>
      <c r="H752" s="43">
        <v>0</v>
      </c>
      <c r="I752" s="43">
        <v>0</v>
      </c>
      <c r="J752" s="43">
        <v>0</v>
      </c>
      <c r="K752" s="43">
        <v>0</v>
      </c>
      <c r="L752" s="43">
        <v>0</v>
      </c>
      <c r="M752" s="43">
        <v>0</v>
      </c>
      <c r="N752" s="43">
        <v>0</v>
      </c>
      <c r="O752" s="43">
        <v>0</v>
      </c>
      <c r="P752" s="47">
        <v>0</v>
      </c>
      <c r="R752" s="37">
        <v>0</v>
      </c>
      <c r="S752" s="37">
        <v>0</v>
      </c>
      <c r="T752" s="37">
        <v>0</v>
      </c>
      <c r="U752" s="37">
        <v>0</v>
      </c>
      <c r="V752" s="37">
        <v>0</v>
      </c>
      <c r="W752" s="37">
        <v>0</v>
      </c>
      <c r="X752" s="37">
        <v>0</v>
      </c>
      <c r="Y752" s="37">
        <v>0</v>
      </c>
      <c r="Z752" s="37">
        <v>0</v>
      </c>
      <c r="AA752" s="37">
        <v>0</v>
      </c>
      <c r="AB752" s="37">
        <v>0</v>
      </c>
      <c r="AC752" s="37">
        <v>0</v>
      </c>
      <c r="AD752" s="37">
        <v>0</v>
      </c>
      <c r="AE752" s="37">
        <v>0</v>
      </c>
      <c r="AF752" s="37">
        <v>0</v>
      </c>
      <c r="AG752" s="59">
        <v>0</v>
      </c>
      <c r="AH752" s="37">
        <v>0</v>
      </c>
      <c r="AI752" s="37">
        <v>0</v>
      </c>
      <c r="AJ752" s="37">
        <v>0</v>
      </c>
      <c r="AK752" s="37">
        <v>0</v>
      </c>
      <c r="AL752" s="37">
        <v>0</v>
      </c>
      <c r="AM752" s="37">
        <v>0</v>
      </c>
      <c r="AN752" s="37">
        <v>0</v>
      </c>
      <c r="AO752" s="37">
        <v>0</v>
      </c>
      <c r="AP752" s="37">
        <v>0</v>
      </c>
      <c r="AQ752" s="37">
        <v>0</v>
      </c>
      <c r="AR752" s="37">
        <v>0</v>
      </c>
      <c r="AS752" s="59">
        <v>0</v>
      </c>
      <c r="AT752" s="59">
        <v>0</v>
      </c>
      <c r="AU752" s="45"/>
      <c r="AV752" s="37">
        <v>0</v>
      </c>
      <c r="AW752" s="37">
        <v>0</v>
      </c>
      <c r="AX752" s="37">
        <v>0</v>
      </c>
      <c r="AY752" s="37">
        <v>0</v>
      </c>
      <c r="AZ752" s="37">
        <v>0</v>
      </c>
      <c r="BA752" s="37">
        <v>0</v>
      </c>
      <c r="BB752" s="37">
        <v>0</v>
      </c>
      <c r="BC752" s="37">
        <v>0</v>
      </c>
      <c r="BD752" s="37">
        <v>0</v>
      </c>
      <c r="BE752" s="37">
        <v>0</v>
      </c>
      <c r="BF752" s="37">
        <v>0</v>
      </c>
      <c r="BG752" s="37">
        <v>0</v>
      </c>
      <c r="BH752" s="37">
        <v>0</v>
      </c>
      <c r="BI752" s="37">
        <v>0</v>
      </c>
      <c r="BJ752" s="37">
        <v>0</v>
      </c>
      <c r="BK752" s="59">
        <v>0</v>
      </c>
      <c r="BL752" s="37">
        <v>0</v>
      </c>
      <c r="BM752" s="37">
        <v>0</v>
      </c>
      <c r="BN752" s="37">
        <v>0</v>
      </c>
      <c r="BO752" s="37">
        <v>0</v>
      </c>
      <c r="BP752" s="37">
        <v>0</v>
      </c>
      <c r="BQ752" s="37">
        <v>0</v>
      </c>
      <c r="BR752" s="37">
        <v>0</v>
      </c>
      <c r="BS752" s="37">
        <v>0</v>
      </c>
      <c r="BT752" s="37">
        <v>0</v>
      </c>
      <c r="BU752" s="37">
        <v>0</v>
      </c>
      <c r="BV752" s="37">
        <v>0</v>
      </c>
      <c r="BW752" s="59">
        <v>0</v>
      </c>
      <c r="BX752" s="59">
        <v>0</v>
      </c>
      <c r="BZ752" s="37">
        <v>0</v>
      </c>
      <c r="CA752" s="37">
        <v>0</v>
      </c>
      <c r="CB752" s="37">
        <v>0</v>
      </c>
      <c r="CC752" s="37">
        <v>0</v>
      </c>
      <c r="CD752" s="37">
        <v>0</v>
      </c>
      <c r="CE752" s="37">
        <v>0</v>
      </c>
      <c r="CF752" s="37">
        <v>0</v>
      </c>
      <c r="CG752" s="59">
        <v>0</v>
      </c>
      <c r="CH752" s="37">
        <v>0</v>
      </c>
      <c r="CI752" s="37">
        <v>0</v>
      </c>
      <c r="CJ752" s="37">
        <v>0</v>
      </c>
      <c r="CK752" s="37">
        <v>0</v>
      </c>
      <c r="CL752" s="37">
        <v>0</v>
      </c>
      <c r="CM752" s="37">
        <v>0</v>
      </c>
      <c r="CN752" s="59">
        <v>0</v>
      </c>
      <c r="CO752" s="59">
        <v>0</v>
      </c>
      <c r="CP752" s="58"/>
      <c r="CQ752" s="3">
        <v>0</v>
      </c>
    </row>
    <row r="753" spans="1:95" customFormat="1" x14ac:dyDescent="0.2">
      <c r="A753" s="33">
        <v>0</v>
      </c>
      <c r="B753" s="33">
        <v>0</v>
      </c>
      <c r="C753" s="33">
        <v>0</v>
      </c>
      <c r="D753" s="43">
        <v>0</v>
      </c>
      <c r="E753" s="43">
        <v>0</v>
      </c>
      <c r="F753" s="43">
        <v>0</v>
      </c>
      <c r="G753" s="43">
        <v>0</v>
      </c>
      <c r="H753" s="43">
        <v>0</v>
      </c>
      <c r="I753" s="43">
        <v>0</v>
      </c>
      <c r="J753" s="43">
        <v>0</v>
      </c>
      <c r="K753" s="43">
        <v>0</v>
      </c>
      <c r="L753" s="43">
        <v>0</v>
      </c>
      <c r="M753" s="43">
        <v>0</v>
      </c>
      <c r="N753" s="43">
        <v>0</v>
      </c>
      <c r="O753" s="43">
        <v>0</v>
      </c>
      <c r="P753" s="47">
        <v>0</v>
      </c>
      <c r="R753" s="37">
        <v>0</v>
      </c>
      <c r="S753" s="37">
        <v>0</v>
      </c>
      <c r="T753" s="37">
        <v>0</v>
      </c>
      <c r="U753" s="37">
        <v>0</v>
      </c>
      <c r="V753" s="37">
        <v>0</v>
      </c>
      <c r="W753" s="37">
        <v>0</v>
      </c>
      <c r="X753" s="37">
        <v>0</v>
      </c>
      <c r="Y753" s="37">
        <v>0</v>
      </c>
      <c r="Z753" s="37">
        <v>0</v>
      </c>
      <c r="AA753" s="37">
        <v>0</v>
      </c>
      <c r="AB753" s="37">
        <v>0</v>
      </c>
      <c r="AC753" s="37">
        <v>0</v>
      </c>
      <c r="AD753" s="37">
        <v>0</v>
      </c>
      <c r="AE753" s="37">
        <v>0</v>
      </c>
      <c r="AF753" s="37">
        <v>0</v>
      </c>
      <c r="AG753" s="59">
        <v>0</v>
      </c>
      <c r="AH753" s="37">
        <v>0</v>
      </c>
      <c r="AI753" s="37">
        <v>0</v>
      </c>
      <c r="AJ753" s="37">
        <v>0</v>
      </c>
      <c r="AK753" s="37">
        <v>0</v>
      </c>
      <c r="AL753" s="37">
        <v>0</v>
      </c>
      <c r="AM753" s="37">
        <v>0</v>
      </c>
      <c r="AN753" s="37">
        <v>0</v>
      </c>
      <c r="AO753" s="37">
        <v>0</v>
      </c>
      <c r="AP753" s="37">
        <v>0</v>
      </c>
      <c r="AQ753" s="37">
        <v>0</v>
      </c>
      <c r="AR753" s="37">
        <v>0</v>
      </c>
      <c r="AS753" s="59">
        <v>0</v>
      </c>
      <c r="AT753" s="59">
        <v>0</v>
      </c>
      <c r="AU753" s="45"/>
      <c r="AV753" s="37">
        <v>0</v>
      </c>
      <c r="AW753" s="37">
        <v>0</v>
      </c>
      <c r="AX753" s="37">
        <v>0</v>
      </c>
      <c r="AY753" s="37">
        <v>0</v>
      </c>
      <c r="AZ753" s="37">
        <v>0</v>
      </c>
      <c r="BA753" s="37">
        <v>0</v>
      </c>
      <c r="BB753" s="37">
        <v>0</v>
      </c>
      <c r="BC753" s="37">
        <v>0</v>
      </c>
      <c r="BD753" s="37">
        <v>0</v>
      </c>
      <c r="BE753" s="37">
        <v>0</v>
      </c>
      <c r="BF753" s="37">
        <v>0</v>
      </c>
      <c r="BG753" s="37">
        <v>0</v>
      </c>
      <c r="BH753" s="37">
        <v>0</v>
      </c>
      <c r="BI753" s="37">
        <v>0</v>
      </c>
      <c r="BJ753" s="37">
        <v>0</v>
      </c>
      <c r="BK753" s="59">
        <v>0</v>
      </c>
      <c r="BL753" s="37">
        <v>0</v>
      </c>
      <c r="BM753" s="37">
        <v>0</v>
      </c>
      <c r="BN753" s="37">
        <v>0</v>
      </c>
      <c r="BO753" s="37">
        <v>0</v>
      </c>
      <c r="BP753" s="37">
        <v>0</v>
      </c>
      <c r="BQ753" s="37">
        <v>0</v>
      </c>
      <c r="BR753" s="37">
        <v>0</v>
      </c>
      <c r="BS753" s="37">
        <v>0</v>
      </c>
      <c r="BT753" s="37">
        <v>0</v>
      </c>
      <c r="BU753" s="37">
        <v>0</v>
      </c>
      <c r="BV753" s="37">
        <v>0</v>
      </c>
      <c r="BW753" s="59">
        <v>0</v>
      </c>
      <c r="BX753" s="59">
        <v>0</v>
      </c>
      <c r="BZ753" s="37">
        <v>0</v>
      </c>
      <c r="CA753" s="37">
        <v>0</v>
      </c>
      <c r="CB753" s="37">
        <v>0</v>
      </c>
      <c r="CC753" s="37">
        <v>0</v>
      </c>
      <c r="CD753" s="37">
        <v>0</v>
      </c>
      <c r="CE753" s="37">
        <v>0</v>
      </c>
      <c r="CF753" s="37">
        <v>0</v>
      </c>
      <c r="CG753" s="59">
        <v>0</v>
      </c>
      <c r="CH753" s="37">
        <v>0</v>
      </c>
      <c r="CI753" s="37">
        <v>0</v>
      </c>
      <c r="CJ753" s="37">
        <v>0</v>
      </c>
      <c r="CK753" s="37">
        <v>0</v>
      </c>
      <c r="CL753" s="37">
        <v>0</v>
      </c>
      <c r="CM753" s="37">
        <v>0</v>
      </c>
      <c r="CN753" s="59">
        <v>0</v>
      </c>
      <c r="CO753" s="59">
        <v>0</v>
      </c>
      <c r="CP753" s="58"/>
      <c r="CQ753" s="3">
        <v>0</v>
      </c>
    </row>
    <row r="754" spans="1:95" customFormat="1" x14ac:dyDescent="0.2">
      <c r="A754" s="33">
        <v>0</v>
      </c>
      <c r="B754" s="33">
        <v>0</v>
      </c>
      <c r="C754" s="33">
        <v>0</v>
      </c>
      <c r="D754" s="43">
        <v>0</v>
      </c>
      <c r="E754" s="43">
        <v>0</v>
      </c>
      <c r="F754" s="43">
        <v>0</v>
      </c>
      <c r="G754" s="43">
        <v>0</v>
      </c>
      <c r="H754" s="43">
        <v>0</v>
      </c>
      <c r="I754" s="43">
        <v>0</v>
      </c>
      <c r="J754" s="43">
        <v>0</v>
      </c>
      <c r="K754" s="43">
        <v>0</v>
      </c>
      <c r="L754" s="43">
        <v>0</v>
      </c>
      <c r="M754" s="43">
        <v>0</v>
      </c>
      <c r="N754" s="43">
        <v>0</v>
      </c>
      <c r="O754" s="43">
        <v>0</v>
      </c>
      <c r="P754" s="47">
        <v>0</v>
      </c>
      <c r="R754" s="37">
        <v>0</v>
      </c>
      <c r="S754" s="37">
        <v>0</v>
      </c>
      <c r="T754" s="37">
        <v>0</v>
      </c>
      <c r="U754" s="37">
        <v>0</v>
      </c>
      <c r="V754" s="37">
        <v>0</v>
      </c>
      <c r="W754" s="37">
        <v>0</v>
      </c>
      <c r="X754" s="37">
        <v>0</v>
      </c>
      <c r="Y754" s="37">
        <v>0</v>
      </c>
      <c r="Z754" s="37">
        <v>0</v>
      </c>
      <c r="AA754" s="37">
        <v>0</v>
      </c>
      <c r="AB754" s="37">
        <v>0</v>
      </c>
      <c r="AC754" s="37">
        <v>0</v>
      </c>
      <c r="AD754" s="37">
        <v>0</v>
      </c>
      <c r="AE754" s="37">
        <v>0</v>
      </c>
      <c r="AF754" s="37">
        <v>0</v>
      </c>
      <c r="AG754" s="59">
        <v>0</v>
      </c>
      <c r="AH754" s="37">
        <v>0</v>
      </c>
      <c r="AI754" s="37">
        <v>0</v>
      </c>
      <c r="AJ754" s="37">
        <v>0</v>
      </c>
      <c r="AK754" s="37">
        <v>0</v>
      </c>
      <c r="AL754" s="37">
        <v>0</v>
      </c>
      <c r="AM754" s="37">
        <v>0</v>
      </c>
      <c r="AN754" s="37">
        <v>0</v>
      </c>
      <c r="AO754" s="37">
        <v>0</v>
      </c>
      <c r="AP754" s="37">
        <v>0</v>
      </c>
      <c r="AQ754" s="37">
        <v>0</v>
      </c>
      <c r="AR754" s="37">
        <v>0</v>
      </c>
      <c r="AS754" s="59">
        <v>0</v>
      </c>
      <c r="AT754" s="59">
        <v>0</v>
      </c>
      <c r="AU754" s="45"/>
      <c r="AV754" s="37">
        <v>0</v>
      </c>
      <c r="AW754" s="37">
        <v>0</v>
      </c>
      <c r="AX754" s="37">
        <v>0</v>
      </c>
      <c r="AY754" s="37">
        <v>0</v>
      </c>
      <c r="AZ754" s="37">
        <v>0</v>
      </c>
      <c r="BA754" s="37">
        <v>0</v>
      </c>
      <c r="BB754" s="37">
        <v>0</v>
      </c>
      <c r="BC754" s="37">
        <v>0</v>
      </c>
      <c r="BD754" s="37">
        <v>0</v>
      </c>
      <c r="BE754" s="37">
        <v>0</v>
      </c>
      <c r="BF754" s="37">
        <v>0</v>
      </c>
      <c r="BG754" s="37">
        <v>0</v>
      </c>
      <c r="BH754" s="37">
        <v>0</v>
      </c>
      <c r="BI754" s="37">
        <v>0</v>
      </c>
      <c r="BJ754" s="37">
        <v>0</v>
      </c>
      <c r="BK754" s="59">
        <v>0</v>
      </c>
      <c r="BL754" s="37">
        <v>0</v>
      </c>
      <c r="BM754" s="37">
        <v>0</v>
      </c>
      <c r="BN754" s="37">
        <v>0</v>
      </c>
      <c r="BO754" s="37">
        <v>0</v>
      </c>
      <c r="BP754" s="37">
        <v>0</v>
      </c>
      <c r="BQ754" s="37">
        <v>0</v>
      </c>
      <c r="BR754" s="37">
        <v>0</v>
      </c>
      <c r="BS754" s="37">
        <v>0</v>
      </c>
      <c r="BT754" s="37">
        <v>0</v>
      </c>
      <c r="BU754" s="37">
        <v>0</v>
      </c>
      <c r="BV754" s="37">
        <v>0</v>
      </c>
      <c r="BW754" s="59">
        <v>0</v>
      </c>
      <c r="BX754" s="59">
        <v>0</v>
      </c>
      <c r="BZ754" s="37">
        <v>0</v>
      </c>
      <c r="CA754" s="37">
        <v>0</v>
      </c>
      <c r="CB754" s="37">
        <v>0</v>
      </c>
      <c r="CC754" s="37">
        <v>0</v>
      </c>
      <c r="CD754" s="37">
        <v>0</v>
      </c>
      <c r="CE754" s="37">
        <v>0</v>
      </c>
      <c r="CF754" s="37">
        <v>0</v>
      </c>
      <c r="CG754" s="59">
        <v>0</v>
      </c>
      <c r="CH754" s="37">
        <v>0</v>
      </c>
      <c r="CI754" s="37">
        <v>0</v>
      </c>
      <c r="CJ754" s="37">
        <v>0</v>
      </c>
      <c r="CK754" s="37">
        <v>0</v>
      </c>
      <c r="CL754" s="37">
        <v>0</v>
      </c>
      <c r="CM754" s="37">
        <v>0</v>
      </c>
      <c r="CN754" s="59">
        <v>0</v>
      </c>
      <c r="CO754" s="59">
        <v>0</v>
      </c>
      <c r="CP754" s="58"/>
      <c r="CQ754" s="3">
        <v>0</v>
      </c>
    </row>
    <row r="755" spans="1:95" customFormat="1" x14ac:dyDescent="0.2">
      <c r="A755" s="33">
        <v>0</v>
      </c>
      <c r="B755" s="33">
        <v>0</v>
      </c>
      <c r="C755" s="33">
        <v>0</v>
      </c>
      <c r="D755" s="43">
        <v>0</v>
      </c>
      <c r="E755" s="43">
        <v>0</v>
      </c>
      <c r="F755" s="43">
        <v>0</v>
      </c>
      <c r="G755" s="43">
        <v>0</v>
      </c>
      <c r="H755" s="43">
        <v>0</v>
      </c>
      <c r="I755" s="43">
        <v>0</v>
      </c>
      <c r="J755" s="43">
        <v>0</v>
      </c>
      <c r="K755" s="43">
        <v>0</v>
      </c>
      <c r="L755" s="43">
        <v>0</v>
      </c>
      <c r="M755" s="43">
        <v>0</v>
      </c>
      <c r="N755" s="43">
        <v>0</v>
      </c>
      <c r="O755" s="43">
        <v>0</v>
      </c>
      <c r="P755" s="47">
        <v>0</v>
      </c>
      <c r="R755" s="37">
        <v>0</v>
      </c>
      <c r="S755" s="37">
        <v>0</v>
      </c>
      <c r="T755" s="37">
        <v>0</v>
      </c>
      <c r="U755" s="37">
        <v>0</v>
      </c>
      <c r="V755" s="37">
        <v>0</v>
      </c>
      <c r="W755" s="37">
        <v>0</v>
      </c>
      <c r="X755" s="37">
        <v>0</v>
      </c>
      <c r="Y755" s="37">
        <v>0</v>
      </c>
      <c r="Z755" s="37">
        <v>0</v>
      </c>
      <c r="AA755" s="37">
        <v>0</v>
      </c>
      <c r="AB755" s="37">
        <v>0</v>
      </c>
      <c r="AC755" s="37">
        <v>0</v>
      </c>
      <c r="AD755" s="37">
        <v>0</v>
      </c>
      <c r="AE755" s="37">
        <v>0</v>
      </c>
      <c r="AF755" s="37">
        <v>0</v>
      </c>
      <c r="AG755" s="59">
        <v>0</v>
      </c>
      <c r="AH755" s="37">
        <v>0</v>
      </c>
      <c r="AI755" s="37">
        <v>0</v>
      </c>
      <c r="AJ755" s="37">
        <v>0</v>
      </c>
      <c r="AK755" s="37">
        <v>0</v>
      </c>
      <c r="AL755" s="37">
        <v>0</v>
      </c>
      <c r="AM755" s="37">
        <v>0</v>
      </c>
      <c r="AN755" s="37">
        <v>0</v>
      </c>
      <c r="AO755" s="37">
        <v>0</v>
      </c>
      <c r="AP755" s="37">
        <v>0</v>
      </c>
      <c r="AQ755" s="37">
        <v>0</v>
      </c>
      <c r="AR755" s="37">
        <v>0</v>
      </c>
      <c r="AS755" s="59">
        <v>0</v>
      </c>
      <c r="AT755" s="59">
        <v>0</v>
      </c>
      <c r="AU755" s="45"/>
      <c r="AV755" s="37">
        <v>0</v>
      </c>
      <c r="AW755" s="37">
        <v>0</v>
      </c>
      <c r="AX755" s="37">
        <v>0</v>
      </c>
      <c r="AY755" s="37">
        <v>0</v>
      </c>
      <c r="AZ755" s="37">
        <v>0</v>
      </c>
      <c r="BA755" s="37">
        <v>0</v>
      </c>
      <c r="BB755" s="37">
        <v>0</v>
      </c>
      <c r="BC755" s="37">
        <v>0</v>
      </c>
      <c r="BD755" s="37">
        <v>0</v>
      </c>
      <c r="BE755" s="37">
        <v>0</v>
      </c>
      <c r="BF755" s="37">
        <v>0</v>
      </c>
      <c r="BG755" s="37">
        <v>0</v>
      </c>
      <c r="BH755" s="37">
        <v>0</v>
      </c>
      <c r="BI755" s="37">
        <v>0</v>
      </c>
      <c r="BJ755" s="37">
        <v>0</v>
      </c>
      <c r="BK755" s="59">
        <v>0</v>
      </c>
      <c r="BL755" s="37">
        <v>0</v>
      </c>
      <c r="BM755" s="37">
        <v>0</v>
      </c>
      <c r="BN755" s="37">
        <v>0</v>
      </c>
      <c r="BO755" s="37">
        <v>0</v>
      </c>
      <c r="BP755" s="37">
        <v>0</v>
      </c>
      <c r="BQ755" s="37">
        <v>0</v>
      </c>
      <c r="BR755" s="37">
        <v>0</v>
      </c>
      <c r="BS755" s="37">
        <v>0</v>
      </c>
      <c r="BT755" s="37">
        <v>0</v>
      </c>
      <c r="BU755" s="37">
        <v>0</v>
      </c>
      <c r="BV755" s="37">
        <v>0</v>
      </c>
      <c r="BW755" s="59">
        <v>0</v>
      </c>
      <c r="BX755" s="59">
        <v>0</v>
      </c>
      <c r="BZ755" s="37">
        <v>0</v>
      </c>
      <c r="CA755" s="37">
        <v>0</v>
      </c>
      <c r="CB755" s="37">
        <v>0</v>
      </c>
      <c r="CC755" s="37">
        <v>0</v>
      </c>
      <c r="CD755" s="37">
        <v>0</v>
      </c>
      <c r="CE755" s="37">
        <v>0</v>
      </c>
      <c r="CF755" s="37">
        <v>0</v>
      </c>
      <c r="CG755" s="59">
        <v>0</v>
      </c>
      <c r="CH755" s="37">
        <v>0</v>
      </c>
      <c r="CI755" s="37">
        <v>0</v>
      </c>
      <c r="CJ755" s="37">
        <v>0</v>
      </c>
      <c r="CK755" s="37">
        <v>0</v>
      </c>
      <c r="CL755" s="37">
        <v>0</v>
      </c>
      <c r="CM755" s="37">
        <v>0</v>
      </c>
      <c r="CN755" s="59">
        <v>0</v>
      </c>
      <c r="CO755" s="59">
        <v>0</v>
      </c>
      <c r="CP755" s="58"/>
      <c r="CQ755" s="3">
        <v>0</v>
      </c>
    </row>
    <row r="756" spans="1:95" customFormat="1" x14ac:dyDescent="0.2">
      <c r="A756" s="33">
        <v>0</v>
      </c>
      <c r="B756" s="33">
        <v>0</v>
      </c>
      <c r="C756" s="33">
        <v>0</v>
      </c>
      <c r="D756" s="43">
        <v>0</v>
      </c>
      <c r="E756" s="43">
        <v>0</v>
      </c>
      <c r="F756" s="43">
        <v>0</v>
      </c>
      <c r="G756" s="43">
        <v>0</v>
      </c>
      <c r="H756" s="43">
        <v>0</v>
      </c>
      <c r="I756" s="43">
        <v>0</v>
      </c>
      <c r="J756" s="43">
        <v>0</v>
      </c>
      <c r="K756" s="43">
        <v>0</v>
      </c>
      <c r="L756" s="43">
        <v>0</v>
      </c>
      <c r="M756" s="43">
        <v>0</v>
      </c>
      <c r="N756" s="43">
        <v>0</v>
      </c>
      <c r="O756" s="43">
        <v>0</v>
      </c>
      <c r="P756" s="47">
        <v>0</v>
      </c>
      <c r="R756" s="37">
        <v>0</v>
      </c>
      <c r="S756" s="37">
        <v>0</v>
      </c>
      <c r="T756" s="37">
        <v>0</v>
      </c>
      <c r="U756" s="37">
        <v>0</v>
      </c>
      <c r="V756" s="37">
        <v>0</v>
      </c>
      <c r="W756" s="37">
        <v>0</v>
      </c>
      <c r="X756" s="37">
        <v>0</v>
      </c>
      <c r="Y756" s="37">
        <v>0</v>
      </c>
      <c r="Z756" s="37">
        <v>0</v>
      </c>
      <c r="AA756" s="37">
        <v>0</v>
      </c>
      <c r="AB756" s="37">
        <v>0</v>
      </c>
      <c r="AC756" s="37">
        <v>0</v>
      </c>
      <c r="AD756" s="37">
        <v>0</v>
      </c>
      <c r="AE756" s="37">
        <v>0</v>
      </c>
      <c r="AF756" s="37">
        <v>0</v>
      </c>
      <c r="AG756" s="59">
        <v>0</v>
      </c>
      <c r="AH756" s="37">
        <v>0</v>
      </c>
      <c r="AI756" s="37">
        <v>0</v>
      </c>
      <c r="AJ756" s="37">
        <v>0</v>
      </c>
      <c r="AK756" s="37">
        <v>0</v>
      </c>
      <c r="AL756" s="37">
        <v>0</v>
      </c>
      <c r="AM756" s="37">
        <v>0</v>
      </c>
      <c r="AN756" s="37">
        <v>0</v>
      </c>
      <c r="AO756" s="37">
        <v>0</v>
      </c>
      <c r="AP756" s="37">
        <v>0</v>
      </c>
      <c r="AQ756" s="37">
        <v>0</v>
      </c>
      <c r="AR756" s="37">
        <v>0</v>
      </c>
      <c r="AS756" s="59">
        <v>0</v>
      </c>
      <c r="AT756" s="59">
        <v>0</v>
      </c>
      <c r="AU756" s="45"/>
      <c r="AV756" s="37">
        <v>0</v>
      </c>
      <c r="AW756" s="37">
        <v>0</v>
      </c>
      <c r="AX756" s="37">
        <v>0</v>
      </c>
      <c r="AY756" s="37">
        <v>0</v>
      </c>
      <c r="AZ756" s="37">
        <v>0</v>
      </c>
      <c r="BA756" s="37">
        <v>0</v>
      </c>
      <c r="BB756" s="37">
        <v>0</v>
      </c>
      <c r="BC756" s="37">
        <v>0</v>
      </c>
      <c r="BD756" s="37">
        <v>0</v>
      </c>
      <c r="BE756" s="37">
        <v>0</v>
      </c>
      <c r="BF756" s="37">
        <v>0</v>
      </c>
      <c r="BG756" s="37">
        <v>0</v>
      </c>
      <c r="BH756" s="37">
        <v>0</v>
      </c>
      <c r="BI756" s="37">
        <v>0</v>
      </c>
      <c r="BJ756" s="37">
        <v>0</v>
      </c>
      <c r="BK756" s="59">
        <v>0</v>
      </c>
      <c r="BL756" s="37">
        <v>0</v>
      </c>
      <c r="BM756" s="37">
        <v>0</v>
      </c>
      <c r="BN756" s="37">
        <v>0</v>
      </c>
      <c r="BO756" s="37">
        <v>0</v>
      </c>
      <c r="BP756" s="37">
        <v>0</v>
      </c>
      <c r="BQ756" s="37">
        <v>0</v>
      </c>
      <c r="BR756" s="37">
        <v>0</v>
      </c>
      <c r="BS756" s="37">
        <v>0</v>
      </c>
      <c r="BT756" s="37">
        <v>0</v>
      </c>
      <c r="BU756" s="37">
        <v>0</v>
      </c>
      <c r="BV756" s="37">
        <v>0</v>
      </c>
      <c r="BW756" s="59">
        <v>0</v>
      </c>
      <c r="BX756" s="59">
        <v>0</v>
      </c>
      <c r="BZ756" s="37">
        <v>0</v>
      </c>
      <c r="CA756" s="37">
        <v>0</v>
      </c>
      <c r="CB756" s="37">
        <v>0</v>
      </c>
      <c r="CC756" s="37">
        <v>0</v>
      </c>
      <c r="CD756" s="37">
        <v>0</v>
      </c>
      <c r="CE756" s="37">
        <v>0</v>
      </c>
      <c r="CF756" s="37">
        <v>0</v>
      </c>
      <c r="CG756" s="59">
        <v>0</v>
      </c>
      <c r="CH756" s="37">
        <v>0</v>
      </c>
      <c r="CI756" s="37">
        <v>0</v>
      </c>
      <c r="CJ756" s="37">
        <v>0</v>
      </c>
      <c r="CK756" s="37">
        <v>0</v>
      </c>
      <c r="CL756" s="37">
        <v>0</v>
      </c>
      <c r="CM756" s="37">
        <v>0</v>
      </c>
      <c r="CN756" s="59">
        <v>0</v>
      </c>
      <c r="CO756" s="59">
        <v>0</v>
      </c>
      <c r="CP756" s="58"/>
      <c r="CQ756" s="3">
        <v>0</v>
      </c>
    </row>
    <row r="757" spans="1:95" customFormat="1" x14ac:dyDescent="0.2">
      <c r="A757" s="33">
        <v>0</v>
      </c>
      <c r="B757" s="33">
        <v>0</v>
      </c>
      <c r="C757" s="33">
        <v>0</v>
      </c>
      <c r="D757" s="43">
        <v>0</v>
      </c>
      <c r="E757" s="43">
        <v>0</v>
      </c>
      <c r="F757" s="43">
        <v>0</v>
      </c>
      <c r="G757" s="43">
        <v>0</v>
      </c>
      <c r="H757" s="43">
        <v>0</v>
      </c>
      <c r="I757" s="43">
        <v>0</v>
      </c>
      <c r="J757" s="43">
        <v>0</v>
      </c>
      <c r="K757" s="43">
        <v>0</v>
      </c>
      <c r="L757" s="43">
        <v>0</v>
      </c>
      <c r="M757" s="43">
        <v>0</v>
      </c>
      <c r="N757" s="43">
        <v>0</v>
      </c>
      <c r="O757" s="43">
        <v>0</v>
      </c>
      <c r="P757" s="47">
        <v>0</v>
      </c>
      <c r="R757" s="37">
        <v>0</v>
      </c>
      <c r="S757" s="37">
        <v>0</v>
      </c>
      <c r="T757" s="37">
        <v>0</v>
      </c>
      <c r="U757" s="37">
        <v>0</v>
      </c>
      <c r="V757" s="37">
        <v>0</v>
      </c>
      <c r="W757" s="37">
        <v>0</v>
      </c>
      <c r="X757" s="37">
        <v>0</v>
      </c>
      <c r="Y757" s="37">
        <v>0</v>
      </c>
      <c r="Z757" s="37">
        <v>0</v>
      </c>
      <c r="AA757" s="37">
        <v>0</v>
      </c>
      <c r="AB757" s="37">
        <v>0</v>
      </c>
      <c r="AC757" s="37">
        <v>0</v>
      </c>
      <c r="AD757" s="37">
        <v>0</v>
      </c>
      <c r="AE757" s="37">
        <v>0</v>
      </c>
      <c r="AF757" s="37">
        <v>0</v>
      </c>
      <c r="AG757" s="59">
        <v>0</v>
      </c>
      <c r="AH757" s="37">
        <v>0</v>
      </c>
      <c r="AI757" s="37">
        <v>0</v>
      </c>
      <c r="AJ757" s="37">
        <v>0</v>
      </c>
      <c r="AK757" s="37">
        <v>0</v>
      </c>
      <c r="AL757" s="37">
        <v>0</v>
      </c>
      <c r="AM757" s="37">
        <v>0</v>
      </c>
      <c r="AN757" s="37">
        <v>0</v>
      </c>
      <c r="AO757" s="37">
        <v>0</v>
      </c>
      <c r="AP757" s="37">
        <v>0</v>
      </c>
      <c r="AQ757" s="37">
        <v>0</v>
      </c>
      <c r="AR757" s="37">
        <v>0</v>
      </c>
      <c r="AS757" s="59">
        <v>0</v>
      </c>
      <c r="AT757" s="59">
        <v>0</v>
      </c>
      <c r="AU757" s="45"/>
      <c r="AV757" s="37">
        <v>0</v>
      </c>
      <c r="AW757" s="37">
        <v>0</v>
      </c>
      <c r="AX757" s="37">
        <v>0</v>
      </c>
      <c r="AY757" s="37">
        <v>0</v>
      </c>
      <c r="AZ757" s="37">
        <v>0</v>
      </c>
      <c r="BA757" s="37">
        <v>0</v>
      </c>
      <c r="BB757" s="37">
        <v>0</v>
      </c>
      <c r="BC757" s="37">
        <v>0</v>
      </c>
      <c r="BD757" s="37">
        <v>0</v>
      </c>
      <c r="BE757" s="37">
        <v>0</v>
      </c>
      <c r="BF757" s="37">
        <v>0</v>
      </c>
      <c r="BG757" s="37">
        <v>0</v>
      </c>
      <c r="BH757" s="37">
        <v>0</v>
      </c>
      <c r="BI757" s="37">
        <v>0</v>
      </c>
      <c r="BJ757" s="37">
        <v>0</v>
      </c>
      <c r="BK757" s="59">
        <v>0</v>
      </c>
      <c r="BL757" s="37">
        <v>0</v>
      </c>
      <c r="BM757" s="37">
        <v>0</v>
      </c>
      <c r="BN757" s="37">
        <v>0</v>
      </c>
      <c r="BO757" s="37">
        <v>0</v>
      </c>
      <c r="BP757" s="37">
        <v>0</v>
      </c>
      <c r="BQ757" s="37">
        <v>0</v>
      </c>
      <c r="BR757" s="37">
        <v>0</v>
      </c>
      <c r="BS757" s="37">
        <v>0</v>
      </c>
      <c r="BT757" s="37">
        <v>0</v>
      </c>
      <c r="BU757" s="37">
        <v>0</v>
      </c>
      <c r="BV757" s="37">
        <v>0</v>
      </c>
      <c r="BW757" s="59">
        <v>0</v>
      </c>
      <c r="BX757" s="59">
        <v>0</v>
      </c>
      <c r="BZ757" s="37">
        <v>0</v>
      </c>
      <c r="CA757" s="37">
        <v>0</v>
      </c>
      <c r="CB757" s="37">
        <v>0</v>
      </c>
      <c r="CC757" s="37">
        <v>0</v>
      </c>
      <c r="CD757" s="37">
        <v>0</v>
      </c>
      <c r="CE757" s="37">
        <v>0</v>
      </c>
      <c r="CF757" s="37">
        <v>0</v>
      </c>
      <c r="CG757" s="59">
        <v>0</v>
      </c>
      <c r="CH757" s="37">
        <v>0</v>
      </c>
      <c r="CI757" s="37">
        <v>0</v>
      </c>
      <c r="CJ757" s="37">
        <v>0</v>
      </c>
      <c r="CK757" s="37">
        <v>0</v>
      </c>
      <c r="CL757" s="37">
        <v>0</v>
      </c>
      <c r="CM757" s="37">
        <v>0</v>
      </c>
      <c r="CN757" s="59">
        <v>0</v>
      </c>
      <c r="CO757" s="59">
        <v>0</v>
      </c>
      <c r="CP757" s="58"/>
      <c r="CQ757" s="3">
        <v>0</v>
      </c>
    </row>
    <row r="758" spans="1:95" customFormat="1" x14ac:dyDescent="0.2">
      <c r="A758" s="33">
        <v>0</v>
      </c>
      <c r="B758" s="33">
        <v>0</v>
      </c>
      <c r="C758" s="33">
        <v>0</v>
      </c>
      <c r="D758" s="43">
        <v>0</v>
      </c>
      <c r="E758" s="43">
        <v>0</v>
      </c>
      <c r="F758" s="43">
        <v>0</v>
      </c>
      <c r="G758" s="43">
        <v>0</v>
      </c>
      <c r="H758" s="43">
        <v>0</v>
      </c>
      <c r="I758" s="43">
        <v>0</v>
      </c>
      <c r="J758" s="43">
        <v>0</v>
      </c>
      <c r="K758" s="43">
        <v>0</v>
      </c>
      <c r="L758" s="43">
        <v>0</v>
      </c>
      <c r="M758" s="43">
        <v>0</v>
      </c>
      <c r="N758" s="43">
        <v>0</v>
      </c>
      <c r="O758" s="43">
        <v>0</v>
      </c>
      <c r="P758" s="47">
        <v>0</v>
      </c>
      <c r="R758" s="37">
        <v>0</v>
      </c>
      <c r="S758" s="37">
        <v>0</v>
      </c>
      <c r="T758" s="37">
        <v>0</v>
      </c>
      <c r="U758" s="37">
        <v>0</v>
      </c>
      <c r="V758" s="37">
        <v>0</v>
      </c>
      <c r="W758" s="37">
        <v>0</v>
      </c>
      <c r="X758" s="37">
        <v>0</v>
      </c>
      <c r="Y758" s="37">
        <v>0</v>
      </c>
      <c r="Z758" s="37">
        <v>0</v>
      </c>
      <c r="AA758" s="37">
        <v>0</v>
      </c>
      <c r="AB758" s="37">
        <v>0</v>
      </c>
      <c r="AC758" s="37">
        <v>0</v>
      </c>
      <c r="AD758" s="37">
        <v>0</v>
      </c>
      <c r="AE758" s="37">
        <v>0</v>
      </c>
      <c r="AF758" s="37">
        <v>0</v>
      </c>
      <c r="AG758" s="59">
        <v>0</v>
      </c>
      <c r="AH758" s="37">
        <v>0</v>
      </c>
      <c r="AI758" s="37">
        <v>0</v>
      </c>
      <c r="AJ758" s="37">
        <v>0</v>
      </c>
      <c r="AK758" s="37">
        <v>0</v>
      </c>
      <c r="AL758" s="37">
        <v>0</v>
      </c>
      <c r="AM758" s="37">
        <v>0</v>
      </c>
      <c r="AN758" s="37">
        <v>0</v>
      </c>
      <c r="AO758" s="37">
        <v>0</v>
      </c>
      <c r="AP758" s="37">
        <v>0</v>
      </c>
      <c r="AQ758" s="37">
        <v>0</v>
      </c>
      <c r="AR758" s="37">
        <v>0</v>
      </c>
      <c r="AS758" s="59">
        <v>0</v>
      </c>
      <c r="AT758" s="59">
        <v>0</v>
      </c>
      <c r="AU758" s="45"/>
      <c r="AV758" s="37">
        <v>0</v>
      </c>
      <c r="AW758" s="37">
        <v>0</v>
      </c>
      <c r="AX758" s="37">
        <v>0</v>
      </c>
      <c r="AY758" s="37">
        <v>0</v>
      </c>
      <c r="AZ758" s="37">
        <v>0</v>
      </c>
      <c r="BA758" s="37">
        <v>0</v>
      </c>
      <c r="BB758" s="37">
        <v>0</v>
      </c>
      <c r="BC758" s="37">
        <v>0</v>
      </c>
      <c r="BD758" s="37">
        <v>0</v>
      </c>
      <c r="BE758" s="37">
        <v>0</v>
      </c>
      <c r="BF758" s="37">
        <v>0</v>
      </c>
      <c r="BG758" s="37">
        <v>0</v>
      </c>
      <c r="BH758" s="37">
        <v>0</v>
      </c>
      <c r="BI758" s="37">
        <v>0</v>
      </c>
      <c r="BJ758" s="37">
        <v>0</v>
      </c>
      <c r="BK758" s="59">
        <v>0</v>
      </c>
      <c r="BL758" s="37">
        <v>0</v>
      </c>
      <c r="BM758" s="37">
        <v>0</v>
      </c>
      <c r="BN758" s="37">
        <v>0</v>
      </c>
      <c r="BO758" s="37">
        <v>0</v>
      </c>
      <c r="BP758" s="37">
        <v>0</v>
      </c>
      <c r="BQ758" s="37">
        <v>0</v>
      </c>
      <c r="BR758" s="37">
        <v>0</v>
      </c>
      <c r="BS758" s="37">
        <v>0</v>
      </c>
      <c r="BT758" s="37">
        <v>0</v>
      </c>
      <c r="BU758" s="37">
        <v>0</v>
      </c>
      <c r="BV758" s="37">
        <v>0</v>
      </c>
      <c r="BW758" s="59">
        <v>0</v>
      </c>
      <c r="BX758" s="59">
        <v>0</v>
      </c>
      <c r="BZ758" s="37">
        <v>0</v>
      </c>
      <c r="CA758" s="37">
        <v>0</v>
      </c>
      <c r="CB758" s="37">
        <v>0</v>
      </c>
      <c r="CC758" s="37">
        <v>0</v>
      </c>
      <c r="CD758" s="37">
        <v>0</v>
      </c>
      <c r="CE758" s="37">
        <v>0</v>
      </c>
      <c r="CF758" s="37">
        <v>0</v>
      </c>
      <c r="CG758" s="59">
        <v>0</v>
      </c>
      <c r="CH758" s="37">
        <v>0</v>
      </c>
      <c r="CI758" s="37">
        <v>0</v>
      </c>
      <c r="CJ758" s="37">
        <v>0</v>
      </c>
      <c r="CK758" s="37">
        <v>0</v>
      </c>
      <c r="CL758" s="37">
        <v>0</v>
      </c>
      <c r="CM758" s="37">
        <v>0</v>
      </c>
      <c r="CN758" s="59">
        <v>0</v>
      </c>
      <c r="CO758" s="59">
        <v>0</v>
      </c>
      <c r="CP758" s="58"/>
      <c r="CQ758" s="3">
        <v>0</v>
      </c>
    </row>
    <row r="759" spans="1:95" customFormat="1" x14ac:dyDescent="0.2">
      <c r="A759" s="33">
        <v>0</v>
      </c>
      <c r="B759" s="33">
        <v>0</v>
      </c>
      <c r="C759" s="33">
        <v>0</v>
      </c>
      <c r="D759" s="43">
        <v>0</v>
      </c>
      <c r="E759" s="43">
        <v>0</v>
      </c>
      <c r="F759" s="43">
        <v>0</v>
      </c>
      <c r="G759" s="43">
        <v>0</v>
      </c>
      <c r="H759" s="43">
        <v>0</v>
      </c>
      <c r="I759" s="43">
        <v>0</v>
      </c>
      <c r="J759" s="43">
        <v>0</v>
      </c>
      <c r="K759" s="43">
        <v>0</v>
      </c>
      <c r="L759" s="43">
        <v>0</v>
      </c>
      <c r="M759" s="43">
        <v>0</v>
      </c>
      <c r="N759" s="43">
        <v>0</v>
      </c>
      <c r="O759" s="43">
        <v>0</v>
      </c>
      <c r="P759" s="4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59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59">
        <v>0</v>
      </c>
      <c r="AT759" s="59">
        <v>0</v>
      </c>
      <c r="AU759" s="45"/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>
        <v>0</v>
      </c>
      <c r="BB759" s="37">
        <v>0</v>
      </c>
      <c r="BC759" s="37">
        <v>0</v>
      </c>
      <c r="BD759" s="37">
        <v>0</v>
      </c>
      <c r="BE759" s="37">
        <v>0</v>
      </c>
      <c r="BF759" s="37">
        <v>0</v>
      </c>
      <c r="BG759" s="37">
        <v>0</v>
      </c>
      <c r="BH759" s="37">
        <v>0</v>
      </c>
      <c r="BI759" s="37">
        <v>0</v>
      </c>
      <c r="BJ759" s="37">
        <v>0</v>
      </c>
      <c r="BK759" s="59">
        <v>0</v>
      </c>
      <c r="BL759" s="37">
        <v>0</v>
      </c>
      <c r="BM759" s="37">
        <v>0</v>
      </c>
      <c r="BN759" s="37">
        <v>0</v>
      </c>
      <c r="BO759" s="37">
        <v>0</v>
      </c>
      <c r="BP759" s="37">
        <v>0</v>
      </c>
      <c r="BQ759" s="37">
        <v>0</v>
      </c>
      <c r="BR759" s="37">
        <v>0</v>
      </c>
      <c r="BS759" s="37">
        <v>0</v>
      </c>
      <c r="BT759" s="37">
        <v>0</v>
      </c>
      <c r="BU759" s="37">
        <v>0</v>
      </c>
      <c r="BV759" s="37">
        <v>0</v>
      </c>
      <c r="BW759" s="59">
        <v>0</v>
      </c>
      <c r="BX759" s="59">
        <v>0</v>
      </c>
      <c r="BZ759" s="37">
        <v>0</v>
      </c>
      <c r="CA759" s="37">
        <v>0</v>
      </c>
      <c r="CB759" s="37">
        <v>0</v>
      </c>
      <c r="CC759" s="37">
        <v>0</v>
      </c>
      <c r="CD759" s="37">
        <v>0</v>
      </c>
      <c r="CE759" s="37">
        <v>0</v>
      </c>
      <c r="CF759" s="37">
        <v>0</v>
      </c>
      <c r="CG759" s="59">
        <v>0</v>
      </c>
      <c r="CH759" s="37">
        <v>0</v>
      </c>
      <c r="CI759" s="37">
        <v>0</v>
      </c>
      <c r="CJ759" s="37">
        <v>0</v>
      </c>
      <c r="CK759" s="37">
        <v>0</v>
      </c>
      <c r="CL759" s="37">
        <v>0</v>
      </c>
      <c r="CM759" s="37">
        <v>0</v>
      </c>
      <c r="CN759" s="59">
        <v>0</v>
      </c>
      <c r="CO759" s="59">
        <v>0</v>
      </c>
      <c r="CP759" s="58"/>
      <c r="CQ759" s="3">
        <v>0</v>
      </c>
    </row>
    <row r="760" spans="1:95" customFormat="1" x14ac:dyDescent="0.2">
      <c r="A760" s="33">
        <v>0</v>
      </c>
      <c r="B760" s="33">
        <v>0</v>
      </c>
      <c r="C760" s="33">
        <v>0</v>
      </c>
      <c r="D760" s="43">
        <v>0</v>
      </c>
      <c r="E760" s="43">
        <v>0</v>
      </c>
      <c r="F760" s="43">
        <v>0</v>
      </c>
      <c r="G760" s="43">
        <v>0</v>
      </c>
      <c r="H760" s="43">
        <v>0</v>
      </c>
      <c r="I760" s="43">
        <v>0</v>
      </c>
      <c r="J760" s="43">
        <v>0</v>
      </c>
      <c r="K760" s="43">
        <v>0</v>
      </c>
      <c r="L760" s="43">
        <v>0</v>
      </c>
      <c r="M760" s="43">
        <v>0</v>
      </c>
      <c r="N760" s="43">
        <v>0</v>
      </c>
      <c r="O760" s="43">
        <v>0</v>
      </c>
      <c r="P760" s="47">
        <v>0</v>
      </c>
      <c r="R760" s="37">
        <v>0</v>
      </c>
      <c r="S760" s="37">
        <v>0</v>
      </c>
      <c r="T760" s="37">
        <v>0</v>
      </c>
      <c r="U760" s="37">
        <v>0</v>
      </c>
      <c r="V760" s="37">
        <v>0</v>
      </c>
      <c r="W760" s="37">
        <v>0</v>
      </c>
      <c r="X760" s="37">
        <v>0</v>
      </c>
      <c r="Y760" s="37">
        <v>0</v>
      </c>
      <c r="Z760" s="37">
        <v>0</v>
      </c>
      <c r="AA760" s="37">
        <v>0</v>
      </c>
      <c r="AB760" s="37">
        <v>0</v>
      </c>
      <c r="AC760" s="37">
        <v>0</v>
      </c>
      <c r="AD760" s="37">
        <v>0</v>
      </c>
      <c r="AE760" s="37">
        <v>0</v>
      </c>
      <c r="AF760" s="37">
        <v>0</v>
      </c>
      <c r="AG760" s="59">
        <v>0</v>
      </c>
      <c r="AH760" s="37">
        <v>0</v>
      </c>
      <c r="AI760" s="37">
        <v>0</v>
      </c>
      <c r="AJ760" s="37">
        <v>0</v>
      </c>
      <c r="AK760" s="37">
        <v>0</v>
      </c>
      <c r="AL760" s="37">
        <v>0</v>
      </c>
      <c r="AM760" s="37">
        <v>0</v>
      </c>
      <c r="AN760" s="37">
        <v>0</v>
      </c>
      <c r="AO760" s="37">
        <v>0</v>
      </c>
      <c r="AP760" s="37">
        <v>0</v>
      </c>
      <c r="AQ760" s="37">
        <v>0</v>
      </c>
      <c r="AR760" s="37">
        <v>0</v>
      </c>
      <c r="AS760" s="59">
        <v>0</v>
      </c>
      <c r="AT760" s="59">
        <v>0</v>
      </c>
      <c r="AU760" s="45"/>
      <c r="AV760" s="37">
        <v>0</v>
      </c>
      <c r="AW760" s="37">
        <v>0</v>
      </c>
      <c r="AX760" s="37">
        <v>0</v>
      </c>
      <c r="AY760" s="37">
        <v>0</v>
      </c>
      <c r="AZ760" s="37">
        <v>0</v>
      </c>
      <c r="BA760" s="37">
        <v>0</v>
      </c>
      <c r="BB760" s="37">
        <v>0</v>
      </c>
      <c r="BC760" s="37">
        <v>0</v>
      </c>
      <c r="BD760" s="37">
        <v>0</v>
      </c>
      <c r="BE760" s="37">
        <v>0</v>
      </c>
      <c r="BF760" s="37">
        <v>0</v>
      </c>
      <c r="BG760" s="37">
        <v>0</v>
      </c>
      <c r="BH760" s="37">
        <v>0</v>
      </c>
      <c r="BI760" s="37">
        <v>0</v>
      </c>
      <c r="BJ760" s="37">
        <v>0</v>
      </c>
      <c r="BK760" s="59">
        <v>0</v>
      </c>
      <c r="BL760" s="37">
        <v>0</v>
      </c>
      <c r="BM760" s="37">
        <v>0</v>
      </c>
      <c r="BN760" s="37">
        <v>0</v>
      </c>
      <c r="BO760" s="37">
        <v>0</v>
      </c>
      <c r="BP760" s="37">
        <v>0</v>
      </c>
      <c r="BQ760" s="37">
        <v>0</v>
      </c>
      <c r="BR760" s="37">
        <v>0</v>
      </c>
      <c r="BS760" s="37">
        <v>0</v>
      </c>
      <c r="BT760" s="37">
        <v>0</v>
      </c>
      <c r="BU760" s="37">
        <v>0</v>
      </c>
      <c r="BV760" s="37">
        <v>0</v>
      </c>
      <c r="BW760" s="59">
        <v>0</v>
      </c>
      <c r="BX760" s="59">
        <v>0</v>
      </c>
      <c r="BZ760" s="37">
        <v>0</v>
      </c>
      <c r="CA760" s="37">
        <v>0</v>
      </c>
      <c r="CB760" s="37">
        <v>0</v>
      </c>
      <c r="CC760" s="37">
        <v>0</v>
      </c>
      <c r="CD760" s="37">
        <v>0</v>
      </c>
      <c r="CE760" s="37">
        <v>0</v>
      </c>
      <c r="CF760" s="37">
        <v>0</v>
      </c>
      <c r="CG760" s="59">
        <v>0</v>
      </c>
      <c r="CH760" s="37">
        <v>0</v>
      </c>
      <c r="CI760" s="37">
        <v>0</v>
      </c>
      <c r="CJ760" s="37">
        <v>0</v>
      </c>
      <c r="CK760" s="37">
        <v>0</v>
      </c>
      <c r="CL760" s="37">
        <v>0</v>
      </c>
      <c r="CM760" s="37">
        <v>0</v>
      </c>
      <c r="CN760" s="59">
        <v>0</v>
      </c>
      <c r="CO760" s="59">
        <v>0</v>
      </c>
      <c r="CP760" s="58"/>
      <c r="CQ760" s="3">
        <v>0</v>
      </c>
    </row>
    <row r="761" spans="1:95" customFormat="1" x14ac:dyDescent="0.2">
      <c r="A761" s="33">
        <v>0</v>
      </c>
      <c r="B761" s="33">
        <v>0</v>
      </c>
      <c r="C761" s="33">
        <v>0</v>
      </c>
      <c r="D761" s="43">
        <v>0</v>
      </c>
      <c r="E761" s="43">
        <v>0</v>
      </c>
      <c r="F761" s="43">
        <v>0</v>
      </c>
      <c r="G761" s="43">
        <v>0</v>
      </c>
      <c r="H761" s="43">
        <v>0</v>
      </c>
      <c r="I761" s="43">
        <v>0</v>
      </c>
      <c r="J761" s="43">
        <v>0</v>
      </c>
      <c r="K761" s="43">
        <v>0</v>
      </c>
      <c r="L761" s="43">
        <v>0</v>
      </c>
      <c r="M761" s="43">
        <v>0</v>
      </c>
      <c r="N761" s="43">
        <v>0</v>
      </c>
      <c r="O761" s="43">
        <v>0</v>
      </c>
      <c r="P761" s="47">
        <v>0</v>
      </c>
      <c r="R761" s="37">
        <v>0</v>
      </c>
      <c r="S761" s="37">
        <v>0</v>
      </c>
      <c r="T761" s="37">
        <v>0</v>
      </c>
      <c r="U761" s="37">
        <v>0</v>
      </c>
      <c r="V761" s="37">
        <v>0</v>
      </c>
      <c r="W761" s="37">
        <v>0</v>
      </c>
      <c r="X761" s="37">
        <v>0</v>
      </c>
      <c r="Y761" s="37">
        <v>0</v>
      </c>
      <c r="Z761" s="37">
        <v>0</v>
      </c>
      <c r="AA761" s="37">
        <v>0</v>
      </c>
      <c r="AB761" s="37">
        <v>0</v>
      </c>
      <c r="AC761" s="37">
        <v>0</v>
      </c>
      <c r="AD761" s="37">
        <v>0</v>
      </c>
      <c r="AE761" s="37">
        <v>0</v>
      </c>
      <c r="AF761" s="37">
        <v>0</v>
      </c>
      <c r="AG761" s="59">
        <v>0</v>
      </c>
      <c r="AH761" s="37">
        <v>0</v>
      </c>
      <c r="AI761" s="37">
        <v>0</v>
      </c>
      <c r="AJ761" s="37">
        <v>0</v>
      </c>
      <c r="AK761" s="37">
        <v>0</v>
      </c>
      <c r="AL761" s="37">
        <v>0</v>
      </c>
      <c r="AM761" s="37">
        <v>0</v>
      </c>
      <c r="AN761" s="37">
        <v>0</v>
      </c>
      <c r="AO761" s="37">
        <v>0</v>
      </c>
      <c r="AP761" s="37">
        <v>0</v>
      </c>
      <c r="AQ761" s="37">
        <v>0</v>
      </c>
      <c r="AR761" s="37">
        <v>0</v>
      </c>
      <c r="AS761" s="59">
        <v>0</v>
      </c>
      <c r="AT761" s="59">
        <v>0</v>
      </c>
      <c r="AU761" s="45"/>
      <c r="AV761" s="37">
        <v>0</v>
      </c>
      <c r="AW761" s="37">
        <v>0</v>
      </c>
      <c r="AX761" s="37">
        <v>0</v>
      </c>
      <c r="AY761" s="37">
        <v>0</v>
      </c>
      <c r="AZ761" s="37">
        <v>0</v>
      </c>
      <c r="BA761" s="37">
        <v>0</v>
      </c>
      <c r="BB761" s="37">
        <v>0</v>
      </c>
      <c r="BC761" s="37">
        <v>0</v>
      </c>
      <c r="BD761" s="37">
        <v>0</v>
      </c>
      <c r="BE761" s="37">
        <v>0</v>
      </c>
      <c r="BF761" s="37">
        <v>0</v>
      </c>
      <c r="BG761" s="37">
        <v>0</v>
      </c>
      <c r="BH761" s="37">
        <v>0</v>
      </c>
      <c r="BI761" s="37">
        <v>0</v>
      </c>
      <c r="BJ761" s="37">
        <v>0</v>
      </c>
      <c r="BK761" s="59">
        <v>0</v>
      </c>
      <c r="BL761" s="37">
        <v>0</v>
      </c>
      <c r="BM761" s="37">
        <v>0</v>
      </c>
      <c r="BN761" s="37">
        <v>0</v>
      </c>
      <c r="BO761" s="37">
        <v>0</v>
      </c>
      <c r="BP761" s="37">
        <v>0</v>
      </c>
      <c r="BQ761" s="37">
        <v>0</v>
      </c>
      <c r="BR761" s="37">
        <v>0</v>
      </c>
      <c r="BS761" s="37">
        <v>0</v>
      </c>
      <c r="BT761" s="37">
        <v>0</v>
      </c>
      <c r="BU761" s="37">
        <v>0</v>
      </c>
      <c r="BV761" s="37">
        <v>0</v>
      </c>
      <c r="BW761" s="59">
        <v>0</v>
      </c>
      <c r="BX761" s="59">
        <v>0</v>
      </c>
      <c r="BZ761" s="37">
        <v>0</v>
      </c>
      <c r="CA761" s="37">
        <v>0</v>
      </c>
      <c r="CB761" s="37">
        <v>0</v>
      </c>
      <c r="CC761" s="37">
        <v>0</v>
      </c>
      <c r="CD761" s="37">
        <v>0</v>
      </c>
      <c r="CE761" s="37">
        <v>0</v>
      </c>
      <c r="CF761" s="37">
        <v>0</v>
      </c>
      <c r="CG761" s="59">
        <v>0</v>
      </c>
      <c r="CH761" s="37">
        <v>0</v>
      </c>
      <c r="CI761" s="37">
        <v>0</v>
      </c>
      <c r="CJ761" s="37">
        <v>0</v>
      </c>
      <c r="CK761" s="37">
        <v>0</v>
      </c>
      <c r="CL761" s="37">
        <v>0</v>
      </c>
      <c r="CM761" s="37">
        <v>0</v>
      </c>
      <c r="CN761" s="59">
        <v>0</v>
      </c>
      <c r="CO761" s="59">
        <v>0</v>
      </c>
      <c r="CP761" s="58"/>
      <c r="CQ761" s="3">
        <v>0</v>
      </c>
    </row>
    <row r="762" spans="1:95" customFormat="1" x14ac:dyDescent="0.2">
      <c r="A762" s="33">
        <v>0</v>
      </c>
      <c r="B762" s="33">
        <v>0</v>
      </c>
      <c r="C762" s="33">
        <v>0</v>
      </c>
      <c r="D762" s="43">
        <v>0</v>
      </c>
      <c r="E762" s="43">
        <v>0</v>
      </c>
      <c r="F762" s="43">
        <v>0</v>
      </c>
      <c r="G762" s="43">
        <v>0</v>
      </c>
      <c r="H762" s="43">
        <v>0</v>
      </c>
      <c r="I762" s="43">
        <v>0</v>
      </c>
      <c r="J762" s="43">
        <v>0</v>
      </c>
      <c r="K762" s="43">
        <v>0</v>
      </c>
      <c r="L762" s="43">
        <v>0</v>
      </c>
      <c r="M762" s="43">
        <v>0</v>
      </c>
      <c r="N762" s="43">
        <v>0</v>
      </c>
      <c r="O762" s="43">
        <v>0</v>
      </c>
      <c r="P762" s="47">
        <v>0</v>
      </c>
      <c r="R762" s="37">
        <v>0</v>
      </c>
      <c r="S762" s="37">
        <v>0</v>
      </c>
      <c r="T762" s="37">
        <v>0</v>
      </c>
      <c r="U762" s="37">
        <v>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7">
        <v>0</v>
      </c>
      <c r="AB762" s="37">
        <v>0</v>
      </c>
      <c r="AC762" s="37">
        <v>0</v>
      </c>
      <c r="AD762" s="37">
        <v>0</v>
      </c>
      <c r="AE762" s="37">
        <v>0</v>
      </c>
      <c r="AF762" s="37">
        <v>0</v>
      </c>
      <c r="AG762" s="59">
        <v>0</v>
      </c>
      <c r="AH762" s="37">
        <v>0</v>
      </c>
      <c r="AI762" s="37">
        <v>0</v>
      </c>
      <c r="AJ762" s="37">
        <v>0</v>
      </c>
      <c r="AK762" s="37">
        <v>0</v>
      </c>
      <c r="AL762" s="37">
        <v>0</v>
      </c>
      <c r="AM762" s="37">
        <v>0</v>
      </c>
      <c r="AN762" s="37">
        <v>0</v>
      </c>
      <c r="AO762" s="37">
        <v>0</v>
      </c>
      <c r="AP762" s="37">
        <v>0</v>
      </c>
      <c r="AQ762" s="37">
        <v>0</v>
      </c>
      <c r="AR762" s="37">
        <v>0</v>
      </c>
      <c r="AS762" s="59">
        <v>0</v>
      </c>
      <c r="AT762" s="59">
        <v>0</v>
      </c>
      <c r="AU762" s="45"/>
      <c r="AV762" s="37">
        <v>0</v>
      </c>
      <c r="AW762" s="37">
        <v>0</v>
      </c>
      <c r="AX762" s="37">
        <v>0</v>
      </c>
      <c r="AY762" s="37">
        <v>0</v>
      </c>
      <c r="AZ762" s="37">
        <v>0</v>
      </c>
      <c r="BA762" s="37">
        <v>0</v>
      </c>
      <c r="BB762" s="37">
        <v>0</v>
      </c>
      <c r="BC762" s="37">
        <v>0</v>
      </c>
      <c r="BD762" s="37">
        <v>0</v>
      </c>
      <c r="BE762" s="37">
        <v>0</v>
      </c>
      <c r="BF762" s="37">
        <v>0</v>
      </c>
      <c r="BG762" s="37">
        <v>0</v>
      </c>
      <c r="BH762" s="37">
        <v>0</v>
      </c>
      <c r="BI762" s="37">
        <v>0</v>
      </c>
      <c r="BJ762" s="37">
        <v>0</v>
      </c>
      <c r="BK762" s="59">
        <v>0</v>
      </c>
      <c r="BL762" s="37">
        <v>0</v>
      </c>
      <c r="BM762" s="37">
        <v>0</v>
      </c>
      <c r="BN762" s="37">
        <v>0</v>
      </c>
      <c r="BO762" s="37">
        <v>0</v>
      </c>
      <c r="BP762" s="37">
        <v>0</v>
      </c>
      <c r="BQ762" s="37">
        <v>0</v>
      </c>
      <c r="BR762" s="37">
        <v>0</v>
      </c>
      <c r="BS762" s="37">
        <v>0</v>
      </c>
      <c r="BT762" s="37">
        <v>0</v>
      </c>
      <c r="BU762" s="37">
        <v>0</v>
      </c>
      <c r="BV762" s="37">
        <v>0</v>
      </c>
      <c r="BW762" s="59">
        <v>0</v>
      </c>
      <c r="BX762" s="59">
        <v>0</v>
      </c>
      <c r="BZ762" s="37">
        <v>0</v>
      </c>
      <c r="CA762" s="37">
        <v>0</v>
      </c>
      <c r="CB762" s="37">
        <v>0</v>
      </c>
      <c r="CC762" s="37">
        <v>0</v>
      </c>
      <c r="CD762" s="37">
        <v>0</v>
      </c>
      <c r="CE762" s="37">
        <v>0</v>
      </c>
      <c r="CF762" s="37">
        <v>0</v>
      </c>
      <c r="CG762" s="59">
        <v>0</v>
      </c>
      <c r="CH762" s="37">
        <v>0</v>
      </c>
      <c r="CI762" s="37">
        <v>0</v>
      </c>
      <c r="CJ762" s="37">
        <v>0</v>
      </c>
      <c r="CK762" s="37">
        <v>0</v>
      </c>
      <c r="CL762" s="37">
        <v>0</v>
      </c>
      <c r="CM762" s="37">
        <v>0</v>
      </c>
      <c r="CN762" s="59">
        <v>0</v>
      </c>
      <c r="CO762" s="59">
        <v>0</v>
      </c>
      <c r="CP762" s="58"/>
      <c r="CQ762" s="3">
        <v>0</v>
      </c>
    </row>
    <row r="763" spans="1:95" customFormat="1" x14ac:dyDescent="0.2">
      <c r="A763" s="33">
        <v>0</v>
      </c>
      <c r="B763" s="33">
        <v>0</v>
      </c>
      <c r="C763" s="33">
        <v>0</v>
      </c>
      <c r="D763" s="43">
        <v>0</v>
      </c>
      <c r="E763" s="43">
        <v>0</v>
      </c>
      <c r="F763" s="43">
        <v>0</v>
      </c>
      <c r="G763" s="43">
        <v>0</v>
      </c>
      <c r="H763" s="43">
        <v>0</v>
      </c>
      <c r="I763" s="43">
        <v>0</v>
      </c>
      <c r="J763" s="43">
        <v>0</v>
      </c>
      <c r="K763" s="43">
        <v>0</v>
      </c>
      <c r="L763" s="43">
        <v>0</v>
      </c>
      <c r="M763" s="43">
        <v>0</v>
      </c>
      <c r="N763" s="43">
        <v>0</v>
      </c>
      <c r="O763" s="43">
        <v>0</v>
      </c>
      <c r="P763" s="47">
        <v>0</v>
      </c>
      <c r="R763" s="37">
        <v>0</v>
      </c>
      <c r="S763" s="37">
        <v>0</v>
      </c>
      <c r="T763" s="37">
        <v>0</v>
      </c>
      <c r="U763" s="37">
        <v>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7">
        <v>0</v>
      </c>
      <c r="AB763" s="37">
        <v>0</v>
      </c>
      <c r="AC763" s="37">
        <v>0</v>
      </c>
      <c r="AD763" s="37">
        <v>0</v>
      </c>
      <c r="AE763" s="37">
        <v>0</v>
      </c>
      <c r="AF763" s="37">
        <v>0</v>
      </c>
      <c r="AG763" s="59">
        <v>0</v>
      </c>
      <c r="AH763" s="37">
        <v>0</v>
      </c>
      <c r="AI763" s="37">
        <v>0</v>
      </c>
      <c r="AJ763" s="37">
        <v>0</v>
      </c>
      <c r="AK763" s="37">
        <v>0</v>
      </c>
      <c r="AL763" s="37">
        <v>0</v>
      </c>
      <c r="AM763" s="37">
        <v>0</v>
      </c>
      <c r="AN763" s="37">
        <v>0</v>
      </c>
      <c r="AO763" s="37">
        <v>0</v>
      </c>
      <c r="AP763" s="37">
        <v>0</v>
      </c>
      <c r="AQ763" s="37">
        <v>0</v>
      </c>
      <c r="AR763" s="37">
        <v>0</v>
      </c>
      <c r="AS763" s="59">
        <v>0</v>
      </c>
      <c r="AT763" s="59">
        <v>0</v>
      </c>
      <c r="AU763" s="45"/>
      <c r="AV763" s="37">
        <v>0</v>
      </c>
      <c r="AW763" s="37">
        <v>0</v>
      </c>
      <c r="AX763" s="37">
        <v>0</v>
      </c>
      <c r="AY763" s="37">
        <v>0</v>
      </c>
      <c r="AZ763" s="37">
        <v>0</v>
      </c>
      <c r="BA763" s="37">
        <v>0</v>
      </c>
      <c r="BB763" s="37">
        <v>0</v>
      </c>
      <c r="BC763" s="37">
        <v>0</v>
      </c>
      <c r="BD763" s="37">
        <v>0</v>
      </c>
      <c r="BE763" s="37">
        <v>0</v>
      </c>
      <c r="BF763" s="37">
        <v>0</v>
      </c>
      <c r="BG763" s="37">
        <v>0</v>
      </c>
      <c r="BH763" s="37">
        <v>0</v>
      </c>
      <c r="BI763" s="37">
        <v>0</v>
      </c>
      <c r="BJ763" s="37">
        <v>0</v>
      </c>
      <c r="BK763" s="59">
        <v>0</v>
      </c>
      <c r="BL763" s="37">
        <v>0</v>
      </c>
      <c r="BM763" s="37">
        <v>0</v>
      </c>
      <c r="BN763" s="37">
        <v>0</v>
      </c>
      <c r="BO763" s="37">
        <v>0</v>
      </c>
      <c r="BP763" s="37">
        <v>0</v>
      </c>
      <c r="BQ763" s="37">
        <v>0</v>
      </c>
      <c r="BR763" s="37">
        <v>0</v>
      </c>
      <c r="BS763" s="37">
        <v>0</v>
      </c>
      <c r="BT763" s="37">
        <v>0</v>
      </c>
      <c r="BU763" s="37">
        <v>0</v>
      </c>
      <c r="BV763" s="37">
        <v>0</v>
      </c>
      <c r="BW763" s="59">
        <v>0</v>
      </c>
      <c r="BX763" s="59">
        <v>0</v>
      </c>
      <c r="BZ763" s="37">
        <v>0</v>
      </c>
      <c r="CA763" s="37">
        <v>0</v>
      </c>
      <c r="CB763" s="37">
        <v>0</v>
      </c>
      <c r="CC763" s="37">
        <v>0</v>
      </c>
      <c r="CD763" s="37">
        <v>0</v>
      </c>
      <c r="CE763" s="37">
        <v>0</v>
      </c>
      <c r="CF763" s="37">
        <v>0</v>
      </c>
      <c r="CG763" s="59">
        <v>0</v>
      </c>
      <c r="CH763" s="37">
        <v>0</v>
      </c>
      <c r="CI763" s="37">
        <v>0</v>
      </c>
      <c r="CJ763" s="37">
        <v>0</v>
      </c>
      <c r="CK763" s="37">
        <v>0</v>
      </c>
      <c r="CL763" s="37">
        <v>0</v>
      </c>
      <c r="CM763" s="37">
        <v>0</v>
      </c>
      <c r="CN763" s="59">
        <v>0</v>
      </c>
      <c r="CO763" s="59">
        <v>0</v>
      </c>
      <c r="CP763" s="58"/>
      <c r="CQ763" s="3">
        <v>0</v>
      </c>
    </row>
    <row r="764" spans="1:95" customFormat="1" x14ac:dyDescent="0.2">
      <c r="A764" s="33">
        <v>0</v>
      </c>
      <c r="B764" s="33">
        <v>0</v>
      </c>
      <c r="C764" s="33">
        <v>0</v>
      </c>
      <c r="D764" s="43">
        <v>0</v>
      </c>
      <c r="E764" s="43">
        <v>0</v>
      </c>
      <c r="F764" s="43">
        <v>0</v>
      </c>
      <c r="G764" s="43">
        <v>0</v>
      </c>
      <c r="H764" s="43">
        <v>0</v>
      </c>
      <c r="I764" s="43">
        <v>0</v>
      </c>
      <c r="J764" s="43">
        <v>0</v>
      </c>
      <c r="K764" s="43">
        <v>0</v>
      </c>
      <c r="L764" s="43">
        <v>0</v>
      </c>
      <c r="M764" s="43">
        <v>0</v>
      </c>
      <c r="N764" s="43">
        <v>0</v>
      </c>
      <c r="O764" s="43">
        <v>0</v>
      </c>
      <c r="P764" s="47">
        <v>0</v>
      </c>
      <c r="R764" s="37">
        <v>0</v>
      </c>
      <c r="S764" s="37">
        <v>0</v>
      </c>
      <c r="T764" s="37">
        <v>0</v>
      </c>
      <c r="U764" s="37">
        <v>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7">
        <v>0</v>
      </c>
      <c r="AB764" s="37">
        <v>0</v>
      </c>
      <c r="AC764" s="37">
        <v>0</v>
      </c>
      <c r="AD764" s="37">
        <v>0</v>
      </c>
      <c r="AE764" s="37">
        <v>0</v>
      </c>
      <c r="AF764" s="37">
        <v>0</v>
      </c>
      <c r="AG764" s="59">
        <v>0</v>
      </c>
      <c r="AH764" s="37">
        <v>0</v>
      </c>
      <c r="AI764" s="37">
        <v>0</v>
      </c>
      <c r="AJ764" s="37">
        <v>0</v>
      </c>
      <c r="AK764" s="37">
        <v>0</v>
      </c>
      <c r="AL764" s="37">
        <v>0</v>
      </c>
      <c r="AM764" s="37">
        <v>0</v>
      </c>
      <c r="AN764" s="37">
        <v>0</v>
      </c>
      <c r="AO764" s="37">
        <v>0</v>
      </c>
      <c r="AP764" s="37">
        <v>0</v>
      </c>
      <c r="AQ764" s="37">
        <v>0</v>
      </c>
      <c r="AR764" s="37">
        <v>0</v>
      </c>
      <c r="AS764" s="59">
        <v>0</v>
      </c>
      <c r="AT764" s="59">
        <v>0</v>
      </c>
      <c r="AU764" s="45"/>
      <c r="AV764" s="37">
        <v>0</v>
      </c>
      <c r="AW764" s="37">
        <v>0</v>
      </c>
      <c r="AX764" s="37">
        <v>0</v>
      </c>
      <c r="AY764" s="37">
        <v>0</v>
      </c>
      <c r="AZ764" s="37">
        <v>0</v>
      </c>
      <c r="BA764" s="37">
        <v>0</v>
      </c>
      <c r="BB764" s="37">
        <v>0</v>
      </c>
      <c r="BC764" s="37">
        <v>0</v>
      </c>
      <c r="BD764" s="37">
        <v>0</v>
      </c>
      <c r="BE764" s="37">
        <v>0</v>
      </c>
      <c r="BF764" s="37">
        <v>0</v>
      </c>
      <c r="BG764" s="37">
        <v>0</v>
      </c>
      <c r="BH764" s="37">
        <v>0</v>
      </c>
      <c r="BI764" s="37">
        <v>0</v>
      </c>
      <c r="BJ764" s="37">
        <v>0</v>
      </c>
      <c r="BK764" s="59">
        <v>0</v>
      </c>
      <c r="BL764" s="37">
        <v>0</v>
      </c>
      <c r="BM764" s="37">
        <v>0</v>
      </c>
      <c r="BN764" s="37">
        <v>0</v>
      </c>
      <c r="BO764" s="37">
        <v>0</v>
      </c>
      <c r="BP764" s="37">
        <v>0</v>
      </c>
      <c r="BQ764" s="37">
        <v>0</v>
      </c>
      <c r="BR764" s="37">
        <v>0</v>
      </c>
      <c r="BS764" s="37">
        <v>0</v>
      </c>
      <c r="BT764" s="37">
        <v>0</v>
      </c>
      <c r="BU764" s="37">
        <v>0</v>
      </c>
      <c r="BV764" s="37">
        <v>0</v>
      </c>
      <c r="BW764" s="59">
        <v>0</v>
      </c>
      <c r="BX764" s="59">
        <v>0</v>
      </c>
      <c r="BZ764" s="37">
        <v>0</v>
      </c>
      <c r="CA764" s="37">
        <v>0</v>
      </c>
      <c r="CB764" s="37">
        <v>0</v>
      </c>
      <c r="CC764" s="37">
        <v>0</v>
      </c>
      <c r="CD764" s="37">
        <v>0</v>
      </c>
      <c r="CE764" s="37">
        <v>0</v>
      </c>
      <c r="CF764" s="37">
        <v>0</v>
      </c>
      <c r="CG764" s="59">
        <v>0</v>
      </c>
      <c r="CH764" s="37">
        <v>0</v>
      </c>
      <c r="CI764" s="37">
        <v>0</v>
      </c>
      <c r="CJ764" s="37">
        <v>0</v>
      </c>
      <c r="CK764" s="37">
        <v>0</v>
      </c>
      <c r="CL764" s="37">
        <v>0</v>
      </c>
      <c r="CM764" s="37">
        <v>0</v>
      </c>
      <c r="CN764" s="59">
        <v>0</v>
      </c>
      <c r="CO764" s="59">
        <v>0</v>
      </c>
      <c r="CP764" s="58"/>
      <c r="CQ764" s="3">
        <v>0</v>
      </c>
    </row>
    <row r="765" spans="1:95" customFormat="1" x14ac:dyDescent="0.2">
      <c r="A765" s="33">
        <v>0</v>
      </c>
      <c r="B765" s="33">
        <v>0</v>
      </c>
      <c r="C765" s="33">
        <v>0</v>
      </c>
      <c r="D765" s="43">
        <v>0</v>
      </c>
      <c r="E765" s="43">
        <v>0</v>
      </c>
      <c r="F765" s="43">
        <v>0</v>
      </c>
      <c r="G765" s="43">
        <v>0</v>
      </c>
      <c r="H765" s="43">
        <v>0</v>
      </c>
      <c r="I765" s="43">
        <v>0</v>
      </c>
      <c r="J765" s="43">
        <v>0</v>
      </c>
      <c r="K765" s="43">
        <v>0</v>
      </c>
      <c r="L765" s="43">
        <v>0</v>
      </c>
      <c r="M765" s="43">
        <v>0</v>
      </c>
      <c r="N765" s="43">
        <v>0</v>
      </c>
      <c r="O765" s="43">
        <v>0</v>
      </c>
      <c r="P765" s="47">
        <v>0</v>
      </c>
      <c r="R765" s="37">
        <v>0</v>
      </c>
      <c r="S765" s="37">
        <v>0</v>
      </c>
      <c r="T765" s="37">
        <v>0</v>
      </c>
      <c r="U765" s="37">
        <v>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7">
        <v>0</v>
      </c>
      <c r="AB765" s="37">
        <v>0</v>
      </c>
      <c r="AC765" s="37">
        <v>0</v>
      </c>
      <c r="AD765" s="37">
        <v>0</v>
      </c>
      <c r="AE765" s="37">
        <v>0</v>
      </c>
      <c r="AF765" s="37">
        <v>0</v>
      </c>
      <c r="AG765" s="59">
        <v>0</v>
      </c>
      <c r="AH765" s="37">
        <v>0</v>
      </c>
      <c r="AI765" s="37">
        <v>0</v>
      </c>
      <c r="AJ765" s="37">
        <v>0</v>
      </c>
      <c r="AK765" s="37">
        <v>0</v>
      </c>
      <c r="AL765" s="37">
        <v>0</v>
      </c>
      <c r="AM765" s="37">
        <v>0</v>
      </c>
      <c r="AN765" s="37">
        <v>0</v>
      </c>
      <c r="AO765" s="37">
        <v>0</v>
      </c>
      <c r="AP765" s="37">
        <v>0</v>
      </c>
      <c r="AQ765" s="37">
        <v>0</v>
      </c>
      <c r="AR765" s="37">
        <v>0</v>
      </c>
      <c r="AS765" s="59">
        <v>0</v>
      </c>
      <c r="AT765" s="59">
        <v>0</v>
      </c>
      <c r="AU765" s="45"/>
      <c r="AV765" s="37">
        <v>0</v>
      </c>
      <c r="AW765" s="37">
        <v>0</v>
      </c>
      <c r="AX765" s="37">
        <v>0</v>
      </c>
      <c r="AY765" s="37">
        <v>0</v>
      </c>
      <c r="AZ765" s="37">
        <v>0</v>
      </c>
      <c r="BA765" s="37">
        <v>0</v>
      </c>
      <c r="BB765" s="37">
        <v>0</v>
      </c>
      <c r="BC765" s="37">
        <v>0</v>
      </c>
      <c r="BD765" s="37">
        <v>0</v>
      </c>
      <c r="BE765" s="37">
        <v>0</v>
      </c>
      <c r="BF765" s="37">
        <v>0</v>
      </c>
      <c r="BG765" s="37">
        <v>0</v>
      </c>
      <c r="BH765" s="37">
        <v>0</v>
      </c>
      <c r="BI765" s="37">
        <v>0</v>
      </c>
      <c r="BJ765" s="37">
        <v>0</v>
      </c>
      <c r="BK765" s="59">
        <v>0</v>
      </c>
      <c r="BL765" s="37">
        <v>0</v>
      </c>
      <c r="BM765" s="37">
        <v>0</v>
      </c>
      <c r="BN765" s="37">
        <v>0</v>
      </c>
      <c r="BO765" s="37">
        <v>0</v>
      </c>
      <c r="BP765" s="37">
        <v>0</v>
      </c>
      <c r="BQ765" s="37">
        <v>0</v>
      </c>
      <c r="BR765" s="37">
        <v>0</v>
      </c>
      <c r="BS765" s="37">
        <v>0</v>
      </c>
      <c r="BT765" s="37">
        <v>0</v>
      </c>
      <c r="BU765" s="37">
        <v>0</v>
      </c>
      <c r="BV765" s="37">
        <v>0</v>
      </c>
      <c r="BW765" s="59">
        <v>0</v>
      </c>
      <c r="BX765" s="59">
        <v>0</v>
      </c>
      <c r="BZ765" s="37">
        <v>0</v>
      </c>
      <c r="CA765" s="37">
        <v>0</v>
      </c>
      <c r="CB765" s="37">
        <v>0</v>
      </c>
      <c r="CC765" s="37">
        <v>0</v>
      </c>
      <c r="CD765" s="37">
        <v>0</v>
      </c>
      <c r="CE765" s="37">
        <v>0</v>
      </c>
      <c r="CF765" s="37">
        <v>0</v>
      </c>
      <c r="CG765" s="59">
        <v>0</v>
      </c>
      <c r="CH765" s="37">
        <v>0</v>
      </c>
      <c r="CI765" s="37">
        <v>0</v>
      </c>
      <c r="CJ765" s="37">
        <v>0</v>
      </c>
      <c r="CK765" s="37">
        <v>0</v>
      </c>
      <c r="CL765" s="37">
        <v>0</v>
      </c>
      <c r="CM765" s="37">
        <v>0</v>
      </c>
      <c r="CN765" s="59">
        <v>0</v>
      </c>
      <c r="CO765" s="59">
        <v>0</v>
      </c>
      <c r="CP765" s="58"/>
      <c r="CQ765" s="3">
        <v>0</v>
      </c>
    </row>
    <row r="766" spans="1:95" customFormat="1" x14ac:dyDescent="0.2">
      <c r="A766" s="33">
        <v>0</v>
      </c>
      <c r="B766" s="33">
        <v>0</v>
      </c>
      <c r="C766" s="33">
        <v>0</v>
      </c>
      <c r="D766" s="43">
        <v>0</v>
      </c>
      <c r="E766" s="43">
        <v>0</v>
      </c>
      <c r="F766" s="43">
        <v>0</v>
      </c>
      <c r="G766" s="43">
        <v>0</v>
      </c>
      <c r="H766" s="43">
        <v>0</v>
      </c>
      <c r="I766" s="43">
        <v>0</v>
      </c>
      <c r="J766" s="43">
        <v>0</v>
      </c>
      <c r="K766" s="43">
        <v>0</v>
      </c>
      <c r="L766" s="43">
        <v>0</v>
      </c>
      <c r="M766" s="43">
        <v>0</v>
      </c>
      <c r="N766" s="43">
        <v>0</v>
      </c>
      <c r="O766" s="43">
        <v>0</v>
      </c>
      <c r="P766" s="47">
        <v>0</v>
      </c>
      <c r="R766" s="37">
        <v>0</v>
      </c>
      <c r="S766" s="37">
        <v>0</v>
      </c>
      <c r="T766" s="37">
        <v>0</v>
      </c>
      <c r="U766" s="37">
        <v>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7">
        <v>0</v>
      </c>
      <c r="AB766" s="37">
        <v>0</v>
      </c>
      <c r="AC766" s="37">
        <v>0</v>
      </c>
      <c r="AD766" s="37">
        <v>0</v>
      </c>
      <c r="AE766" s="37">
        <v>0</v>
      </c>
      <c r="AF766" s="37">
        <v>0</v>
      </c>
      <c r="AG766" s="59">
        <v>0</v>
      </c>
      <c r="AH766" s="37">
        <v>0</v>
      </c>
      <c r="AI766" s="37">
        <v>0</v>
      </c>
      <c r="AJ766" s="37">
        <v>0</v>
      </c>
      <c r="AK766" s="37">
        <v>0</v>
      </c>
      <c r="AL766" s="37">
        <v>0</v>
      </c>
      <c r="AM766" s="37">
        <v>0</v>
      </c>
      <c r="AN766" s="37">
        <v>0</v>
      </c>
      <c r="AO766" s="37">
        <v>0</v>
      </c>
      <c r="AP766" s="37">
        <v>0</v>
      </c>
      <c r="AQ766" s="37">
        <v>0</v>
      </c>
      <c r="AR766" s="37">
        <v>0</v>
      </c>
      <c r="AS766" s="59">
        <v>0</v>
      </c>
      <c r="AT766" s="59">
        <v>0</v>
      </c>
      <c r="AU766" s="45"/>
      <c r="AV766" s="37">
        <v>0</v>
      </c>
      <c r="AW766" s="37">
        <v>0</v>
      </c>
      <c r="AX766" s="37">
        <v>0</v>
      </c>
      <c r="AY766" s="37">
        <v>0</v>
      </c>
      <c r="AZ766" s="37">
        <v>0</v>
      </c>
      <c r="BA766" s="37">
        <v>0</v>
      </c>
      <c r="BB766" s="37">
        <v>0</v>
      </c>
      <c r="BC766" s="37">
        <v>0</v>
      </c>
      <c r="BD766" s="37">
        <v>0</v>
      </c>
      <c r="BE766" s="37">
        <v>0</v>
      </c>
      <c r="BF766" s="37">
        <v>0</v>
      </c>
      <c r="BG766" s="37">
        <v>0</v>
      </c>
      <c r="BH766" s="37">
        <v>0</v>
      </c>
      <c r="BI766" s="37">
        <v>0</v>
      </c>
      <c r="BJ766" s="37">
        <v>0</v>
      </c>
      <c r="BK766" s="59">
        <v>0</v>
      </c>
      <c r="BL766" s="37">
        <v>0</v>
      </c>
      <c r="BM766" s="37">
        <v>0</v>
      </c>
      <c r="BN766" s="37">
        <v>0</v>
      </c>
      <c r="BO766" s="37">
        <v>0</v>
      </c>
      <c r="BP766" s="37">
        <v>0</v>
      </c>
      <c r="BQ766" s="37">
        <v>0</v>
      </c>
      <c r="BR766" s="37">
        <v>0</v>
      </c>
      <c r="BS766" s="37">
        <v>0</v>
      </c>
      <c r="BT766" s="37">
        <v>0</v>
      </c>
      <c r="BU766" s="37">
        <v>0</v>
      </c>
      <c r="BV766" s="37">
        <v>0</v>
      </c>
      <c r="BW766" s="59">
        <v>0</v>
      </c>
      <c r="BX766" s="59">
        <v>0</v>
      </c>
      <c r="BZ766" s="37">
        <v>0</v>
      </c>
      <c r="CA766" s="37">
        <v>0</v>
      </c>
      <c r="CB766" s="37">
        <v>0</v>
      </c>
      <c r="CC766" s="37">
        <v>0</v>
      </c>
      <c r="CD766" s="37">
        <v>0</v>
      </c>
      <c r="CE766" s="37">
        <v>0</v>
      </c>
      <c r="CF766" s="37">
        <v>0</v>
      </c>
      <c r="CG766" s="59">
        <v>0</v>
      </c>
      <c r="CH766" s="37">
        <v>0</v>
      </c>
      <c r="CI766" s="37">
        <v>0</v>
      </c>
      <c r="CJ766" s="37">
        <v>0</v>
      </c>
      <c r="CK766" s="37">
        <v>0</v>
      </c>
      <c r="CL766" s="37">
        <v>0</v>
      </c>
      <c r="CM766" s="37">
        <v>0</v>
      </c>
      <c r="CN766" s="59">
        <v>0</v>
      </c>
      <c r="CO766" s="59">
        <v>0</v>
      </c>
      <c r="CP766" s="58"/>
      <c r="CQ766" s="3">
        <v>0</v>
      </c>
    </row>
    <row r="767" spans="1:95" customFormat="1" x14ac:dyDescent="0.2">
      <c r="A767" s="33">
        <v>0</v>
      </c>
      <c r="B767" s="33">
        <v>0</v>
      </c>
      <c r="C767" s="33">
        <v>0</v>
      </c>
      <c r="D767" s="43">
        <v>0</v>
      </c>
      <c r="E767" s="43">
        <v>0</v>
      </c>
      <c r="F767" s="43">
        <v>0</v>
      </c>
      <c r="G767" s="43">
        <v>0</v>
      </c>
      <c r="H767" s="43">
        <v>0</v>
      </c>
      <c r="I767" s="43">
        <v>0</v>
      </c>
      <c r="J767" s="43">
        <v>0</v>
      </c>
      <c r="K767" s="43">
        <v>0</v>
      </c>
      <c r="L767" s="43">
        <v>0</v>
      </c>
      <c r="M767" s="43">
        <v>0</v>
      </c>
      <c r="N767" s="43">
        <v>0</v>
      </c>
      <c r="O767" s="43">
        <v>0</v>
      </c>
      <c r="P767" s="47">
        <v>0</v>
      </c>
      <c r="R767" s="37">
        <v>0</v>
      </c>
      <c r="S767" s="37">
        <v>0</v>
      </c>
      <c r="T767" s="37">
        <v>0</v>
      </c>
      <c r="U767" s="37">
        <v>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7">
        <v>0</v>
      </c>
      <c r="AB767" s="37">
        <v>0</v>
      </c>
      <c r="AC767" s="37">
        <v>0</v>
      </c>
      <c r="AD767" s="37">
        <v>0</v>
      </c>
      <c r="AE767" s="37">
        <v>0</v>
      </c>
      <c r="AF767" s="37">
        <v>0</v>
      </c>
      <c r="AG767" s="59">
        <v>0</v>
      </c>
      <c r="AH767" s="37">
        <v>0</v>
      </c>
      <c r="AI767" s="37">
        <v>0</v>
      </c>
      <c r="AJ767" s="37">
        <v>0</v>
      </c>
      <c r="AK767" s="37">
        <v>0</v>
      </c>
      <c r="AL767" s="37">
        <v>0</v>
      </c>
      <c r="AM767" s="37">
        <v>0</v>
      </c>
      <c r="AN767" s="37">
        <v>0</v>
      </c>
      <c r="AO767" s="37">
        <v>0</v>
      </c>
      <c r="AP767" s="37">
        <v>0</v>
      </c>
      <c r="AQ767" s="37">
        <v>0</v>
      </c>
      <c r="AR767" s="37">
        <v>0</v>
      </c>
      <c r="AS767" s="59">
        <v>0</v>
      </c>
      <c r="AT767" s="59">
        <v>0</v>
      </c>
      <c r="AU767" s="45"/>
      <c r="AV767" s="37">
        <v>0</v>
      </c>
      <c r="AW767" s="37">
        <v>0</v>
      </c>
      <c r="AX767" s="37">
        <v>0</v>
      </c>
      <c r="AY767" s="37">
        <v>0</v>
      </c>
      <c r="AZ767" s="37">
        <v>0</v>
      </c>
      <c r="BA767" s="37">
        <v>0</v>
      </c>
      <c r="BB767" s="37">
        <v>0</v>
      </c>
      <c r="BC767" s="37">
        <v>0</v>
      </c>
      <c r="BD767" s="37">
        <v>0</v>
      </c>
      <c r="BE767" s="37">
        <v>0</v>
      </c>
      <c r="BF767" s="37">
        <v>0</v>
      </c>
      <c r="BG767" s="37">
        <v>0</v>
      </c>
      <c r="BH767" s="37">
        <v>0</v>
      </c>
      <c r="BI767" s="37">
        <v>0</v>
      </c>
      <c r="BJ767" s="37">
        <v>0</v>
      </c>
      <c r="BK767" s="59">
        <v>0</v>
      </c>
      <c r="BL767" s="37">
        <v>0</v>
      </c>
      <c r="BM767" s="37">
        <v>0</v>
      </c>
      <c r="BN767" s="37">
        <v>0</v>
      </c>
      <c r="BO767" s="37">
        <v>0</v>
      </c>
      <c r="BP767" s="37">
        <v>0</v>
      </c>
      <c r="BQ767" s="37">
        <v>0</v>
      </c>
      <c r="BR767" s="37">
        <v>0</v>
      </c>
      <c r="BS767" s="37">
        <v>0</v>
      </c>
      <c r="BT767" s="37">
        <v>0</v>
      </c>
      <c r="BU767" s="37">
        <v>0</v>
      </c>
      <c r="BV767" s="37">
        <v>0</v>
      </c>
      <c r="BW767" s="59">
        <v>0</v>
      </c>
      <c r="BX767" s="59">
        <v>0</v>
      </c>
      <c r="BZ767" s="37">
        <v>0</v>
      </c>
      <c r="CA767" s="37">
        <v>0</v>
      </c>
      <c r="CB767" s="37">
        <v>0</v>
      </c>
      <c r="CC767" s="37">
        <v>0</v>
      </c>
      <c r="CD767" s="37">
        <v>0</v>
      </c>
      <c r="CE767" s="37">
        <v>0</v>
      </c>
      <c r="CF767" s="37">
        <v>0</v>
      </c>
      <c r="CG767" s="59">
        <v>0</v>
      </c>
      <c r="CH767" s="37">
        <v>0</v>
      </c>
      <c r="CI767" s="37">
        <v>0</v>
      </c>
      <c r="CJ767" s="37">
        <v>0</v>
      </c>
      <c r="CK767" s="37">
        <v>0</v>
      </c>
      <c r="CL767" s="37">
        <v>0</v>
      </c>
      <c r="CM767" s="37">
        <v>0</v>
      </c>
      <c r="CN767" s="59">
        <v>0</v>
      </c>
      <c r="CO767" s="59">
        <v>0</v>
      </c>
      <c r="CP767" s="58"/>
      <c r="CQ767" s="3">
        <v>0</v>
      </c>
    </row>
    <row r="768" spans="1:95" customFormat="1" x14ac:dyDescent="0.2">
      <c r="A768" s="33">
        <v>0</v>
      </c>
      <c r="B768" s="33">
        <v>0</v>
      </c>
      <c r="C768" s="33">
        <v>0</v>
      </c>
      <c r="D768" s="43">
        <v>0</v>
      </c>
      <c r="E768" s="43">
        <v>0</v>
      </c>
      <c r="F768" s="43">
        <v>0</v>
      </c>
      <c r="G768" s="43">
        <v>0</v>
      </c>
      <c r="H768" s="43">
        <v>0</v>
      </c>
      <c r="I768" s="43">
        <v>0</v>
      </c>
      <c r="J768" s="43">
        <v>0</v>
      </c>
      <c r="K768" s="43">
        <v>0</v>
      </c>
      <c r="L768" s="43">
        <v>0</v>
      </c>
      <c r="M768" s="43">
        <v>0</v>
      </c>
      <c r="N768" s="43">
        <v>0</v>
      </c>
      <c r="O768" s="43">
        <v>0</v>
      </c>
      <c r="P768" s="47">
        <v>0</v>
      </c>
      <c r="R768" s="37">
        <v>0</v>
      </c>
      <c r="S768" s="37">
        <v>0</v>
      </c>
      <c r="T768" s="37">
        <v>0</v>
      </c>
      <c r="U768" s="37">
        <v>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7">
        <v>0</v>
      </c>
      <c r="AB768" s="37">
        <v>0</v>
      </c>
      <c r="AC768" s="37">
        <v>0</v>
      </c>
      <c r="AD768" s="37">
        <v>0</v>
      </c>
      <c r="AE768" s="37">
        <v>0</v>
      </c>
      <c r="AF768" s="37">
        <v>0</v>
      </c>
      <c r="AG768" s="59">
        <v>0</v>
      </c>
      <c r="AH768" s="37">
        <v>0</v>
      </c>
      <c r="AI768" s="37">
        <v>0</v>
      </c>
      <c r="AJ768" s="37">
        <v>0</v>
      </c>
      <c r="AK768" s="37">
        <v>0</v>
      </c>
      <c r="AL768" s="37">
        <v>0</v>
      </c>
      <c r="AM768" s="37">
        <v>0</v>
      </c>
      <c r="AN768" s="37">
        <v>0</v>
      </c>
      <c r="AO768" s="37">
        <v>0</v>
      </c>
      <c r="AP768" s="37">
        <v>0</v>
      </c>
      <c r="AQ768" s="37">
        <v>0</v>
      </c>
      <c r="AR768" s="37">
        <v>0</v>
      </c>
      <c r="AS768" s="59">
        <v>0</v>
      </c>
      <c r="AT768" s="59">
        <v>0</v>
      </c>
      <c r="AU768" s="45"/>
      <c r="AV768" s="37">
        <v>0</v>
      </c>
      <c r="AW768" s="37">
        <v>0</v>
      </c>
      <c r="AX768" s="37">
        <v>0</v>
      </c>
      <c r="AY768" s="37">
        <v>0</v>
      </c>
      <c r="AZ768" s="37">
        <v>0</v>
      </c>
      <c r="BA768" s="37">
        <v>0</v>
      </c>
      <c r="BB768" s="37">
        <v>0</v>
      </c>
      <c r="BC768" s="37">
        <v>0</v>
      </c>
      <c r="BD768" s="37">
        <v>0</v>
      </c>
      <c r="BE768" s="37">
        <v>0</v>
      </c>
      <c r="BF768" s="37">
        <v>0</v>
      </c>
      <c r="BG768" s="37">
        <v>0</v>
      </c>
      <c r="BH768" s="37">
        <v>0</v>
      </c>
      <c r="BI768" s="37">
        <v>0</v>
      </c>
      <c r="BJ768" s="37">
        <v>0</v>
      </c>
      <c r="BK768" s="59">
        <v>0</v>
      </c>
      <c r="BL768" s="37">
        <v>0</v>
      </c>
      <c r="BM768" s="37">
        <v>0</v>
      </c>
      <c r="BN768" s="37">
        <v>0</v>
      </c>
      <c r="BO768" s="37">
        <v>0</v>
      </c>
      <c r="BP768" s="37">
        <v>0</v>
      </c>
      <c r="BQ768" s="37">
        <v>0</v>
      </c>
      <c r="BR768" s="37">
        <v>0</v>
      </c>
      <c r="BS768" s="37">
        <v>0</v>
      </c>
      <c r="BT768" s="37">
        <v>0</v>
      </c>
      <c r="BU768" s="37">
        <v>0</v>
      </c>
      <c r="BV768" s="37">
        <v>0</v>
      </c>
      <c r="BW768" s="59">
        <v>0</v>
      </c>
      <c r="BX768" s="59">
        <v>0</v>
      </c>
      <c r="BZ768" s="37">
        <v>0</v>
      </c>
      <c r="CA768" s="37">
        <v>0</v>
      </c>
      <c r="CB768" s="37">
        <v>0</v>
      </c>
      <c r="CC768" s="37">
        <v>0</v>
      </c>
      <c r="CD768" s="37">
        <v>0</v>
      </c>
      <c r="CE768" s="37">
        <v>0</v>
      </c>
      <c r="CF768" s="37">
        <v>0</v>
      </c>
      <c r="CG768" s="59">
        <v>0</v>
      </c>
      <c r="CH768" s="37">
        <v>0</v>
      </c>
      <c r="CI768" s="37">
        <v>0</v>
      </c>
      <c r="CJ768" s="37">
        <v>0</v>
      </c>
      <c r="CK768" s="37">
        <v>0</v>
      </c>
      <c r="CL768" s="37">
        <v>0</v>
      </c>
      <c r="CM768" s="37">
        <v>0</v>
      </c>
      <c r="CN768" s="59">
        <v>0</v>
      </c>
      <c r="CO768" s="59">
        <v>0</v>
      </c>
      <c r="CP768" s="58"/>
      <c r="CQ768" s="3">
        <v>0</v>
      </c>
    </row>
    <row r="769" spans="1:95" customFormat="1" x14ac:dyDescent="0.2">
      <c r="A769" s="33">
        <v>0</v>
      </c>
      <c r="B769" s="33">
        <v>0</v>
      </c>
      <c r="C769" s="33">
        <v>0</v>
      </c>
      <c r="D769" s="43">
        <v>0</v>
      </c>
      <c r="E769" s="43">
        <v>0</v>
      </c>
      <c r="F769" s="43">
        <v>0</v>
      </c>
      <c r="G769" s="43">
        <v>0</v>
      </c>
      <c r="H769" s="43">
        <v>0</v>
      </c>
      <c r="I769" s="43">
        <v>0</v>
      </c>
      <c r="J769" s="43">
        <v>0</v>
      </c>
      <c r="K769" s="43">
        <v>0</v>
      </c>
      <c r="L769" s="43">
        <v>0</v>
      </c>
      <c r="M769" s="43">
        <v>0</v>
      </c>
      <c r="N769" s="43">
        <v>0</v>
      </c>
      <c r="O769" s="43">
        <v>0</v>
      </c>
      <c r="P769" s="47">
        <v>0</v>
      </c>
      <c r="R769" s="37">
        <v>0</v>
      </c>
      <c r="S769" s="37">
        <v>0</v>
      </c>
      <c r="T769" s="37">
        <v>0</v>
      </c>
      <c r="U769" s="37">
        <v>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7">
        <v>0</v>
      </c>
      <c r="AB769" s="37">
        <v>0</v>
      </c>
      <c r="AC769" s="37">
        <v>0</v>
      </c>
      <c r="AD769" s="37">
        <v>0</v>
      </c>
      <c r="AE769" s="37">
        <v>0</v>
      </c>
      <c r="AF769" s="37">
        <v>0</v>
      </c>
      <c r="AG769" s="59">
        <v>0</v>
      </c>
      <c r="AH769" s="37">
        <v>0</v>
      </c>
      <c r="AI769" s="37">
        <v>0</v>
      </c>
      <c r="AJ769" s="37">
        <v>0</v>
      </c>
      <c r="AK769" s="37">
        <v>0</v>
      </c>
      <c r="AL769" s="37">
        <v>0</v>
      </c>
      <c r="AM769" s="37">
        <v>0</v>
      </c>
      <c r="AN769" s="37">
        <v>0</v>
      </c>
      <c r="AO769" s="37">
        <v>0</v>
      </c>
      <c r="AP769" s="37">
        <v>0</v>
      </c>
      <c r="AQ769" s="37">
        <v>0</v>
      </c>
      <c r="AR769" s="37">
        <v>0</v>
      </c>
      <c r="AS769" s="59">
        <v>0</v>
      </c>
      <c r="AT769" s="59">
        <v>0</v>
      </c>
      <c r="AU769" s="45"/>
      <c r="AV769" s="37">
        <v>0</v>
      </c>
      <c r="AW769" s="37">
        <v>0</v>
      </c>
      <c r="AX769" s="37">
        <v>0</v>
      </c>
      <c r="AY769" s="37">
        <v>0</v>
      </c>
      <c r="AZ769" s="37">
        <v>0</v>
      </c>
      <c r="BA769" s="37">
        <v>0</v>
      </c>
      <c r="BB769" s="37">
        <v>0</v>
      </c>
      <c r="BC769" s="37">
        <v>0</v>
      </c>
      <c r="BD769" s="37">
        <v>0</v>
      </c>
      <c r="BE769" s="37">
        <v>0</v>
      </c>
      <c r="BF769" s="37">
        <v>0</v>
      </c>
      <c r="BG769" s="37">
        <v>0</v>
      </c>
      <c r="BH769" s="37">
        <v>0</v>
      </c>
      <c r="BI769" s="37">
        <v>0</v>
      </c>
      <c r="BJ769" s="37">
        <v>0</v>
      </c>
      <c r="BK769" s="59">
        <v>0</v>
      </c>
      <c r="BL769" s="37">
        <v>0</v>
      </c>
      <c r="BM769" s="37">
        <v>0</v>
      </c>
      <c r="BN769" s="37">
        <v>0</v>
      </c>
      <c r="BO769" s="37">
        <v>0</v>
      </c>
      <c r="BP769" s="37">
        <v>0</v>
      </c>
      <c r="BQ769" s="37">
        <v>0</v>
      </c>
      <c r="BR769" s="37">
        <v>0</v>
      </c>
      <c r="BS769" s="37">
        <v>0</v>
      </c>
      <c r="BT769" s="37">
        <v>0</v>
      </c>
      <c r="BU769" s="37">
        <v>0</v>
      </c>
      <c r="BV769" s="37">
        <v>0</v>
      </c>
      <c r="BW769" s="59">
        <v>0</v>
      </c>
      <c r="BX769" s="59">
        <v>0</v>
      </c>
      <c r="BZ769" s="37">
        <v>0</v>
      </c>
      <c r="CA769" s="37">
        <v>0</v>
      </c>
      <c r="CB769" s="37">
        <v>0</v>
      </c>
      <c r="CC769" s="37">
        <v>0</v>
      </c>
      <c r="CD769" s="37">
        <v>0</v>
      </c>
      <c r="CE769" s="37">
        <v>0</v>
      </c>
      <c r="CF769" s="37">
        <v>0</v>
      </c>
      <c r="CG769" s="59">
        <v>0</v>
      </c>
      <c r="CH769" s="37">
        <v>0</v>
      </c>
      <c r="CI769" s="37">
        <v>0</v>
      </c>
      <c r="CJ769" s="37">
        <v>0</v>
      </c>
      <c r="CK769" s="37">
        <v>0</v>
      </c>
      <c r="CL769" s="37">
        <v>0</v>
      </c>
      <c r="CM769" s="37">
        <v>0</v>
      </c>
      <c r="CN769" s="59">
        <v>0</v>
      </c>
      <c r="CO769" s="59">
        <v>0</v>
      </c>
      <c r="CP769" s="58"/>
      <c r="CQ769" s="3">
        <v>0</v>
      </c>
    </row>
    <row r="770" spans="1:95" customFormat="1" x14ac:dyDescent="0.2">
      <c r="A770" s="33">
        <v>0</v>
      </c>
      <c r="B770" s="33">
        <v>0</v>
      </c>
      <c r="C770" s="33">
        <v>0</v>
      </c>
      <c r="D770" s="43">
        <v>0</v>
      </c>
      <c r="E770" s="43">
        <v>0</v>
      </c>
      <c r="F770" s="43">
        <v>0</v>
      </c>
      <c r="G770" s="43">
        <v>0</v>
      </c>
      <c r="H770" s="43">
        <v>0</v>
      </c>
      <c r="I770" s="43">
        <v>0</v>
      </c>
      <c r="J770" s="43">
        <v>0</v>
      </c>
      <c r="K770" s="43">
        <v>0</v>
      </c>
      <c r="L770" s="43">
        <v>0</v>
      </c>
      <c r="M770" s="43">
        <v>0</v>
      </c>
      <c r="N770" s="43">
        <v>0</v>
      </c>
      <c r="O770" s="43">
        <v>0</v>
      </c>
      <c r="P770" s="47">
        <v>0</v>
      </c>
      <c r="R770" s="37">
        <v>0</v>
      </c>
      <c r="S770" s="37">
        <v>0</v>
      </c>
      <c r="T770" s="37">
        <v>0</v>
      </c>
      <c r="U770" s="37">
        <v>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7">
        <v>0</v>
      </c>
      <c r="AB770" s="37">
        <v>0</v>
      </c>
      <c r="AC770" s="37">
        <v>0</v>
      </c>
      <c r="AD770" s="37">
        <v>0</v>
      </c>
      <c r="AE770" s="37">
        <v>0</v>
      </c>
      <c r="AF770" s="37">
        <v>0</v>
      </c>
      <c r="AG770" s="59">
        <v>0</v>
      </c>
      <c r="AH770" s="37">
        <v>0</v>
      </c>
      <c r="AI770" s="37">
        <v>0</v>
      </c>
      <c r="AJ770" s="37">
        <v>0</v>
      </c>
      <c r="AK770" s="37">
        <v>0</v>
      </c>
      <c r="AL770" s="37">
        <v>0</v>
      </c>
      <c r="AM770" s="37">
        <v>0</v>
      </c>
      <c r="AN770" s="37">
        <v>0</v>
      </c>
      <c r="AO770" s="37">
        <v>0</v>
      </c>
      <c r="AP770" s="37">
        <v>0</v>
      </c>
      <c r="AQ770" s="37">
        <v>0</v>
      </c>
      <c r="AR770" s="37">
        <v>0</v>
      </c>
      <c r="AS770" s="59">
        <v>0</v>
      </c>
      <c r="AT770" s="59">
        <v>0</v>
      </c>
      <c r="AU770" s="45"/>
      <c r="AV770" s="37">
        <v>0</v>
      </c>
      <c r="AW770" s="37">
        <v>0</v>
      </c>
      <c r="AX770" s="37">
        <v>0</v>
      </c>
      <c r="AY770" s="37">
        <v>0</v>
      </c>
      <c r="AZ770" s="37">
        <v>0</v>
      </c>
      <c r="BA770" s="37">
        <v>0</v>
      </c>
      <c r="BB770" s="37">
        <v>0</v>
      </c>
      <c r="BC770" s="37">
        <v>0</v>
      </c>
      <c r="BD770" s="37">
        <v>0</v>
      </c>
      <c r="BE770" s="37">
        <v>0</v>
      </c>
      <c r="BF770" s="37">
        <v>0</v>
      </c>
      <c r="BG770" s="37">
        <v>0</v>
      </c>
      <c r="BH770" s="37">
        <v>0</v>
      </c>
      <c r="BI770" s="37">
        <v>0</v>
      </c>
      <c r="BJ770" s="37">
        <v>0</v>
      </c>
      <c r="BK770" s="59">
        <v>0</v>
      </c>
      <c r="BL770" s="37">
        <v>0</v>
      </c>
      <c r="BM770" s="37">
        <v>0</v>
      </c>
      <c r="BN770" s="37">
        <v>0</v>
      </c>
      <c r="BO770" s="37">
        <v>0</v>
      </c>
      <c r="BP770" s="37">
        <v>0</v>
      </c>
      <c r="BQ770" s="37">
        <v>0</v>
      </c>
      <c r="BR770" s="37">
        <v>0</v>
      </c>
      <c r="BS770" s="37">
        <v>0</v>
      </c>
      <c r="BT770" s="37">
        <v>0</v>
      </c>
      <c r="BU770" s="37">
        <v>0</v>
      </c>
      <c r="BV770" s="37">
        <v>0</v>
      </c>
      <c r="BW770" s="59">
        <v>0</v>
      </c>
      <c r="BX770" s="59">
        <v>0</v>
      </c>
      <c r="BZ770" s="37">
        <v>0</v>
      </c>
      <c r="CA770" s="37">
        <v>0</v>
      </c>
      <c r="CB770" s="37">
        <v>0</v>
      </c>
      <c r="CC770" s="37">
        <v>0</v>
      </c>
      <c r="CD770" s="37">
        <v>0</v>
      </c>
      <c r="CE770" s="37">
        <v>0</v>
      </c>
      <c r="CF770" s="37">
        <v>0</v>
      </c>
      <c r="CG770" s="59">
        <v>0</v>
      </c>
      <c r="CH770" s="37">
        <v>0</v>
      </c>
      <c r="CI770" s="37">
        <v>0</v>
      </c>
      <c r="CJ770" s="37">
        <v>0</v>
      </c>
      <c r="CK770" s="37">
        <v>0</v>
      </c>
      <c r="CL770" s="37">
        <v>0</v>
      </c>
      <c r="CM770" s="37">
        <v>0</v>
      </c>
      <c r="CN770" s="59">
        <v>0</v>
      </c>
      <c r="CO770" s="59">
        <v>0</v>
      </c>
      <c r="CP770" s="58"/>
      <c r="CQ770" s="3">
        <v>0</v>
      </c>
    </row>
    <row r="771" spans="1:95" customFormat="1" x14ac:dyDescent="0.2">
      <c r="A771" s="33">
        <v>0</v>
      </c>
      <c r="B771" s="33">
        <v>0</v>
      </c>
      <c r="C771" s="33">
        <v>0</v>
      </c>
      <c r="D771" s="43">
        <v>0</v>
      </c>
      <c r="E771" s="43">
        <v>0</v>
      </c>
      <c r="F771" s="43">
        <v>0</v>
      </c>
      <c r="G771" s="43">
        <v>0</v>
      </c>
      <c r="H771" s="43">
        <v>0</v>
      </c>
      <c r="I771" s="43">
        <v>0</v>
      </c>
      <c r="J771" s="43">
        <v>0</v>
      </c>
      <c r="K771" s="43">
        <v>0</v>
      </c>
      <c r="L771" s="43">
        <v>0</v>
      </c>
      <c r="M771" s="43">
        <v>0</v>
      </c>
      <c r="N771" s="43">
        <v>0</v>
      </c>
      <c r="O771" s="43">
        <v>0</v>
      </c>
      <c r="P771" s="4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59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59">
        <v>0</v>
      </c>
      <c r="AT771" s="59">
        <v>0</v>
      </c>
      <c r="AU771" s="45"/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>
        <v>0</v>
      </c>
      <c r="BB771" s="37">
        <v>0</v>
      </c>
      <c r="BC771" s="37">
        <v>0</v>
      </c>
      <c r="BD771" s="37">
        <v>0</v>
      </c>
      <c r="BE771" s="37">
        <v>0</v>
      </c>
      <c r="BF771" s="37">
        <v>0</v>
      </c>
      <c r="BG771" s="37">
        <v>0</v>
      </c>
      <c r="BH771" s="37">
        <v>0</v>
      </c>
      <c r="BI771" s="37">
        <v>0</v>
      </c>
      <c r="BJ771" s="37">
        <v>0</v>
      </c>
      <c r="BK771" s="59">
        <v>0</v>
      </c>
      <c r="BL771" s="37">
        <v>0</v>
      </c>
      <c r="BM771" s="37">
        <v>0</v>
      </c>
      <c r="BN771" s="37">
        <v>0</v>
      </c>
      <c r="BO771" s="37">
        <v>0</v>
      </c>
      <c r="BP771" s="37">
        <v>0</v>
      </c>
      <c r="BQ771" s="37">
        <v>0</v>
      </c>
      <c r="BR771" s="37">
        <v>0</v>
      </c>
      <c r="BS771" s="37">
        <v>0</v>
      </c>
      <c r="BT771" s="37">
        <v>0</v>
      </c>
      <c r="BU771" s="37">
        <v>0</v>
      </c>
      <c r="BV771" s="37">
        <v>0</v>
      </c>
      <c r="BW771" s="59">
        <v>0</v>
      </c>
      <c r="BX771" s="59">
        <v>0</v>
      </c>
      <c r="BZ771" s="37">
        <v>0</v>
      </c>
      <c r="CA771" s="37">
        <v>0</v>
      </c>
      <c r="CB771" s="37">
        <v>0</v>
      </c>
      <c r="CC771" s="37">
        <v>0</v>
      </c>
      <c r="CD771" s="37">
        <v>0</v>
      </c>
      <c r="CE771" s="37">
        <v>0</v>
      </c>
      <c r="CF771" s="37">
        <v>0</v>
      </c>
      <c r="CG771" s="59">
        <v>0</v>
      </c>
      <c r="CH771" s="37">
        <v>0</v>
      </c>
      <c r="CI771" s="37">
        <v>0</v>
      </c>
      <c r="CJ771" s="37">
        <v>0</v>
      </c>
      <c r="CK771" s="37">
        <v>0</v>
      </c>
      <c r="CL771" s="37">
        <v>0</v>
      </c>
      <c r="CM771" s="37">
        <v>0</v>
      </c>
      <c r="CN771" s="59">
        <v>0</v>
      </c>
      <c r="CO771" s="59">
        <v>0</v>
      </c>
      <c r="CP771" s="58"/>
      <c r="CQ771" s="3">
        <v>0</v>
      </c>
    </row>
    <row r="772" spans="1:95" customFormat="1" x14ac:dyDescent="0.2">
      <c r="A772" s="33">
        <v>0</v>
      </c>
      <c r="B772" s="33">
        <v>0</v>
      </c>
      <c r="C772" s="33">
        <v>0</v>
      </c>
      <c r="D772" s="43">
        <v>0</v>
      </c>
      <c r="E772" s="43">
        <v>0</v>
      </c>
      <c r="F772" s="43">
        <v>0</v>
      </c>
      <c r="G772" s="43">
        <v>0</v>
      </c>
      <c r="H772" s="43">
        <v>0</v>
      </c>
      <c r="I772" s="43">
        <v>0</v>
      </c>
      <c r="J772" s="43">
        <v>0</v>
      </c>
      <c r="K772" s="43">
        <v>0</v>
      </c>
      <c r="L772" s="43">
        <v>0</v>
      </c>
      <c r="M772" s="43">
        <v>0</v>
      </c>
      <c r="N772" s="43">
        <v>0</v>
      </c>
      <c r="O772" s="43">
        <v>0</v>
      </c>
      <c r="P772" s="47">
        <v>0</v>
      </c>
      <c r="R772" s="37">
        <v>0</v>
      </c>
      <c r="S772" s="37">
        <v>0</v>
      </c>
      <c r="T772" s="37">
        <v>0</v>
      </c>
      <c r="U772" s="37">
        <v>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7">
        <v>0</v>
      </c>
      <c r="AB772" s="37">
        <v>0</v>
      </c>
      <c r="AC772" s="37">
        <v>0</v>
      </c>
      <c r="AD772" s="37">
        <v>0</v>
      </c>
      <c r="AE772" s="37">
        <v>0</v>
      </c>
      <c r="AF772" s="37">
        <v>0</v>
      </c>
      <c r="AG772" s="59">
        <v>0</v>
      </c>
      <c r="AH772" s="37">
        <v>0</v>
      </c>
      <c r="AI772" s="37">
        <v>0</v>
      </c>
      <c r="AJ772" s="37">
        <v>0</v>
      </c>
      <c r="AK772" s="37">
        <v>0</v>
      </c>
      <c r="AL772" s="37">
        <v>0</v>
      </c>
      <c r="AM772" s="37">
        <v>0</v>
      </c>
      <c r="AN772" s="37">
        <v>0</v>
      </c>
      <c r="AO772" s="37">
        <v>0</v>
      </c>
      <c r="AP772" s="37">
        <v>0</v>
      </c>
      <c r="AQ772" s="37">
        <v>0</v>
      </c>
      <c r="AR772" s="37">
        <v>0</v>
      </c>
      <c r="AS772" s="59">
        <v>0</v>
      </c>
      <c r="AT772" s="59">
        <v>0</v>
      </c>
      <c r="AU772" s="45"/>
      <c r="AV772" s="37">
        <v>0</v>
      </c>
      <c r="AW772" s="37">
        <v>0</v>
      </c>
      <c r="AX772" s="37">
        <v>0</v>
      </c>
      <c r="AY772" s="37">
        <v>0</v>
      </c>
      <c r="AZ772" s="37">
        <v>0</v>
      </c>
      <c r="BA772" s="37">
        <v>0</v>
      </c>
      <c r="BB772" s="37">
        <v>0</v>
      </c>
      <c r="BC772" s="37">
        <v>0</v>
      </c>
      <c r="BD772" s="37">
        <v>0</v>
      </c>
      <c r="BE772" s="37">
        <v>0</v>
      </c>
      <c r="BF772" s="37">
        <v>0</v>
      </c>
      <c r="BG772" s="37">
        <v>0</v>
      </c>
      <c r="BH772" s="37">
        <v>0</v>
      </c>
      <c r="BI772" s="37">
        <v>0</v>
      </c>
      <c r="BJ772" s="37">
        <v>0</v>
      </c>
      <c r="BK772" s="59">
        <v>0</v>
      </c>
      <c r="BL772" s="37">
        <v>0</v>
      </c>
      <c r="BM772" s="37">
        <v>0</v>
      </c>
      <c r="BN772" s="37">
        <v>0</v>
      </c>
      <c r="BO772" s="37">
        <v>0</v>
      </c>
      <c r="BP772" s="37">
        <v>0</v>
      </c>
      <c r="BQ772" s="37">
        <v>0</v>
      </c>
      <c r="BR772" s="37">
        <v>0</v>
      </c>
      <c r="BS772" s="37">
        <v>0</v>
      </c>
      <c r="BT772" s="37">
        <v>0</v>
      </c>
      <c r="BU772" s="37">
        <v>0</v>
      </c>
      <c r="BV772" s="37">
        <v>0</v>
      </c>
      <c r="BW772" s="59">
        <v>0</v>
      </c>
      <c r="BX772" s="59">
        <v>0</v>
      </c>
      <c r="BZ772" s="37">
        <v>0</v>
      </c>
      <c r="CA772" s="37">
        <v>0</v>
      </c>
      <c r="CB772" s="37">
        <v>0</v>
      </c>
      <c r="CC772" s="37">
        <v>0</v>
      </c>
      <c r="CD772" s="37">
        <v>0</v>
      </c>
      <c r="CE772" s="37">
        <v>0</v>
      </c>
      <c r="CF772" s="37">
        <v>0</v>
      </c>
      <c r="CG772" s="59">
        <v>0</v>
      </c>
      <c r="CH772" s="37">
        <v>0</v>
      </c>
      <c r="CI772" s="37">
        <v>0</v>
      </c>
      <c r="CJ772" s="37">
        <v>0</v>
      </c>
      <c r="CK772" s="37">
        <v>0</v>
      </c>
      <c r="CL772" s="37">
        <v>0</v>
      </c>
      <c r="CM772" s="37">
        <v>0</v>
      </c>
      <c r="CN772" s="59">
        <v>0</v>
      </c>
      <c r="CO772" s="59">
        <v>0</v>
      </c>
      <c r="CP772" s="58"/>
      <c r="CQ772" s="3">
        <v>0</v>
      </c>
    </row>
    <row r="773" spans="1:95" customFormat="1" x14ac:dyDescent="0.2">
      <c r="A773" s="33">
        <v>0</v>
      </c>
      <c r="B773" s="33">
        <v>0</v>
      </c>
      <c r="C773" s="33">
        <v>0</v>
      </c>
      <c r="D773" s="43">
        <v>0</v>
      </c>
      <c r="E773" s="43">
        <v>0</v>
      </c>
      <c r="F773" s="43">
        <v>0</v>
      </c>
      <c r="G773" s="43">
        <v>0</v>
      </c>
      <c r="H773" s="43">
        <v>0</v>
      </c>
      <c r="I773" s="43">
        <v>0</v>
      </c>
      <c r="J773" s="43">
        <v>0</v>
      </c>
      <c r="K773" s="43">
        <v>0</v>
      </c>
      <c r="L773" s="43">
        <v>0</v>
      </c>
      <c r="M773" s="43">
        <v>0</v>
      </c>
      <c r="N773" s="43">
        <v>0</v>
      </c>
      <c r="O773" s="43">
        <v>0</v>
      </c>
      <c r="P773" s="47">
        <v>0</v>
      </c>
      <c r="R773" s="37">
        <v>0</v>
      </c>
      <c r="S773" s="37">
        <v>0</v>
      </c>
      <c r="T773" s="37">
        <v>0</v>
      </c>
      <c r="U773" s="37">
        <v>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7">
        <v>0</v>
      </c>
      <c r="AB773" s="37">
        <v>0</v>
      </c>
      <c r="AC773" s="37">
        <v>0</v>
      </c>
      <c r="AD773" s="37">
        <v>0</v>
      </c>
      <c r="AE773" s="37">
        <v>0</v>
      </c>
      <c r="AF773" s="37">
        <v>0</v>
      </c>
      <c r="AG773" s="59">
        <v>0</v>
      </c>
      <c r="AH773" s="37">
        <v>0</v>
      </c>
      <c r="AI773" s="37">
        <v>0</v>
      </c>
      <c r="AJ773" s="37">
        <v>0</v>
      </c>
      <c r="AK773" s="37">
        <v>0</v>
      </c>
      <c r="AL773" s="37">
        <v>0</v>
      </c>
      <c r="AM773" s="37">
        <v>0</v>
      </c>
      <c r="AN773" s="37">
        <v>0</v>
      </c>
      <c r="AO773" s="37">
        <v>0</v>
      </c>
      <c r="AP773" s="37">
        <v>0</v>
      </c>
      <c r="AQ773" s="37">
        <v>0</v>
      </c>
      <c r="AR773" s="37">
        <v>0</v>
      </c>
      <c r="AS773" s="59">
        <v>0</v>
      </c>
      <c r="AT773" s="59">
        <v>0</v>
      </c>
      <c r="AU773" s="45"/>
      <c r="AV773" s="37">
        <v>0</v>
      </c>
      <c r="AW773" s="37">
        <v>0</v>
      </c>
      <c r="AX773" s="37">
        <v>0</v>
      </c>
      <c r="AY773" s="37">
        <v>0</v>
      </c>
      <c r="AZ773" s="37">
        <v>0</v>
      </c>
      <c r="BA773" s="37">
        <v>0</v>
      </c>
      <c r="BB773" s="37">
        <v>0</v>
      </c>
      <c r="BC773" s="37">
        <v>0</v>
      </c>
      <c r="BD773" s="37">
        <v>0</v>
      </c>
      <c r="BE773" s="37">
        <v>0</v>
      </c>
      <c r="BF773" s="37">
        <v>0</v>
      </c>
      <c r="BG773" s="37">
        <v>0</v>
      </c>
      <c r="BH773" s="37">
        <v>0</v>
      </c>
      <c r="BI773" s="37">
        <v>0</v>
      </c>
      <c r="BJ773" s="37">
        <v>0</v>
      </c>
      <c r="BK773" s="59">
        <v>0</v>
      </c>
      <c r="BL773" s="37">
        <v>0</v>
      </c>
      <c r="BM773" s="37">
        <v>0</v>
      </c>
      <c r="BN773" s="37">
        <v>0</v>
      </c>
      <c r="BO773" s="37">
        <v>0</v>
      </c>
      <c r="BP773" s="37">
        <v>0</v>
      </c>
      <c r="BQ773" s="37">
        <v>0</v>
      </c>
      <c r="BR773" s="37">
        <v>0</v>
      </c>
      <c r="BS773" s="37">
        <v>0</v>
      </c>
      <c r="BT773" s="37">
        <v>0</v>
      </c>
      <c r="BU773" s="37">
        <v>0</v>
      </c>
      <c r="BV773" s="37">
        <v>0</v>
      </c>
      <c r="BW773" s="59">
        <v>0</v>
      </c>
      <c r="BX773" s="59">
        <v>0</v>
      </c>
      <c r="BZ773" s="37">
        <v>0</v>
      </c>
      <c r="CA773" s="37">
        <v>0</v>
      </c>
      <c r="CB773" s="37">
        <v>0</v>
      </c>
      <c r="CC773" s="37">
        <v>0</v>
      </c>
      <c r="CD773" s="37">
        <v>0</v>
      </c>
      <c r="CE773" s="37">
        <v>0</v>
      </c>
      <c r="CF773" s="37">
        <v>0</v>
      </c>
      <c r="CG773" s="59">
        <v>0</v>
      </c>
      <c r="CH773" s="37">
        <v>0</v>
      </c>
      <c r="CI773" s="37">
        <v>0</v>
      </c>
      <c r="CJ773" s="37">
        <v>0</v>
      </c>
      <c r="CK773" s="37">
        <v>0</v>
      </c>
      <c r="CL773" s="37">
        <v>0</v>
      </c>
      <c r="CM773" s="37">
        <v>0</v>
      </c>
      <c r="CN773" s="59">
        <v>0</v>
      </c>
      <c r="CO773" s="59">
        <v>0</v>
      </c>
      <c r="CP773" s="58"/>
      <c r="CQ773" s="3">
        <v>0</v>
      </c>
    </row>
    <row r="774" spans="1:95" customFormat="1" x14ac:dyDescent="0.2">
      <c r="A774" s="33">
        <v>0</v>
      </c>
      <c r="B774" s="33">
        <v>0</v>
      </c>
      <c r="C774" s="33">
        <v>0</v>
      </c>
      <c r="D774" s="43">
        <v>0</v>
      </c>
      <c r="E774" s="43">
        <v>0</v>
      </c>
      <c r="F774" s="43">
        <v>0</v>
      </c>
      <c r="G774" s="43">
        <v>0</v>
      </c>
      <c r="H774" s="43">
        <v>0</v>
      </c>
      <c r="I774" s="43">
        <v>0</v>
      </c>
      <c r="J774" s="43">
        <v>0</v>
      </c>
      <c r="K774" s="43">
        <v>0</v>
      </c>
      <c r="L774" s="43">
        <v>0</v>
      </c>
      <c r="M774" s="43">
        <v>0</v>
      </c>
      <c r="N774" s="43">
        <v>0</v>
      </c>
      <c r="O774" s="43">
        <v>0</v>
      </c>
      <c r="P774" s="47">
        <v>0</v>
      </c>
      <c r="R774" s="37">
        <v>0</v>
      </c>
      <c r="S774" s="37">
        <v>0</v>
      </c>
      <c r="T774" s="37">
        <v>0</v>
      </c>
      <c r="U774" s="37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7">
        <v>0</v>
      </c>
      <c r="AB774" s="37">
        <v>0</v>
      </c>
      <c r="AC774" s="37">
        <v>0</v>
      </c>
      <c r="AD774" s="37">
        <v>0</v>
      </c>
      <c r="AE774" s="37">
        <v>0</v>
      </c>
      <c r="AF774" s="37">
        <v>0</v>
      </c>
      <c r="AG774" s="59">
        <v>0</v>
      </c>
      <c r="AH774" s="37">
        <v>0</v>
      </c>
      <c r="AI774" s="37">
        <v>0</v>
      </c>
      <c r="AJ774" s="37">
        <v>0</v>
      </c>
      <c r="AK774" s="37">
        <v>0</v>
      </c>
      <c r="AL774" s="37">
        <v>0</v>
      </c>
      <c r="AM774" s="37">
        <v>0</v>
      </c>
      <c r="AN774" s="37">
        <v>0</v>
      </c>
      <c r="AO774" s="37">
        <v>0</v>
      </c>
      <c r="AP774" s="37">
        <v>0</v>
      </c>
      <c r="AQ774" s="37">
        <v>0</v>
      </c>
      <c r="AR774" s="37">
        <v>0</v>
      </c>
      <c r="AS774" s="59">
        <v>0</v>
      </c>
      <c r="AT774" s="59">
        <v>0</v>
      </c>
      <c r="AU774" s="45"/>
      <c r="AV774" s="37">
        <v>0</v>
      </c>
      <c r="AW774" s="37">
        <v>0</v>
      </c>
      <c r="AX774" s="37">
        <v>0</v>
      </c>
      <c r="AY774" s="37">
        <v>0</v>
      </c>
      <c r="AZ774" s="37">
        <v>0</v>
      </c>
      <c r="BA774" s="37">
        <v>0</v>
      </c>
      <c r="BB774" s="37">
        <v>0</v>
      </c>
      <c r="BC774" s="37">
        <v>0</v>
      </c>
      <c r="BD774" s="37">
        <v>0</v>
      </c>
      <c r="BE774" s="37">
        <v>0</v>
      </c>
      <c r="BF774" s="37">
        <v>0</v>
      </c>
      <c r="BG774" s="37">
        <v>0</v>
      </c>
      <c r="BH774" s="37">
        <v>0</v>
      </c>
      <c r="BI774" s="37">
        <v>0</v>
      </c>
      <c r="BJ774" s="37">
        <v>0</v>
      </c>
      <c r="BK774" s="59">
        <v>0</v>
      </c>
      <c r="BL774" s="37">
        <v>0</v>
      </c>
      <c r="BM774" s="37">
        <v>0</v>
      </c>
      <c r="BN774" s="37">
        <v>0</v>
      </c>
      <c r="BO774" s="37">
        <v>0</v>
      </c>
      <c r="BP774" s="37">
        <v>0</v>
      </c>
      <c r="BQ774" s="37">
        <v>0</v>
      </c>
      <c r="BR774" s="37">
        <v>0</v>
      </c>
      <c r="BS774" s="37">
        <v>0</v>
      </c>
      <c r="BT774" s="37">
        <v>0</v>
      </c>
      <c r="BU774" s="37">
        <v>0</v>
      </c>
      <c r="BV774" s="37">
        <v>0</v>
      </c>
      <c r="BW774" s="59">
        <v>0</v>
      </c>
      <c r="BX774" s="59">
        <v>0</v>
      </c>
      <c r="BZ774" s="37">
        <v>0</v>
      </c>
      <c r="CA774" s="37">
        <v>0</v>
      </c>
      <c r="CB774" s="37">
        <v>0</v>
      </c>
      <c r="CC774" s="37">
        <v>0</v>
      </c>
      <c r="CD774" s="37">
        <v>0</v>
      </c>
      <c r="CE774" s="37">
        <v>0</v>
      </c>
      <c r="CF774" s="37">
        <v>0</v>
      </c>
      <c r="CG774" s="59">
        <v>0</v>
      </c>
      <c r="CH774" s="37">
        <v>0</v>
      </c>
      <c r="CI774" s="37">
        <v>0</v>
      </c>
      <c r="CJ774" s="37">
        <v>0</v>
      </c>
      <c r="CK774" s="37">
        <v>0</v>
      </c>
      <c r="CL774" s="37">
        <v>0</v>
      </c>
      <c r="CM774" s="37">
        <v>0</v>
      </c>
      <c r="CN774" s="59">
        <v>0</v>
      </c>
      <c r="CO774" s="59">
        <v>0</v>
      </c>
      <c r="CP774" s="58"/>
      <c r="CQ774" s="3">
        <v>0</v>
      </c>
    </row>
    <row r="775" spans="1:95" customFormat="1" x14ac:dyDescent="0.2">
      <c r="A775" s="33">
        <v>0</v>
      </c>
      <c r="B775" s="33">
        <v>0</v>
      </c>
      <c r="C775" s="33">
        <v>0</v>
      </c>
      <c r="D775" s="43">
        <v>0</v>
      </c>
      <c r="E775" s="43">
        <v>0</v>
      </c>
      <c r="F775" s="43">
        <v>0</v>
      </c>
      <c r="G775" s="43">
        <v>0</v>
      </c>
      <c r="H775" s="43">
        <v>0</v>
      </c>
      <c r="I775" s="43">
        <v>0</v>
      </c>
      <c r="J775" s="43">
        <v>0</v>
      </c>
      <c r="K775" s="43">
        <v>0</v>
      </c>
      <c r="L775" s="43">
        <v>0</v>
      </c>
      <c r="M775" s="43">
        <v>0</v>
      </c>
      <c r="N775" s="43">
        <v>0</v>
      </c>
      <c r="O775" s="43">
        <v>0</v>
      </c>
      <c r="P775" s="47">
        <v>0</v>
      </c>
      <c r="R775" s="37">
        <v>0</v>
      </c>
      <c r="S775" s="37">
        <v>0</v>
      </c>
      <c r="T775" s="37">
        <v>0</v>
      </c>
      <c r="U775" s="37">
        <v>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7">
        <v>0</v>
      </c>
      <c r="AB775" s="37">
        <v>0</v>
      </c>
      <c r="AC775" s="37">
        <v>0</v>
      </c>
      <c r="AD775" s="37">
        <v>0</v>
      </c>
      <c r="AE775" s="37">
        <v>0</v>
      </c>
      <c r="AF775" s="37">
        <v>0</v>
      </c>
      <c r="AG775" s="59">
        <v>0</v>
      </c>
      <c r="AH775" s="37">
        <v>0</v>
      </c>
      <c r="AI775" s="37">
        <v>0</v>
      </c>
      <c r="AJ775" s="37">
        <v>0</v>
      </c>
      <c r="AK775" s="37">
        <v>0</v>
      </c>
      <c r="AL775" s="37">
        <v>0</v>
      </c>
      <c r="AM775" s="37">
        <v>0</v>
      </c>
      <c r="AN775" s="37">
        <v>0</v>
      </c>
      <c r="AO775" s="37">
        <v>0</v>
      </c>
      <c r="AP775" s="37">
        <v>0</v>
      </c>
      <c r="AQ775" s="37">
        <v>0</v>
      </c>
      <c r="AR775" s="37">
        <v>0</v>
      </c>
      <c r="AS775" s="59">
        <v>0</v>
      </c>
      <c r="AT775" s="59">
        <v>0</v>
      </c>
      <c r="AU775" s="45"/>
      <c r="AV775" s="37">
        <v>0</v>
      </c>
      <c r="AW775" s="37">
        <v>0</v>
      </c>
      <c r="AX775" s="37">
        <v>0</v>
      </c>
      <c r="AY775" s="37">
        <v>0</v>
      </c>
      <c r="AZ775" s="37">
        <v>0</v>
      </c>
      <c r="BA775" s="37">
        <v>0</v>
      </c>
      <c r="BB775" s="37">
        <v>0</v>
      </c>
      <c r="BC775" s="37">
        <v>0</v>
      </c>
      <c r="BD775" s="37">
        <v>0</v>
      </c>
      <c r="BE775" s="37">
        <v>0</v>
      </c>
      <c r="BF775" s="37">
        <v>0</v>
      </c>
      <c r="BG775" s="37">
        <v>0</v>
      </c>
      <c r="BH775" s="37">
        <v>0</v>
      </c>
      <c r="BI775" s="37">
        <v>0</v>
      </c>
      <c r="BJ775" s="37">
        <v>0</v>
      </c>
      <c r="BK775" s="59">
        <v>0</v>
      </c>
      <c r="BL775" s="37">
        <v>0</v>
      </c>
      <c r="BM775" s="37">
        <v>0</v>
      </c>
      <c r="BN775" s="37">
        <v>0</v>
      </c>
      <c r="BO775" s="37">
        <v>0</v>
      </c>
      <c r="BP775" s="37">
        <v>0</v>
      </c>
      <c r="BQ775" s="37">
        <v>0</v>
      </c>
      <c r="BR775" s="37">
        <v>0</v>
      </c>
      <c r="BS775" s="37">
        <v>0</v>
      </c>
      <c r="BT775" s="37">
        <v>0</v>
      </c>
      <c r="BU775" s="37">
        <v>0</v>
      </c>
      <c r="BV775" s="37">
        <v>0</v>
      </c>
      <c r="BW775" s="59">
        <v>0</v>
      </c>
      <c r="BX775" s="59">
        <v>0</v>
      </c>
      <c r="BZ775" s="37">
        <v>0</v>
      </c>
      <c r="CA775" s="37">
        <v>0</v>
      </c>
      <c r="CB775" s="37">
        <v>0</v>
      </c>
      <c r="CC775" s="37">
        <v>0</v>
      </c>
      <c r="CD775" s="37">
        <v>0</v>
      </c>
      <c r="CE775" s="37">
        <v>0</v>
      </c>
      <c r="CF775" s="37">
        <v>0</v>
      </c>
      <c r="CG775" s="59">
        <v>0</v>
      </c>
      <c r="CH775" s="37">
        <v>0</v>
      </c>
      <c r="CI775" s="37">
        <v>0</v>
      </c>
      <c r="CJ775" s="37">
        <v>0</v>
      </c>
      <c r="CK775" s="37">
        <v>0</v>
      </c>
      <c r="CL775" s="37">
        <v>0</v>
      </c>
      <c r="CM775" s="37">
        <v>0</v>
      </c>
      <c r="CN775" s="59">
        <v>0</v>
      </c>
      <c r="CO775" s="59">
        <v>0</v>
      </c>
      <c r="CP775" s="58"/>
      <c r="CQ775" s="3">
        <v>0</v>
      </c>
    </row>
    <row r="776" spans="1:95" customFormat="1" x14ac:dyDescent="0.2">
      <c r="A776" s="33">
        <v>0</v>
      </c>
      <c r="B776" s="33">
        <v>0</v>
      </c>
      <c r="C776" s="33">
        <v>0</v>
      </c>
      <c r="D776" s="43">
        <v>0</v>
      </c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0</v>
      </c>
      <c r="L776" s="43">
        <v>0</v>
      </c>
      <c r="M776" s="43">
        <v>0</v>
      </c>
      <c r="N776" s="43">
        <v>0</v>
      </c>
      <c r="O776" s="43">
        <v>0</v>
      </c>
      <c r="P776" s="47">
        <v>0</v>
      </c>
      <c r="R776" s="37">
        <v>0</v>
      </c>
      <c r="S776" s="37">
        <v>0</v>
      </c>
      <c r="T776" s="37">
        <v>0</v>
      </c>
      <c r="U776" s="37">
        <v>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7">
        <v>0</v>
      </c>
      <c r="AB776" s="37">
        <v>0</v>
      </c>
      <c r="AC776" s="37">
        <v>0</v>
      </c>
      <c r="AD776" s="37">
        <v>0</v>
      </c>
      <c r="AE776" s="37">
        <v>0</v>
      </c>
      <c r="AF776" s="37">
        <v>0</v>
      </c>
      <c r="AG776" s="59">
        <v>0</v>
      </c>
      <c r="AH776" s="37">
        <v>0</v>
      </c>
      <c r="AI776" s="37">
        <v>0</v>
      </c>
      <c r="AJ776" s="37">
        <v>0</v>
      </c>
      <c r="AK776" s="37">
        <v>0</v>
      </c>
      <c r="AL776" s="37">
        <v>0</v>
      </c>
      <c r="AM776" s="37">
        <v>0</v>
      </c>
      <c r="AN776" s="37">
        <v>0</v>
      </c>
      <c r="AO776" s="37">
        <v>0</v>
      </c>
      <c r="AP776" s="37">
        <v>0</v>
      </c>
      <c r="AQ776" s="37">
        <v>0</v>
      </c>
      <c r="AR776" s="37">
        <v>0</v>
      </c>
      <c r="AS776" s="59">
        <v>0</v>
      </c>
      <c r="AT776" s="59">
        <v>0</v>
      </c>
      <c r="AU776" s="45"/>
      <c r="AV776" s="37">
        <v>0</v>
      </c>
      <c r="AW776" s="37">
        <v>0</v>
      </c>
      <c r="AX776" s="37">
        <v>0</v>
      </c>
      <c r="AY776" s="37">
        <v>0</v>
      </c>
      <c r="AZ776" s="37">
        <v>0</v>
      </c>
      <c r="BA776" s="37">
        <v>0</v>
      </c>
      <c r="BB776" s="37">
        <v>0</v>
      </c>
      <c r="BC776" s="37">
        <v>0</v>
      </c>
      <c r="BD776" s="37">
        <v>0</v>
      </c>
      <c r="BE776" s="37">
        <v>0</v>
      </c>
      <c r="BF776" s="37">
        <v>0</v>
      </c>
      <c r="BG776" s="37">
        <v>0</v>
      </c>
      <c r="BH776" s="37">
        <v>0</v>
      </c>
      <c r="BI776" s="37">
        <v>0</v>
      </c>
      <c r="BJ776" s="37">
        <v>0</v>
      </c>
      <c r="BK776" s="59">
        <v>0</v>
      </c>
      <c r="BL776" s="37">
        <v>0</v>
      </c>
      <c r="BM776" s="37">
        <v>0</v>
      </c>
      <c r="BN776" s="37">
        <v>0</v>
      </c>
      <c r="BO776" s="37">
        <v>0</v>
      </c>
      <c r="BP776" s="37">
        <v>0</v>
      </c>
      <c r="BQ776" s="37">
        <v>0</v>
      </c>
      <c r="BR776" s="37">
        <v>0</v>
      </c>
      <c r="BS776" s="37">
        <v>0</v>
      </c>
      <c r="BT776" s="37">
        <v>0</v>
      </c>
      <c r="BU776" s="37">
        <v>0</v>
      </c>
      <c r="BV776" s="37">
        <v>0</v>
      </c>
      <c r="BW776" s="59">
        <v>0</v>
      </c>
      <c r="BX776" s="59">
        <v>0</v>
      </c>
      <c r="BZ776" s="37">
        <v>0</v>
      </c>
      <c r="CA776" s="37">
        <v>0</v>
      </c>
      <c r="CB776" s="37">
        <v>0</v>
      </c>
      <c r="CC776" s="37">
        <v>0</v>
      </c>
      <c r="CD776" s="37">
        <v>0</v>
      </c>
      <c r="CE776" s="37">
        <v>0</v>
      </c>
      <c r="CF776" s="37">
        <v>0</v>
      </c>
      <c r="CG776" s="59">
        <v>0</v>
      </c>
      <c r="CH776" s="37">
        <v>0</v>
      </c>
      <c r="CI776" s="37">
        <v>0</v>
      </c>
      <c r="CJ776" s="37">
        <v>0</v>
      </c>
      <c r="CK776" s="37">
        <v>0</v>
      </c>
      <c r="CL776" s="37">
        <v>0</v>
      </c>
      <c r="CM776" s="37">
        <v>0</v>
      </c>
      <c r="CN776" s="59">
        <v>0</v>
      </c>
      <c r="CO776" s="59">
        <v>0</v>
      </c>
      <c r="CP776" s="58"/>
      <c r="CQ776" s="3">
        <v>0</v>
      </c>
    </row>
    <row r="777" spans="1:95" customFormat="1" x14ac:dyDescent="0.2">
      <c r="A777" s="33">
        <v>0</v>
      </c>
      <c r="B777" s="33">
        <v>0</v>
      </c>
      <c r="C777" s="33">
        <v>0</v>
      </c>
      <c r="D777" s="43">
        <v>0</v>
      </c>
      <c r="E777" s="43">
        <v>0</v>
      </c>
      <c r="F777" s="43">
        <v>0</v>
      </c>
      <c r="G777" s="43">
        <v>0</v>
      </c>
      <c r="H777" s="43">
        <v>0</v>
      </c>
      <c r="I777" s="43">
        <v>0</v>
      </c>
      <c r="J777" s="43">
        <v>0</v>
      </c>
      <c r="K777" s="43">
        <v>0</v>
      </c>
      <c r="L777" s="43">
        <v>0</v>
      </c>
      <c r="M777" s="43">
        <v>0</v>
      </c>
      <c r="N777" s="43">
        <v>0</v>
      </c>
      <c r="O777" s="43">
        <v>0</v>
      </c>
      <c r="P777" s="47">
        <v>0</v>
      </c>
      <c r="R777" s="37">
        <v>0</v>
      </c>
      <c r="S777" s="37">
        <v>0</v>
      </c>
      <c r="T777" s="37">
        <v>0</v>
      </c>
      <c r="U777" s="37">
        <v>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7">
        <v>0</v>
      </c>
      <c r="AB777" s="37">
        <v>0</v>
      </c>
      <c r="AC777" s="37">
        <v>0</v>
      </c>
      <c r="AD777" s="37">
        <v>0</v>
      </c>
      <c r="AE777" s="37">
        <v>0</v>
      </c>
      <c r="AF777" s="37">
        <v>0</v>
      </c>
      <c r="AG777" s="59">
        <v>0</v>
      </c>
      <c r="AH777" s="37">
        <v>0</v>
      </c>
      <c r="AI777" s="37">
        <v>0</v>
      </c>
      <c r="AJ777" s="37">
        <v>0</v>
      </c>
      <c r="AK777" s="37">
        <v>0</v>
      </c>
      <c r="AL777" s="37">
        <v>0</v>
      </c>
      <c r="AM777" s="37">
        <v>0</v>
      </c>
      <c r="AN777" s="37">
        <v>0</v>
      </c>
      <c r="AO777" s="37">
        <v>0</v>
      </c>
      <c r="AP777" s="37">
        <v>0</v>
      </c>
      <c r="AQ777" s="37">
        <v>0</v>
      </c>
      <c r="AR777" s="37">
        <v>0</v>
      </c>
      <c r="AS777" s="59">
        <v>0</v>
      </c>
      <c r="AT777" s="59">
        <v>0</v>
      </c>
      <c r="AU777" s="45"/>
      <c r="AV777" s="37">
        <v>0</v>
      </c>
      <c r="AW777" s="37">
        <v>0</v>
      </c>
      <c r="AX777" s="37">
        <v>0</v>
      </c>
      <c r="AY777" s="37">
        <v>0</v>
      </c>
      <c r="AZ777" s="37">
        <v>0</v>
      </c>
      <c r="BA777" s="37">
        <v>0</v>
      </c>
      <c r="BB777" s="37">
        <v>0</v>
      </c>
      <c r="BC777" s="37">
        <v>0</v>
      </c>
      <c r="BD777" s="37">
        <v>0</v>
      </c>
      <c r="BE777" s="37">
        <v>0</v>
      </c>
      <c r="BF777" s="37">
        <v>0</v>
      </c>
      <c r="BG777" s="37">
        <v>0</v>
      </c>
      <c r="BH777" s="37">
        <v>0</v>
      </c>
      <c r="BI777" s="37">
        <v>0</v>
      </c>
      <c r="BJ777" s="37">
        <v>0</v>
      </c>
      <c r="BK777" s="59">
        <v>0</v>
      </c>
      <c r="BL777" s="37">
        <v>0</v>
      </c>
      <c r="BM777" s="37">
        <v>0</v>
      </c>
      <c r="BN777" s="37">
        <v>0</v>
      </c>
      <c r="BO777" s="37">
        <v>0</v>
      </c>
      <c r="BP777" s="37">
        <v>0</v>
      </c>
      <c r="BQ777" s="37">
        <v>0</v>
      </c>
      <c r="BR777" s="37">
        <v>0</v>
      </c>
      <c r="BS777" s="37">
        <v>0</v>
      </c>
      <c r="BT777" s="37">
        <v>0</v>
      </c>
      <c r="BU777" s="37">
        <v>0</v>
      </c>
      <c r="BV777" s="37">
        <v>0</v>
      </c>
      <c r="BW777" s="59">
        <v>0</v>
      </c>
      <c r="BX777" s="59">
        <v>0</v>
      </c>
      <c r="BZ777" s="37">
        <v>0</v>
      </c>
      <c r="CA777" s="37">
        <v>0</v>
      </c>
      <c r="CB777" s="37">
        <v>0</v>
      </c>
      <c r="CC777" s="37">
        <v>0</v>
      </c>
      <c r="CD777" s="37">
        <v>0</v>
      </c>
      <c r="CE777" s="37">
        <v>0</v>
      </c>
      <c r="CF777" s="37">
        <v>0</v>
      </c>
      <c r="CG777" s="59">
        <v>0</v>
      </c>
      <c r="CH777" s="37">
        <v>0</v>
      </c>
      <c r="CI777" s="37">
        <v>0</v>
      </c>
      <c r="CJ777" s="37">
        <v>0</v>
      </c>
      <c r="CK777" s="37">
        <v>0</v>
      </c>
      <c r="CL777" s="37">
        <v>0</v>
      </c>
      <c r="CM777" s="37">
        <v>0</v>
      </c>
      <c r="CN777" s="59">
        <v>0</v>
      </c>
      <c r="CO777" s="59">
        <v>0</v>
      </c>
      <c r="CP777" s="58"/>
      <c r="CQ777" s="3">
        <v>0</v>
      </c>
    </row>
    <row r="778" spans="1:95" customFormat="1" x14ac:dyDescent="0.2">
      <c r="A778" s="33">
        <v>0</v>
      </c>
      <c r="B778" s="33">
        <v>0</v>
      </c>
      <c r="C778" s="33">
        <v>0</v>
      </c>
      <c r="D778" s="43">
        <v>0</v>
      </c>
      <c r="E778" s="43">
        <v>0</v>
      </c>
      <c r="F778" s="43">
        <v>0</v>
      </c>
      <c r="G778" s="43">
        <v>0</v>
      </c>
      <c r="H778" s="43">
        <v>0</v>
      </c>
      <c r="I778" s="43">
        <v>0</v>
      </c>
      <c r="J778" s="43">
        <v>0</v>
      </c>
      <c r="K778" s="43">
        <v>0</v>
      </c>
      <c r="L778" s="43">
        <v>0</v>
      </c>
      <c r="M778" s="43">
        <v>0</v>
      </c>
      <c r="N778" s="43">
        <v>0</v>
      </c>
      <c r="O778" s="43">
        <v>0</v>
      </c>
      <c r="P778" s="47">
        <v>0</v>
      </c>
      <c r="R778" s="37">
        <v>0</v>
      </c>
      <c r="S778" s="37">
        <v>0</v>
      </c>
      <c r="T778" s="37">
        <v>0</v>
      </c>
      <c r="U778" s="37">
        <v>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7">
        <v>0</v>
      </c>
      <c r="AB778" s="37">
        <v>0</v>
      </c>
      <c r="AC778" s="37">
        <v>0</v>
      </c>
      <c r="AD778" s="37">
        <v>0</v>
      </c>
      <c r="AE778" s="37">
        <v>0</v>
      </c>
      <c r="AF778" s="37">
        <v>0</v>
      </c>
      <c r="AG778" s="59">
        <v>0</v>
      </c>
      <c r="AH778" s="37">
        <v>0</v>
      </c>
      <c r="AI778" s="37">
        <v>0</v>
      </c>
      <c r="AJ778" s="37">
        <v>0</v>
      </c>
      <c r="AK778" s="37">
        <v>0</v>
      </c>
      <c r="AL778" s="37">
        <v>0</v>
      </c>
      <c r="AM778" s="37">
        <v>0</v>
      </c>
      <c r="AN778" s="37">
        <v>0</v>
      </c>
      <c r="AO778" s="37">
        <v>0</v>
      </c>
      <c r="AP778" s="37">
        <v>0</v>
      </c>
      <c r="AQ778" s="37">
        <v>0</v>
      </c>
      <c r="AR778" s="37">
        <v>0</v>
      </c>
      <c r="AS778" s="59">
        <v>0</v>
      </c>
      <c r="AT778" s="59">
        <v>0</v>
      </c>
      <c r="AU778" s="45"/>
      <c r="AV778" s="37">
        <v>0</v>
      </c>
      <c r="AW778" s="37">
        <v>0</v>
      </c>
      <c r="AX778" s="37">
        <v>0</v>
      </c>
      <c r="AY778" s="37">
        <v>0</v>
      </c>
      <c r="AZ778" s="37">
        <v>0</v>
      </c>
      <c r="BA778" s="37">
        <v>0</v>
      </c>
      <c r="BB778" s="37">
        <v>0</v>
      </c>
      <c r="BC778" s="37">
        <v>0</v>
      </c>
      <c r="BD778" s="37">
        <v>0</v>
      </c>
      <c r="BE778" s="37">
        <v>0</v>
      </c>
      <c r="BF778" s="37">
        <v>0</v>
      </c>
      <c r="BG778" s="37">
        <v>0</v>
      </c>
      <c r="BH778" s="37">
        <v>0</v>
      </c>
      <c r="BI778" s="37">
        <v>0</v>
      </c>
      <c r="BJ778" s="37">
        <v>0</v>
      </c>
      <c r="BK778" s="59">
        <v>0</v>
      </c>
      <c r="BL778" s="37">
        <v>0</v>
      </c>
      <c r="BM778" s="37">
        <v>0</v>
      </c>
      <c r="BN778" s="37">
        <v>0</v>
      </c>
      <c r="BO778" s="37">
        <v>0</v>
      </c>
      <c r="BP778" s="37">
        <v>0</v>
      </c>
      <c r="BQ778" s="37">
        <v>0</v>
      </c>
      <c r="BR778" s="37">
        <v>0</v>
      </c>
      <c r="BS778" s="37">
        <v>0</v>
      </c>
      <c r="BT778" s="37">
        <v>0</v>
      </c>
      <c r="BU778" s="37">
        <v>0</v>
      </c>
      <c r="BV778" s="37">
        <v>0</v>
      </c>
      <c r="BW778" s="59">
        <v>0</v>
      </c>
      <c r="BX778" s="59">
        <v>0</v>
      </c>
      <c r="BZ778" s="37">
        <v>0</v>
      </c>
      <c r="CA778" s="37">
        <v>0</v>
      </c>
      <c r="CB778" s="37">
        <v>0</v>
      </c>
      <c r="CC778" s="37">
        <v>0</v>
      </c>
      <c r="CD778" s="37">
        <v>0</v>
      </c>
      <c r="CE778" s="37">
        <v>0</v>
      </c>
      <c r="CF778" s="37">
        <v>0</v>
      </c>
      <c r="CG778" s="59">
        <v>0</v>
      </c>
      <c r="CH778" s="37">
        <v>0</v>
      </c>
      <c r="CI778" s="37">
        <v>0</v>
      </c>
      <c r="CJ778" s="37">
        <v>0</v>
      </c>
      <c r="CK778" s="37">
        <v>0</v>
      </c>
      <c r="CL778" s="37">
        <v>0</v>
      </c>
      <c r="CM778" s="37">
        <v>0</v>
      </c>
      <c r="CN778" s="59">
        <v>0</v>
      </c>
      <c r="CO778" s="59">
        <v>0</v>
      </c>
      <c r="CP778" s="58"/>
      <c r="CQ778" s="3">
        <v>0</v>
      </c>
    </row>
    <row r="779" spans="1:95" customFormat="1" x14ac:dyDescent="0.2">
      <c r="A779" s="33">
        <v>0</v>
      </c>
      <c r="B779" s="33">
        <v>0</v>
      </c>
      <c r="C779" s="33">
        <v>0</v>
      </c>
      <c r="D779" s="43">
        <v>0</v>
      </c>
      <c r="E779" s="43">
        <v>0</v>
      </c>
      <c r="F779" s="43">
        <v>0</v>
      </c>
      <c r="G779" s="43">
        <v>0</v>
      </c>
      <c r="H779" s="43">
        <v>0</v>
      </c>
      <c r="I779" s="43">
        <v>0</v>
      </c>
      <c r="J779" s="43">
        <v>0</v>
      </c>
      <c r="K779" s="43">
        <v>0</v>
      </c>
      <c r="L779" s="43">
        <v>0</v>
      </c>
      <c r="M779" s="43">
        <v>0</v>
      </c>
      <c r="N779" s="43">
        <v>0</v>
      </c>
      <c r="O779" s="43">
        <v>0</v>
      </c>
      <c r="P779" s="47">
        <v>0</v>
      </c>
      <c r="R779" s="37">
        <v>0</v>
      </c>
      <c r="S779" s="37">
        <v>0</v>
      </c>
      <c r="T779" s="37">
        <v>0</v>
      </c>
      <c r="U779" s="37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7">
        <v>0</v>
      </c>
      <c r="AB779" s="37">
        <v>0</v>
      </c>
      <c r="AC779" s="37">
        <v>0</v>
      </c>
      <c r="AD779" s="37">
        <v>0</v>
      </c>
      <c r="AE779" s="37">
        <v>0</v>
      </c>
      <c r="AF779" s="37">
        <v>0</v>
      </c>
      <c r="AG779" s="59">
        <v>0</v>
      </c>
      <c r="AH779" s="37">
        <v>0</v>
      </c>
      <c r="AI779" s="37">
        <v>0</v>
      </c>
      <c r="AJ779" s="37">
        <v>0</v>
      </c>
      <c r="AK779" s="37">
        <v>0</v>
      </c>
      <c r="AL779" s="37">
        <v>0</v>
      </c>
      <c r="AM779" s="37">
        <v>0</v>
      </c>
      <c r="AN779" s="37">
        <v>0</v>
      </c>
      <c r="AO779" s="37">
        <v>0</v>
      </c>
      <c r="AP779" s="37">
        <v>0</v>
      </c>
      <c r="AQ779" s="37">
        <v>0</v>
      </c>
      <c r="AR779" s="37">
        <v>0</v>
      </c>
      <c r="AS779" s="59">
        <v>0</v>
      </c>
      <c r="AT779" s="59">
        <v>0</v>
      </c>
      <c r="AU779" s="45"/>
      <c r="AV779" s="37">
        <v>0</v>
      </c>
      <c r="AW779" s="37">
        <v>0</v>
      </c>
      <c r="AX779" s="37">
        <v>0</v>
      </c>
      <c r="AY779" s="37">
        <v>0</v>
      </c>
      <c r="AZ779" s="37">
        <v>0</v>
      </c>
      <c r="BA779" s="37">
        <v>0</v>
      </c>
      <c r="BB779" s="37">
        <v>0</v>
      </c>
      <c r="BC779" s="37">
        <v>0</v>
      </c>
      <c r="BD779" s="37">
        <v>0</v>
      </c>
      <c r="BE779" s="37">
        <v>0</v>
      </c>
      <c r="BF779" s="37">
        <v>0</v>
      </c>
      <c r="BG779" s="37">
        <v>0</v>
      </c>
      <c r="BH779" s="37">
        <v>0</v>
      </c>
      <c r="BI779" s="37">
        <v>0</v>
      </c>
      <c r="BJ779" s="37">
        <v>0</v>
      </c>
      <c r="BK779" s="59">
        <v>0</v>
      </c>
      <c r="BL779" s="37">
        <v>0</v>
      </c>
      <c r="BM779" s="37">
        <v>0</v>
      </c>
      <c r="BN779" s="37">
        <v>0</v>
      </c>
      <c r="BO779" s="37">
        <v>0</v>
      </c>
      <c r="BP779" s="37">
        <v>0</v>
      </c>
      <c r="BQ779" s="37">
        <v>0</v>
      </c>
      <c r="BR779" s="37">
        <v>0</v>
      </c>
      <c r="BS779" s="37">
        <v>0</v>
      </c>
      <c r="BT779" s="37">
        <v>0</v>
      </c>
      <c r="BU779" s="37">
        <v>0</v>
      </c>
      <c r="BV779" s="37">
        <v>0</v>
      </c>
      <c r="BW779" s="59">
        <v>0</v>
      </c>
      <c r="BX779" s="59">
        <v>0</v>
      </c>
      <c r="BZ779" s="37">
        <v>0</v>
      </c>
      <c r="CA779" s="37">
        <v>0</v>
      </c>
      <c r="CB779" s="37">
        <v>0</v>
      </c>
      <c r="CC779" s="37">
        <v>0</v>
      </c>
      <c r="CD779" s="37">
        <v>0</v>
      </c>
      <c r="CE779" s="37">
        <v>0</v>
      </c>
      <c r="CF779" s="37">
        <v>0</v>
      </c>
      <c r="CG779" s="59">
        <v>0</v>
      </c>
      <c r="CH779" s="37">
        <v>0</v>
      </c>
      <c r="CI779" s="37">
        <v>0</v>
      </c>
      <c r="CJ779" s="37">
        <v>0</v>
      </c>
      <c r="CK779" s="37">
        <v>0</v>
      </c>
      <c r="CL779" s="37">
        <v>0</v>
      </c>
      <c r="CM779" s="37">
        <v>0</v>
      </c>
      <c r="CN779" s="59">
        <v>0</v>
      </c>
      <c r="CO779" s="59">
        <v>0</v>
      </c>
      <c r="CP779" s="58"/>
      <c r="CQ779" s="3">
        <v>0</v>
      </c>
    </row>
    <row r="780" spans="1:95" customFormat="1" x14ac:dyDescent="0.2">
      <c r="A780" s="33">
        <v>0</v>
      </c>
      <c r="B780" s="33">
        <v>0</v>
      </c>
      <c r="C780" s="33">
        <v>0</v>
      </c>
      <c r="D780" s="43">
        <v>0</v>
      </c>
      <c r="E780" s="43">
        <v>0</v>
      </c>
      <c r="F780" s="43">
        <v>0</v>
      </c>
      <c r="G780" s="43">
        <v>0</v>
      </c>
      <c r="H780" s="43">
        <v>0</v>
      </c>
      <c r="I780" s="43">
        <v>0</v>
      </c>
      <c r="J780" s="43">
        <v>0</v>
      </c>
      <c r="K780" s="43">
        <v>0</v>
      </c>
      <c r="L780" s="43">
        <v>0</v>
      </c>
      <c r="M780" s="43">
        <v>0</v>
      </c>
      <c r="N780" s="43">
        <v>0</v>
      </c>
      <c r="O780" s="43">
        <v>0</v>
      </c>
      <c r="P780" s="47">
        <v>0</v>
      </c>
      <c r="R780" s="37">
        <v>0</v>
      </c>
      <c r="S780" s="37">
        <v>0</v>
      </c>
      <c r="T780" s="37">
        <v>0</v>
      </c>
      <c r="U780" s="37">
        <v>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7">
        <v>0</v>
      </c>
      <c r="AB780" s="37">
        <v>0</v>
      </c>
      <c r="AC780" s="37">
        <v>0</v>
      </c>
      <c r="AD780" s="37">
        <v>0</v>
      </c>
      <c r="AE780" s="37">
        <v>0</v>
      </c>
      <c r="AF780" s="37">
        <v>0</v>
      </c>
      <c r="AG780" s="59">
        <v>0</v>
      </c>
      <c r="AH780" s="37">
        <v>0</v>
      </c>
      <c r="AI780" s="37">
        <v>0</v>
      </c>
      <c r="AJ780" s="37">
        <v>0</v>
      </c>
      <c r="AK780" s="37">
        <v>0</v>
      </c>
      <c r="AL780" s="37">
        <v>0</v>
      </c>
      <c r="AM780" s="37">
        <v>0</v>
      </c>
      <c r="AN780" s="37">
        <v>0</v>
      </c>
      <c r="AO780" s="37">
        <v>0</v>
      </c>
      <c r="AP780" s="37">
        <v>0</v>
      </c>
      <c r="AQ780" s="37">
        <v>0</v>
      </c>
      <c r="AR780" s="37">
        <v>0</v>
      </c>
      <c r="AS780" s="59">
        <v>0</v>
      </c>
      <c r="AT780" s="59">
        <v>0</v>
      </c>
      <c r="AU780" s="45"/>
      <c r="AV780" s="37">
        <v>0</v>
      </c>
      <c r="AW780" s="37">
        <v>0</v>
      </c>
      <c r="AX780" s="37">
        <v>0</v>
      </c>
      <c r="AY780" s="37">
        <v>0</v>
      </c>
      <c r="AZ780" s="37">
        <v>0</v>
      </c>
      <c r="BA780" s="37">
        <v>0</v>
      </c>
      <c r="BB780" s="37">
        <v>0</v>
      </c>
      <c r="BC780" s="37">
        <v>0</v>
      </c>
      <c r="BD780" s="37">
        <v>0</v>
      </c>
      <c r="BE780" s="37">
        <v>0</v>
      </c>
      <c r="BF780" s="37">
        <v>0</v>
      </c>
      <c r="BG780" s="37">
        <v>0</v>
      </c>
      <c r="BH780" s="37">
        <v>0</v>
      </c>
      <c r="BI780" s="37">
        <v>0</v>
      </c>
      <c r="BJ780" s="37">
        <v>0</v>
      </c>
      <c r="BK780" s="59">
        <v>0</v>
      </c>
      <c r="BL780" s="37">
        <v>0</v>
      </c>
      <c r="BM780" s="37">
        <v>0</v>
      </c>
      <c r="BN780" s="37">
        <v>0</v>
      </c>
      <c r="BO780" s="37">
        <v>0</v>
      </c>
      <c r="BP780" s="37">
        <v>0</v>
      </c>
      <c r="BQ780" s="37">
        <v>0</v>
      </c>
      <c r="BR780" s="37">
        <v>0</v>
      </c>
      <c r="BS780" s="37">
        <v>0</v>
      </c>
      <c r="BT780" s="37">
        <v>0</v>
      </c>
      <c r="BU780" s="37">
        <v>0</v>
      </c>
      <c r="BV780" s="37">
        <v>0</v>
      </c>
      <c r="BW780" s="59">
        <v>0</v>
      </c>
      <c r="BX780" s="59">
        <v>0</v>
      </c>
      <c r="BZ780" s="37">
        <v>0</v>
      </c>
      <c r="CA780" s="37">
        <v>0</v>
      </c>
      <c r="CB780" s="37">
        <v>0</v>
      </c>
      <c r="CC780" s="37">
        <v>0</v>
      </c>
      <c r="CD780" s="37">
        <v>0</v>
      </c>
      <c r="CE780" s="37">
        <v>0</v>
      </c>
      <c r="CF780" s="37">
        <v>0</v>
      </c>
      <c r="CG780" s="59">
        <v>0</v>
      </c>
      <c r="CH780" s="37">
        <v>0</v>
      </c>
      <c r="CI780" s="37">
        <v>0</v>
      </c>
      <c r="CJ780" s="37">
        <v>0</v>
      </c>
      <c r="CK780" s="37">
        <v>0</v>
      </c>
      <c r="CL780" s="37">
        <v>0</v>
      </c>
      <c r="CM780" s="37">
        <v>0</v>
      </c>
      <c r="CN780" s="59">
        <v>0</v>
      </c>
      <c r="CO780" s="59">
        <v>0</v>
      </c>
      <c r="CP780" s="58"/>
      <c r="CQ780" s="3">
        <v>0</v>
      </c>
    </row>
    <row r="781" spans="1:95" customFormat="1" x14ac:dyDescent="0.2">
      <c r="A781" s="33">
        <v>0</v>
      </c>
      <c r="B781" s="33">
        <v>0</v>
      </c>
      <c r="C781" s="33">
        <v>0</v>
      </c>
      <c r="D781" s="43">
        <v>0</v>
      </c>
      <c r="E781" s="43">
        <v>0</v>
      </c>
      <c r="F781" s="43">
        <v>0</v>
      </c>
      <c r="G781" s="43">
        <v>0</v>
      </c>
      <c r="H781" s="43">
        <v>0</v>
      </c>
      <c r="I781" s="43">
        <v>0</v>
      </c>
      <c r="J781" s="43">
        <v>0</v>
      </c>
      <c r="K781" s="43">
        <v>0</v>
      </c>
      <c r="L781" s="43">
        <v>0</v>
      </c>
      <c r="M781" s="43">
        <v>0</v>
      </c>
      <c r="N781" s="43">
        <v>0</v>
      </c>
      <c r="O781" s="43">
        <v>0</v>
      </c>
      <c r="P781" s="47">
        <v>0</v>
      </c>
      <c r="R781" s="37">
        <v>0</v>
      </c>
      <c r="S781" s="37">
        <v>0</v>
      </c>
      <c r="T781" s="37">
        <v>0</v>
      </c>
      <c r="U781" s="37">
        <v>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7">
        <v>0</v>
      </c>
      <c r="AB781" s="37">
        <v>0</v>
      </c>
      <c r="AC781" s="37">
        <v>0</v>
      </c>
      <c r="AD781" s="37">
        <v>0</v>
      </c>
      <c r="AE781" s="37">
        <v>0</v>
      </c>
      <c r="AF781" s="37">
        <v>0</v>
      </c>
      <c r="AG781" s="59">
        <v>0</v>
      </c>
      <c r="AH781" s="37">
        <v>0</v>
      </c>
      <c r="AI781" s="37">
        <v>0</v>
      </c>
      <c r="AJ781" s="37">
        <v>0</v>
      </c>
      <c r="AK781" s="37">
        <v>0</v>
      </c>
      <c r="AL781" s="37">
        <v>0</v>
      </c>
      <c r="AM781" s="37">
        <v>0</v>
      </c>
      <c r="AN781" s="37">
        <v>0</v>
      </c>
      <c r="AO781" s="37">
        <v>0</v>
      </c>
      <c r="AP781" s="37">
        <v>0</v>
      </c>
      <c r="AQ781" s="37">
        <v>0</v>
      </c>
      <c r="AR781" s="37">
        <v>0</v>
      </c>
      <c r="AS781" s="59">
        <v>0</v>
      </c>
      <c r="AT781" s="59">
        <v>0</v>
      </c>
      <c r="AU781" s="45"/>
      <c r="AV781" s="37">
        <v>0</v>
      </c>
      <c r="AW781" s="37">
        <v>0</v>
      </c>
      <c r="AX781" s="37">
        <v>0</v>
      </c>
      <c r="AY781" s="37">
        <v>0</v>
      </c>
      <c r="AZ781" s="37">
        <v>0</v>
      </c>
      <c r="BA781" s="37">
        <v>0</v>
      </c>
      <c r="BB781" s="37">
        <v>0</v>
      </c>
      <c r="BC781" s="37">
        <v>0</v>
      </c>
      <c r="BD781" s="37">
        <v>0</v>
      </c>
      <c r="BE781" s="37">
        <v>0</v>
      </c>
      <c r="BF781" s="37">
        <v>0</v>
      </c>
      <c r="BG781" s="37">
        <v>0</v>
      </c>
      <c r="BH781" s="37">
        <v>0</v>
      </c>
      <c r="BI781" s="37">
        <v>0</v>
      </c>
      <c r="BJ781" s="37">
        <v>0</v>
      </c>
      <c r="BK781" s="59">
        <v>0</v>
      </c>
      <c r="BL781" s="37">
        <v>0</v>
      </c>
      <c r="BM781" s="37">
        <v>0</v>
      </c>
      <c r="BN781" s="37">
        <v>0</v>
      </c>
      <c r="BO781" s="37">
        <v>0</v>
      </c>
      <c r="BP781" s="37">
        <v>0</v>
      </c>
      <c r="BQ781" s="37">
        <v>0</v>
      </c>
      <c r="BR781" s="37">
        <v>0</v>
      </c>
      <c r="BS781" s="37">
        <v>0</v>
      </c>
      <c r="BT781" s="37">
        <v>0</v>
      </c>
      <c r="BU781" s="37">
        <v>0</v>
      </c>
      <c r="BV781" s="37">
        <v>0</v>
      </c>
      <c r="BW781" s="59">
        <v>0</v>
      </c>
      <c r="BX781" s="59">
        <v>0</v>
      </c>
      <c r="BZ781" s="37">
        <v>0</v>
      </c>
      <c r="CA781" s="37">
        <v>0</v>
      </c>
      <c r="CB781" s="37">
        <v>0</v>
      </c>
      <c r="CC781" s="37">
        <v>0</v>
      </c>
      <c r="CD781" s="37">
        <v>0</v>
      </c>
      <c r="CE781" s="37">
        <v>0</v>
      </c>
      <c r="CF781" s="37">
        <v>0</v>
      </c>
      <c r="CG781" s="59">
        <v>0</v>
      </c>
      <c r="CH781" s="37">
        <v>0</v>
      </c>
      <c r="CI781" s="37">
        <v>0</v>
      </c>
      <c r="CJ781" s="37">
        <v>0</v>
      </c>
      <c r="CK781" s="37">
        <v>0</v>
      </c>
      <c r="CL781" s="37">
        <v>0</v>
      </c>
      <c r="CM781" s="37">
        <v>0</v>
      </c>
      <c r="CN781" s="59">
        <v>0</v>
      </c>
      <c r="CO781" s="59">
        <v>0</v>
      </c>
      <c r="CP781" s="58"/>
      <c r="CQ781" s="3">
        <v>0</v>
      </c>
    </row>
    <row r="782" spans="1:95" customFormat="1" x14ac:dyDescent="0.2">
      <c r="A782" s="33">
        <v>0</v>
      </c>
      <c r="B782" s="33">
        <v>0</v>
      </c>
      <c r="C782" s="33">
        <v>0</v>
      </c>
      <c r="D782" s="43">
        <v>0</v>
      </c>
      <c r="E782" s="43">
        <v>0</v>
      </c>
      <c r="F782" s="43">
        <v>0</v>
      </c>
      <c r="G782" s="43">
        <v>0</v>
      </c>
      <c r="H782" s="43">
        <v>0</v>
      </c>
      <c r="I782" s="43">
        <v>0</v>
      </c>
      <c r="J782" s="43">
        <v>0</v>
      </c>
      <c r="K782" s="43">
        <v>0</v>
      </c>
      <c r="L782" s="43">
        <v>0</v>
      </c>
      <c r="M782" s="43">
        <v>0</v>
      </c>
      <c r="N782" s="43">
        <v>0</v>
      </c>
      <c r="O782" s="43">
        <v>0</v>
      </c>
      <c r="P782" s="47">
        <v>0</v>
      </c>
      <c r="R782" s="37">
        <v>0</v>
      </c>
      <c r="S782" s="37">
        <v>0</v>
      </c>
      <c r="T782" s="37">
        <v>0</v>
      </c>
      <c r="U782" s="37">
        <v>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7">
        <v>0</v>
      </c>
      <c r="AB782" s="37">
        <v>0</v>
      </c>
      <c r="AC782" s="37">
        <v>0</v>
      </c>
      <c r="AD782" s="37">
        <v>0</v>
      </c>
      <c r="AE782" s="37">
        <v>0</v>
      </c>
      <c r="AF782" s="37">
        <v>0</v>
      </c>
      <c r="AG782" s="59">
        <v>0</v>
      </c>
      <c r="AH782" s="37">
        <v>0</v>
      </c>
      <c r="AI782" s="37">
        <v>0</v>
      </c>
      <c r="AJ782" s="37">
        <v>0</v>
      </c>
      <c r="AK782" s="37">
        <v>0</v>
      </c>
      <c r="AL782" s="37">
        <v>0</v>
      </c>
      <c r="AM782" s="37">
        <v>0</v>
      </c>
      <c r="AN782" s="37">
        <v>0</v>
      </c>
      <c r="AO782" s="37">
        <v>0</v>
      </c>
      <c r="AP782" s="37">
        <v>0</v>
      </c>
      <c r="AQ782" s="37">
        <v>0</v>
      </c>
      <c r="AR782" s="37">
        <v>0</v>
      </c>
      <c r="AS782" s="59">
        <v>0</v>
      </c>
      <c r="AT782" s="59">
        <v>0</v>
      </c>
      <c r="AU782" s="45"/>
      <c r="AV782" s="37">
        <v>0</v>
      </c>
      <c r="AW782" s="37">
        <v>0</v>
      </c>
      <c r="AX782" s="37">
        <v>0</v>
      </c>
      <c r="AY782" s="37">
        <v>0</v>
      </c>
      <c r="AZ782" s="37">
        <v>0</v>
      </c>
      <c r="BA782" s="37">
        <v>0</v>
      </c>
      <c r="BB782" s="37">
        <v>0</v>
      </c>
      <c r="BC782" s="37">
        <v>0</v>
      </c>
      <c r="BD782" s="37">
        <v>0</v>
      </c>
      <c r="BE782" s="37">
        <v>0</v>
      </c>
      <c r="BF782" s="37">
        <v>0</v>
      </c>
      <c r="BG782" s="37">
        <v>0</v>
      </c>
      <c r="BH782" s="37">
        <v>0</v>
      </c>
      <c r="BI782" s="37">
        <v>0</v>
      </c>
      <c r="BJ782" s="37">
        <v>0</v>
      </c>
      <c r="BK782" s="59">
        <v>0</v>
      </c>
      <c r="BL782" s="37">
        <v>0</v>
      </c>
      <c r="BM782" s="37">
        <v>0</v>
      </c>
      <c r="BN782" s="37">
        <v>0</v>
      </c>
      <c r="BO782" s="37">
        <v>0</v>
      </c>
      <c r="BP782" s="37">
        <v>0</v>
      </c>
      <c r="BQ782" s="37">
        <v>0</v>
      </c>
      <c r="BR782" s="37">
        <v>0</v>
      </c>
      <c r="BS782" s="37">
        <v>0</v>
      </c>
      <c r="BT782" s="37">
        <v>0</v>
      </c>
      <c r="BU782" s="37">
        <v>0</v>
      </c>
      <c r="BV782" s="37">
        <v>0</v>
      </c>
      <c r="BW782" s="59">
        <v>0</v>
      </c>
      <c r="BX782" s="59">
        <v>0</v>
      </c>
      <c r="BZ782" s="37">
        <v>0</v>
      </c>
      <c r="CA782" s="37">
        <v>0</v>
      </c>
      <c r="CB782" s="37">
        <v>0</v>
      </c>
      <c r="CC782" s="37">
        <v>0</v>
      </c>
      <c r="CD782" s="37">
        <v>0</v>
      </c>
      <c r="CE782" s="37">
        <v>0</v>
      </c>
      <c r="CF782" s="37">
        <v>0</v>
      </c>
      <c r="CG782" s="59">
        <v>0</v>
      </c>
      <c r="CH782" s="37">
        <v>0</v>
      </c>
      <c r="CI782" s="37">
        <v>0</v>
      </c>
      <c r="CJ782" s="37">
        <v>0</v>
      </c>
      <c r="CK782" s="37">
        <v>0</v>
      </c>
      <c r="CL782" s="37">
        <v>0</v>
      </c>
      <c r="CM782" s="37">
        <v>0</v>
      </c>
      <c r="CN782" s="59">
        <v>0</v>
      </c>
      <c r="CO782" s="59">
        <v>0</v>
      </c>
      <c r="CP782" s="58"/>
      <c r="CQ782" s="3">
        <v>0</v>
      </c>
    </row>
    <row r="783" spans="1:95" customFormat="1" x14ac:dyDescent="0.2">
      <c r="A783" s="33">
        <v>0</v>
      </c>
      <c r="B783" s="33">
        <v>0</v>
      </c>
      <c r="C783" s="33">
        <v>0</v>
      </c>
      <c r="D783" s="43">
        <v>0</v>
      </c>
      <c r="E783" s="43">
        <v>0</v>
      </c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0</v>
      </c>
      <c r="L783" s="43">
        <v>0</v>
      </c>
      <c r="M783" s="43">
        <v>0</v>
      </c>
      <c r="N783" s="43">
        <v>0</v>
      </c>
      <c r="O783" s="43">
        <v>0</v>
      </c>
      <c r="P783" s="4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59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59">
        <v>0</v>
      </c>
      <c r="AT783" s="59">
        <v>0</v>
      </c>
      <c r="AU783" s="45"/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>
        <v>0</v>
      </c>
      <c r="BB783" s="37">
        <v>0</v>
      </c>
      <c r="BC783" s="37">
        <v>0</v>
      </c>
      <c r="BD783" s="37">
        <v>0</v>
      </c>
      <c r="BE783" s="37">
        <v>0</v>
      </c>
      <c r="BF783" s="37">
        <v>0</v>
      </c>
      <c r="BG783" s="37">
        <v>0</v>
      </c>
      <c r="BH783" s="37">
        <v>0</v>
      </c>
      <c r="BI783" s="37">
        <v>0</v>
      </c>
      <c r="BJ783" s="37">
        <v>0</v>
      </c>
      <c r="BK783" s="59">
        <v>0</v>
      </c>
      <c r="BL783" s="37">
        <v>0</v>
      </c>
      <c r="BM783" s="37">
        <v>0</v>
      </c>
      <c r="BN783" s="37">
        <v>0</v>
      </c>
      <c r="BO783" s="37">
        <v>0</v>
      </c>
      <c r="BP783" s="37">
        <v>0</v>
      </c>
      <c r="BQ783" s="37">
        <v>0</v>
      </c>
      <c r="BR783" s="37">
        <v>0</v>
      </c>
      <c r="BS783" s="37">
        <v>0</v>
      </c>
      <c r="BT783" s="37">
        <v>0</v>
      </c>
      <c r="BU783" s="37">
        <v>0</v>
      </c>
      <c r="BV783" s="37">
        <v>0</v>
      </c>
      <c r="BW783" s="59">
        <v>0</v>
      </c>
      <c r="BX783" s="59">
        <v>0</v>
      </c>
      <c r="BZ783" s="37">
        <v>0</v>
      </c>
      <c r="CA783" s="37">
        <v>0</v>
      </c>
      <c r="CB783" s="37">
        <v>0</v>
      </c>
      <c r="CC783" s="37">
        <v>0</v>
      </c>
      <c r="CD783" s="37">
        <v>0</v>
      </c>
      <c r="CE783" s="37">
        <v>0</v>
      </c>
      <c r="CF783" s="37">
        <v>0</v>
      </c>
      <c r="CG783" s="59">
        <v>0</v>
      </c>
      <c r="CH783" s="37">
        <v>0</v>
      </c>
      <c r="CI783" s="37">
        <v>0</v>
      </c>
      <c r="CJ783" s="37">
        <v>0</v>
      </c>
      <c r="CK783" s="37">
        <v>0</v>
      </c>
      <c r="CL783" s="37">
        <v>0</v>
      </c>
      <c r="CM783" s="37">
        <v>0</v>
      </c>
      <c r="CN783" s="59">
        <v>0</v>
      </c>
      <c r="CO783" s="59">
        <v>0</v>
      </c>
      <c r="CP783" s="58"/>
      <c r="CQ783" s="3">
        <v>0</v>
      </c>
    </row>
    <row r="784" spans="1:95" customFormat="1" x14ac:dyDescent="0.2">
      <c r="A784" s="33">
        <v>0</v>
      </c>
      <c r="B784" s="33">
        <v>0</v>
      </c>
      <c r="C784" s="33">
        <v>0</v>
      </c>
      <c r="D784" s="43">
        <v>0</v>
      </c>
      <c r="E784" s="43">
        <v>0</v>
      </c>
      <c r="F784" s="43">
        <v>0</v>
      </c>
      <c r="G784" s="43">
        <v>0</v>
      </c>
      <c r="H784" s="43">
        <v>0</v>
      </c>
      <c r="I784" s="43">
        <v>0</v>
      </c>
      <c r="J784" s="43">
        <v>0</v>
      </c>
      <c r="K784" s="43">
        <v>0</v>
      </c>
      <c r="L784" s="43">
        <v>0</v>
      </c>
      <c r="M784" s="43">
        <v>0</v>
      </c>
      <c r="N784" s="43">
        <v>0</v>
      </c>
      <c r="O784" s="43">
        <v>0</v>
      </c>
      <c r="P784" s="47">
        <v>0</v>
      </c>
      <c r="R784" s="37">
        <v>0</v>
      </c>
      <c r="S784" s="37">
        <v>0</v>
      </c>
      <c r="T784" s="37">
        <v>0</v>
      </c>
      <c r="U784" s="37">
        <v>0</v>
      </c>
      <c r="V784" s="37">
        <v>0</v>
      </c>
      <c r="W784" s="37">
        <v>0</v>
      </c>
      <c r="X784" s="37">
        <v>0</v>
      </c>
      <c r="Y784" s="37">
        <v>0</v>
      </c>
      <c r="Z784" s="37">
        <v>0</v>
      </c>
      <c r="AA784" s="37">
        <v>0</v>
      </c>
      <c r="AB784" s="37">
        <v>0</v>
      </c>
      <c r="AC784" s="37">
        <v>0</v>
      </c>
      <c r="AD784" s="37">
        <v>0</v>
      </c>
      <c r="AE784" s="37">
        <v>0</v>
      </c>
      <c r="AF784" s="37">
        <v>0</v>
      </c>
      <c r="AG784" s="59">
        <v>0</v>
      </c>
      <c r="AH784" s="37">
        <v>0</v>
      </c>
      <c r="AI784" s="37">
        <v>0</v>
      </c>
      <c r="AJ784" s="37">
        <v>0</v>
      </c>
      <c r="AK784" s="37">
        <v>0</v>
      </c>
      <c r="AL784" s="37">
        <v>0</v>
      </c>
      <c r="AM784" s="37">
        <v>0</v>
      </c>
      <c r="AN784" s="37">
        <v>0</v>
      </c>
      <c r="AO784" s="37">
        <v>0</v>
      </c>
      <c r="AP784" s="37">
        <v>0</v>
      </c>
      <c r="AQ784" s="37">
        <v>0</v>
      </c>
      <c r="AR784" s="37">
        <v>0</v>
      </c>
      <c r="AS784" s="59">
        <v>0</v>
      </c>
      <c r="AT784" s="59">
        <v>0</v>
      </c>
      <c r="AU784" s="45"/>
      <c r="AV784" s="37">
        <v>0</v>
      </c>
      <c r="AW784" s="37">
        <v>0</v>
      </c>
      <c r="AX784" s="37">
        <v>0</v>
      </c>
      <c r="AY784" s="37">
        <v>0</v>
      </c>
      <c r="AZ784" s="37">
        <v>0</v>
      </c>
      <c r="BA784" s="37">
        <v>0</v>
      </c>
      <c r="BB784" s="37">
        <v>0</v>
      </c>
      <c r="BC784" s="37">
        <v>0</v>
      </c>
      <c r="BD784" s="37">
        <v>0</v>
      </c>
      <c r="BE784" s="37">
        <v>0</v>
      </c>
      <c r="BF784" s="37">
        <v>0</v>
      </c>
      <c r="BG784" s="37">
        <v>0</v>
      </c>
      <c r="BH784" s="37">
        <v>0</v>
      </c>
      <c r="BI784" s="37">
        <v>0</v>
      </c>
      <c r="BJ784" s="37">
        <v>0</v>
      </c>
      <c r="BK784" s="59">
        <v>0</v>
      </c>
      <c r="BL784" s="37">
        <v>0</v>
      </c>
      <c r="BM784" s="37">
        <v>0</v>
      </c>
      <c r="BN784" s="37">
        <v>0</v>
      </c>
      <c r="BO784" s="37">
        <v>0</v>
      </c>
      <c r="BP784" s="37">
        <v>0</v>
      </c>
      <c r="BQ784" s="37">
        <v>0</v>
      </c>
      <c r="BR784" s="37">
        <v>0</v>
      </c>
      <c r="BS784" s="37">
        <v>0</v>
      </c>
      <c r="BT784" s="37">
        <v>0</v>
      </c>
      <c r="BU784" s="37">
        <v>0</v>
      </c>
      <c r="BV784" s="37">
        <v>0</v>
      </c>
      <c r="BW784" s="59">
        <v>0</v>
      </c>
      <c r="BX784" s="59">
        <v>0</v>
      </c>
      <c r="BZ784" s="37">
        <v>0</v>
      </c>
      <c r="CA784" s="37">
        <v>0</v>
      </c>
      <c r="CB784" s="37">
        <v>0</v>
      </c>
      <c r="CC784" s="37">
        <v>0</v>
      </c>
      <c r="CD784" s="37">
        <v>0</v>
      </c>
      <c r="CE784" s="37">
        <v>0</v>
      </c>
      <c r="CF784" s="37">
        <v>0</v>
      </c>
      <c r="CG784" s="59">
        <v>0</v>
      </c>
      <c r="CH784" s="37">
        <v>0</v>
      </c>
      <c r="CI784" s="37">
        <v>0</v>
      </c>
      <c r="CJ784" s="37">
        <v>0</v>
      </c>
      <c r="CK784" s="37">
        <v>0</v>
      </c>
      <c r="CL784" s="37">
        <v>0</v>
      </c>
      <c r="CM784" s="37">
        <v>0</v>
      </c>
      <c r="CN784" s="59">
        <v>0</v>
      </c>
      <c r="CO784" s="59">
        <v>0</v>
      </c>
      <c r="CP784" s="58"/>
      <c r="CQ784" s="3">
        <v>0</v>
      </c>
    </row>
    <row r="785" spans="1:95" customFormat="1" x14ac:dyDescent="0.2">
      <c r="A785" s="33">
        <v>0</v>
      </c>
      <c r="B785" s="33">
        <v>0</v>
      </c>
      <c r="C785" s="33">
        <v>0</v>
      </c>
      <c r="D785" s="43">
        <v>0</v>
      </c>
      <c r="E785" s="43">
        <v>0</v>
      </c>
      <c r="F785" s="43">
        <v>0</v>
      </c>
      <c r="G785" s="43">
        <v>0</v>
      </c>
      <c r="H785" s="43">
        <v>0</v>
      </c>
      <c r="I785" s="43">
        <v>0</v>
      </c>
      <c r="J785" s="43">
        <v>0</v>
      </c>
      <c r="K785" s="43">
        <v>0</v>
      </c>
      <c r="L785" s="43">
        <v>0</v>
      </c>
      <c r="M785" s="43">
        <v>0</v>
      </c>
      <c r="N785" s="43">
        <v>0</v>
      </c>
      <c r="O785" s="43">
        <v>0</v>
      </c>
      <c r="P785" s="47">
        <v>0</v>
      </c>
      <c r="R785" s="37">
        <v>0</v>
      </c>
      <c r="S785" s="37">
        <v>0</v>
      </c>
      <c r="T785" s="37">
        <v>0</v>
      </c>
      <c r="U785" s="37">
        <v>0</v>
      </c>
      <c r="V785" s="37">
        <v>0</v>
      </c>
      <c r="W785" s="37">
        <v>0</v>
      </c>
      <c r="X785" s="37">
        <v>0</v>
      </c>
      <c r="Y785" s="37">
        <v>0</v>
      </c>
      <c r="Z785" s="37">
        <v>0</v>
      </c>
      <c r="AA785" s="37">
        <v>0</v>
      </c>
      <c r="AB785" s="37">
        <v>0</v>
      </c>
      <c r="AC785" s="37">
        <v>0</v>
      </c>
      <c r="AD785" s="37">
        <v>0</v>
      </c>
      <c r="AE785" s="37">
        <v>0</v>
      </c>
      <c r="AF785" s="37">
        <v>0</v>
      </c>
      <c r="AG785" s="59">
        <v>0</v>
      </c>
      <c r="AH785" s="37">
        <v>0</v>
      </c>
      <c r="AI785" s="37">
        <v>0</v>
      </c>
      <c r="AJ785" s="37">
        <v>0</v>
      </c>
      <c r="AK785" s="37">
        <v>0</v>
      </c>
      <c r="AL785" s="37">
        <v>0</v>
      </c>
      <c r="AM785" s="37">
        <v>0</v>
      </c>
      <c r="AN785" s="37">
        <v>0</v>
      </c>
      <c r="AO785" s="37">
        <v>0</v>
      </c>
      <c r="AP785" s="37">
        <v>0</v>
      </c>
      <c r="AQ785" s="37">
        <v>0</v>
      </c>
      <c r="AR785" s="37">
        <v>0</v>
      </c>
      <c r="AS785" s="59">
        <v>0</v>
      </c>
      <c r="AT785" s="59">
        <v>0</v>
      </c>
      <c r="AU785" s="45"/>
      <c r="AV785" s="37">
        <v>0</v>
      </c>
      <c r="AW785" s="37">
        <v>0</v>
      </c>
      <c r="AX785" s="37">
        <v>0</v>
      </c>
      <c r="AY785" s="37">
        <v>0</v>
      </c>
      <c r="AZ785" s="37">
        <v>0</v>
      </c>
      <c r="BA785" s="37">
        <v>0</v>
      </c>
      <c r="BB785" s="37">
        <v>0</v>
      </c>
      <c r="BC785" s="37">
        <v>0</v>
      </c>
      <c r="BD785" s="37">
        <v>0</v>
      </c>
      <c r="BE785" s="37">
        <v>0</v>
      </c>
      <c r="BF785" s="37">
        <v>0</v>
      </c>
      <c r="BG785" s="37">
        <v>0</v>
      </c>
      <c r="BH785" s="37">
        <v>0</v>
      </c>
      <c r="BI785" s="37">
        <v>0</v>
      </c>
      <c r="BJ785" s="37">
        <v>0</v>
      </c>
      <c r="BK785" s="59">
        <v>0</v>
      </c>
      <c r="BL785" s="37">
        <v>0</v>
      </c>
      <c r="BM785" s="37">
        <v>0</v>
      </c>
      <c r="BN785" s="37">
        <v>0</v>
      </c>
      <c r="BO785" s="37">
        <v>0</v>
      </c>
      <c r="BP785" s="37">
        <v>0</v>
      </c>
      <c r="BQ785" s="37">
        <v>0</v>
      </c>
      <c r="BR785" s="37">
        <v>0</v>
      </c>
      <c r="BS785" s="37">
        <v>0</v>
      </c>
      <c r="BT785" s="37">
        <v>0</v>
      </c>
      <c r="BU785" s="37">
        <v>0</v>
      </c>
      <c r="BV785" s="37">
        <v>0</v>
      </c>
      <c r="BW785" s="59">
        <v>0</v>
      </c>
      <c r="BX785" s="59">
        <v>0</v>
      </c>
      <c r="BZ785" s="37">
        <v>0</v>
      </c>
      <c r="CA785" s="37">
        <v>0</v>
      </c>
      <c r="CB785" s="37">
        <v>0</v>
      </c>
      <c r="CC785" s="37">
        <v>0</v>
      </c>
      <c r="CD785" s="37">
        <v>0</v>
      </c>
      <c r="CE785" s="37">
        <v>0</v>
      </c>
      <c r="CF785" s="37">
        <v>0</v>
      </c>
      <c r="CG785" s="59">
        <v>0</v>
      </c>
      <c r="CH785" s="37">
        <v>0</v>
      </c>
      <c r="CI785" s="37">
        <v>0</v>
      </c>
      <c r="CJ785" s="37">
        <v>0</v>
      </c>
      <c r="CK785" s="37">
        <v>0</v>
      </c>
      <c r="CL785" s="37">
        <v>0</v>
      </c>
      <c r="CM785" s="37">
        <v>0</v>
      </c>
      <c r="CN785" s="59">
        <v>0</v>
      </c>
      <c r="CO785" s="59">
        <v>0</v>
      </c>
      <c r="CP785" s="58"/>
      <c r="CQ785" s="3">
        <v>0</v>
      </c>
    </row>
    <row r="786" spans="1:95" customFormat="1" x14ac:dyDescent="0.2">
      <c r="A786" s="33">
        <v>0</v>
      </c>
      <c r="B786" s="33">
        <v>0</v>
      </c>
      <c r="C786" s="33">
        <v>0</v>
      </c>
      <c r="D786" s="43">
        <v>0</v>
      </c>
      <c r="E786" s="43">
        <v>0</v>
      </c>
      <c r="F786" s="43">
        <v>0</v>
      </c>
      <c r="G786" s="43">
        <v>0</v>
      </c>
      <c r="H786" s="43">
        <v>0</v>
      </c>
      <c r="I786" s="43">
        <v>0</v>
      </c>
      <c r="J786" s="43">
        <v>0</v>
      </c>
      <c r="K786" s="43">
        <v>0</v>
      </c>
      <c r="L786" s="43">
        <v>0</v>
      </c>
      <c r="M786" s="43">
        <v>0</v>
      </c>
      <c r="N786" s="43">
        <v>0</v>
      </c>
      <c r="O786" s="43">
        <v>0</v>
      </c>
      <c r="P786" s="47">
        <v>0</v>
      </c>
      <c r="R786" s="37">
        <v>0</v>
      </c>
      <c r="S786" s="37">
        <v>0</v>
      </c>
      <c r="T786" s="37">
        <v>0</v>
      </c>
      <c r="U786" s="37">
        <v>0</v>
      </c>
      <c r="V786" s="37">
        <v>0</v>
      </c>
      <c r="W786" s="37">
        <v>0</v>
      </c>
      <c r="X786" s="37">
        <v>0</v>
      </c>
      <c r="Y786" s="37">
        <v>0</v>
      </c>
      <c r="Z786" s="37">
        <v>0</v>
      </c>
      <c r="AA786" s="37">
        <v>0</v>
      </c>
      <c r="AB786" s="37">
        <v>0</v>
      </c>
      <c r="AC786" s="37">
        <v>0</v>
      </c>
      <c r="AD786" s="37">
        <v>0</v>
      </c>
      <c r="AE786" s="37">
        <v>0</v>
      </c>
      <c r="AF786" s="37">
        <v>0</v>
      </c>
      <c r="AG786" s="59">
        <v>0</v>
      </c>
      <c r="AH786" s="37">
        <v>0</v>
      </c>
      <c r="AI786" s="37">
        <v>0</v>
      </c>
      <c r="AJ786" s="37">
        <v>0</v>
      </c>
      <c r="AK786" s="37">
        <v>0</v>
      </c>
      <c r="AL786" s="37">
        <v>0</v>
      </c>
      <c r="AM786" s="37">
        <v>0</v>
      </c>
      <c r="AN786" s="37">
        <v>0</v>
      </c>
      <c r="AO786" s="37">
        <v>0</v>
      </c>
      <c r="AP786" s="37">
        <v>0</v>
      </c>
      <c r="AQ786" s="37">
        <v>0</v>
      </c>
      <c r="AR786" s="37">
        <v>0</v>
      </c>
      <c r="AS786" s="59">
        <v>0</v>
      </c>
      <c r="AT786" s="59">
        <v>0</v>
      </c>
      <c r="AU786" s="45"/>
      <c r="AV786" s="37">
        <v>0</v>
      </c>
      <c r="AW786" s="37">
        <v>0</v>
      </c>
      <c r="AX786" s="37">
        <v>0</v>
      </c>
      <c r="AY786" s="37">
        <v>0</v>
      </c>
      <c r="AZ786" s="37">
        <v>0</v>
      </c>
      <c r="BA786" s="37">
        <v>0</v>
      </c>
      <c r="BB786" s="37">
        <v>0</v>
      </c>
      <c r="BC786" s="37">
        <v>0</v>
      </c>
      <c r="BD786" s="37">
        <v>0</v>
      </c>
      <c r="BE786" s="37">
        <v>0</v>
      </c>
      <c r="BF786" s="37">
        <v>0</v>
      </c>
      <c r="BG786" s="37">
        <v>0</v>
      </c>
      <c r="BH786" s="37">
        <v>0</v>
      </c>
      <c r="BI786" s="37">
        <v>0</v>
      </c>
      <c r="BJ786" s="37">
        <v>0</v>
      </c>
      <c r="BK786" s="59">
        <v>0</v>
      </c>
      <c r="BL786" s="37">
        <v>0</v>
      </c>
      <c r="BM786" s="37">
        <v>0</v>
      </c>
      <c r="BN786" s="37">
        <v>0</v>
      </c>
      <c r="BO786" s="37">
        <v>0</v>
      </c>
      <c r="BP786" s="37">
        <v>0</v>
      </c>
      <c r="BQ786" s="37">
        <v>0</v>
      </c>
      <c r="BR786" s="37">
        <v>0</v>
      </c>
      <c r="BS786" s="37">
        <v>0</v>
      </c>
      <c r="BT786" s="37">
        <v>0</v>
      </c>
      <c r="BU786" s="37">
        <v>0</v>
      </c>
      <c r="BV786" s="37">
        <v>0</v>
      </c>
      <c r="BW786" s="59">
        <v>0</v>
      </c>
      <c r="BX786" s="59">
        <v>0</v>
      </c>
      <c r="BZ786" s="37">
        <v>0</v>
      </c>
      <c r="CA786" s="37">
        <v>0</v>
      </c>
      <c r="CB786" s="37">
        <v>0</v>
      </c>
      <c r="CC786" s="37">
        <v>0</v>
      </c>
      <c r="CD786" s="37">
        <v>0</v>
      </c>
      <c r="CE786" s="37">
        <v>0</v>
      </c>
      <c r="CF786" s="37">
        <v>0</v>
      </c>
      <c r="CG786" s="59">
        <v>0</v>
      </c>
      <c r="CH786" s="37">
        <v>0</v>
      </c>
      <c r="CI786" s="37">
        <v>0</v>
      </c>
      <c r="CJ786" s="37">
        <v>0</v>
      </c>
      <c r="CK786" s="37">
        <v>0</v>
      </c>
      <c r="CL786" s="37">
        <v>0</v>
      </c>
      <c r="CM786" s="37">
        <v>0</v>
      </c>
      <c r="CN786" s="59">
        <v>0</v>
      </c>
      <c r="CO786" s="59">
        <v>0</v>
      </c>
      <c r="CP786" s="58"/>
      <c r="CQ786" s="3">
        <v>0</v>
      </c>
    </row>
    <row r="787" spans="1:95" customFormat="1" x14ac:dyDescent="0.2">
      <c r="A787" s="33">
        <v>0</v>
      </c>
      <c r="B787" s="33">
        <v>0</v>
      </c>
      <c r="C787" s="33">
        <v>0</v>
      </c>
      <c r="D787" s="43">
        <v>0</v>
      </c>
      <c r="E787" s="43">
        <v>0</v>
      </c>
      <c r="F787" s="43">
        <v>0</v>
      </c>
      <c r="G787" s="43">
        <v>0</v>
      </c>
      <c r="H787" s="43">
        <v>0</v>
      </c>
      <c r="I787" s="43">
        <v>0</v>
      </c>
      <c r="J787" s="43">
        <v>0</v>
      </c>
      <c r="K787" s="43">
        <v>0</v>
      </c>
      <c r="L787" s="43">
        <v>0</v>
      </c>
      <c r="M787" s="43">
        <v>0</v>
      </c>
      <c r="N787" s="43">
        <v>0</v>
      </c>
      <c r="O787" s="43">
        <v>0</v>
      </c>
      <c r="P787" s="47">
        <v>0</v>
      </c>
      <c r="R787" s="37">
        <v>0</v>
      </c>
      <c r="S787" s="37">
        <v>0</v>
      </c>
      <c r="T787" s="37">
        <v>0</v>
      </c>
      <c r="U787" s="37">
        <v>0</v>
      </c>
      <c r="V787" s="37">
        <v>0</v>
      </c>
      <c r="W787" s="37">
        <v>0</v>
      </c>
      <c r="X787" s="37">
        <v>0</v>
      </c>
      <c r="Y787" s="37">
        <v>0</v>
      </c>
      <c r="Z787" s="37">
        <v>0</v>
      </c>
      <c r="AA787" s="37">
        <v>0</v>
      </c>
      <c r="AB787" s="37">
        <v>0</v>
      </c>
      <c r="AC787" s="37">
        <v>0</v>
      </c>
      <c r="AD787" s="37">
        <v>0</v>
      </c>
      <c r="AE787" s="37">
        <v>0</v>
      </c>
      <c r="AF787" s="37">
        <v>0</v>
      </c>
      <c r="AG787" s="59">
        <v>0</v>
      </c>
      <c r="AH787" s="37">
        <v>0</v>
      </c>
      <c r="AI787" s="37">
        <v>0</v>
      </c>
      <c r="AJ787" s="37">
        <v>0</v>
      </c>
      <c r="AK787" s="37">
        <v>0</v>
      </c>
      <c r="AL787" s="37">
        <v>0</v>
      </c>
      <c r="AM787" s="37">
        <v>0</v>
      </c>
      <c r="AN787" s="37">
        <v>0</v>
      </c>
      <c r="AO787" s="37">
        <v>0</v>
      </c>
      <c r="AP787" s="37">
        <v>0</v>
      </c>
      <c r="AQ787" s="37">
        <v>0</v>
      </c>
      <c r="AR787" s="37">
        <v>0</v>
      </c>
      <c r="AS787" s="59">
        <v>0</v>
      </c>
      <c r="AT787" s="59">
        <v>0</v>
      </c>
      <c r="AU787" s="45"/>
      <c r="AV787" s="37">
        <v>0</v>
      </c>
      <c r="AW787" s="37">
        <v>0</v>
      </c>
      <c r="AX787" s="37">
        <v>0</v>
      </c>
      <c r="AY787" s="37">
        <v>0</v>
      </c>
      <c r="AZ787" s="37">
        <v>0</v>
      </c>
      <c r="BA787" s="37">
        <v>0</v>
      </c>
      <c r="BB787" s="37">
        <v>0</v>
      </c>
      <c r="BC787" s="37">
        <v>0</v>
      </c>
      <c r="BD787" s="37">
        <v>0</v>
      </c>
      <c r="BE787" s="37">
        <v>0</v>
      </c>
      <c r="BF787" s="37">
        <v>0</v>
      </c>
      <c r="BG787" s="37">
        <v>0</v>
      </c>
      <c r="BH787" s="37">
        <v>0</v>
      </c>
      <c r="BI787" s="37">
        <v>0</v>
      </c>
      <c r="BJ787" s="37">
        <v>0</v>
      </c>
      <c r="BK787" s="59">
        <v>0</v>
      </c>
      <c r="BL787" s="37">
        <v>0</v>
      </c>
      <c r="BM787" s="37">
        <v>0</v>
      </c>
      <c r="BN787" s="37">
        <v>0</v>
      </c>
      <c r="BO787" s="37">
        <v>0</v>
      </c>
      <c r="BP787" s="37">
        <v>0</v>
      </c>
      <c r="BQ787" s="37">
        <v>0</v>
      </c>
      <c r="BR787" s="37">
        <v>0</v>
      </c>
      <c r="BS787" s="37">
        <v>0</v>
      </c>
      <c r="BT787" s="37">
        <v>0</v>
      </c>
      <c r="BU787" s="37">
        <v>0</v>
      </c>
      <c r="BV787" s="37">
        <v>0</v>
      </c>
      <c r="BW787" s="59">
        <v>0</v>
      </c>
      <c r="BX787" s="59">
        <v>0</v>
      </c>
      <c r="BZ787" s="37">
        <v>0</v>
      </c>
      <c r="CA787" s="37">
        <v>0</v>
      </c>
      <c r="CB787" s="37">
        <v>0</v>
      </c>
      <c r="CC787" s="37">
        <v>0</v>
      </c>
      <c r="CD787" s="37">
        <v>0</v>
      </c>
      <c r="CE787" s="37">
        <v>0</v>
      </c>
      <c r="CF787" s="37">
        <v>0</v>
      </c>
      <c r="CG787" s="59">
        <v>0</v>
      </c>
      <c r="CH787" s="37">
        <v>0</v>
      </c>
      <c r="CI787" s="37">
        <v>0</v>
      </c>
      <c r="CJ787" s="37">
        <v>0</v>
      </c>
      <c r="CK787" s="37">
        <v>0</v>
      </c>
      <c r="CL787" s="37">
        <v>0</v>
      </c>
      <c r="CM787" s="37">
        <v>0</v>
      </c>
      <c r="CN787" s="59">
        <v>0</v>
      </c>
      <c r="CO787" s="59">
        <v>0</v>
      </c>
      <c r="CP787" s="58"/>
      <c r="CQ787" s="3">
        <v>0</v>
      </c>
    </row>
    <row r="788" spans="1:95" customFormat="1" x14ac:dyDescent="0.2">
      <c r="A788" s="33">
        <v>0</v>
      </c>
      <c r="B788" s="33">
        <v>0</v>
      </c>
      <c r="C788" s="33">
        <v>0</v>
      </c>
      <c r="D788" s="43">
        <v>0</v>
      </c>
      <c r="E788" s="43">
        <v>0</v>
      </c>
      <c r="F788" s="43">
        <v>0</v>
      </c>
      <c r="G788" s="43">
        <v>0</v>
      </c>
      <c r="H788" s="43">
        <v>0</v>
      </c>
      <c r="I788" s="43">
        <v>0</v>
      </c>
      <c r="J788" s="43">
        <v>0</v>
      </c>
      <c r="K788" s="43">
        <v>0</v>
      </c>
      <c r="L788" s="43">
        <v>0</v>
      </c>
      <c r="M788" s="43">
        <v>0</v>
      </c>
      <c r="N788" s="43">
        <v>0</v>
      </c>
      <c r="O788" s="43">
        <v>0</v>
      </c>
      <c r="P788" s="47">
        <v>0</v>
      </c>
      <c r="R788" s="37">
        <v>0</v>
      </c>
      <c r="S788" s="37">
        <v>0</v>
      </c>
      <c r="T788" s="37">
        <v>0</v>
      </c>
      <c r="U788" s="37">
        <v>0</v>
      </c>
      <c r="V788" s="37">
        <v>0</v>
      </c>
      <c r="W788" s="37">
        <v>0</v>
      </c>
      <c r="X788" s="37">
        <v>0</v>
      </c>
      <c r="Y788" s="37">
        <v>0</v>
      </c>
      <c r="Z788" s="37">
        <v>0</v>
      </c>
      <c r="AA788" s="37">
        <v>0</v>
      </c>
      <c r="AB788" s="37">
        <v>0</v>
      </c>
      <c r="AC788" s="37">
        <v>0</v>
      </c>
      <c r="AD788" s="37">
        <v>0</v>
      </c>
      <c r="AE788" s="37">
        <v>0</v>
      </c>
      <c r="AF788" s="37">
        <v>0</v>
      </c>
      <c r="AG788" s="59">
        <v>0</v>
      </c>
      <c r="AH788" s="37">
        <v>0</v>
      </c>
      <c r="AI788" s="37">
        <v>0</v>
      </c>
      <c r="AJ788" s="37">
        <v>0</v>
      </c>
      <c r="AK788" s="37">
        <v>0</v>
      </c>
      <c r="AL788" s="37">
        <v>0</v>
      </c>
      <c r="AM788" s="37">
        <v>0</v>
      </c>
      <c r="AN788" s="37">
        <v>0</v>
      </c>
      <c r="AO788" s="37">
        <v>0</v>
      </c>
      <c r="AP788" s="37">
        <v>0</v>
      </c>
      <c r="AQ788" s="37">
        <v>0</v>
      </c>
      <c r="AR788" s="37">
        <v>0</v>
      </c>
      <c r="AS788" s="59">
        <v>0</v>
      </c>
      <c r="AT788" s="59">
        <v>0</v>
      </c>
      <c r="AU788" s="45"/>
      <c r="AV788" s="37">
        <v>0</v>
      </c>
      <c r="AW788" s="37">
        <v>0</v>
      </c>
      <c r="AX788" s="37">
        <v>0</v>
      </c>
      <c r="AY788" s="37">
        <v>0</v>
      </c>
      <c r="AZ788" s="37">
        <v>0</v>
      </c>
      <c r="BA788" s="37">
        <v>0</v>
      </c>
      <c r="BB788" s="37">
        <v>0</v>
      </c>
      <c r="BC788" s="37">
        <v>0</v>
      </c>
      <c r="BD788" s="37">
        <v>0</v>
      </c>
      <c r="BE788" s="37">
        <v>0</v>
      </c>
      <c r="BF788" s="37">
        <v>0</v>
      </c>
      <c r="BG788" s="37">
        <v>0</v>
      </c>
      <c r="BH788" s="37">
        <v>0</v>
      </c>
      <c r="BI788" s="37">
        <v>0</v>
      </c>
      <c r="BJ788" s="37">
        <v>0</v>
      </c>
      <c r="BK788" s="59">
        <v>0</v>
      </c>
      <c r="BL788" s="37">
        <v>0</v>
      </c>
      <c r="BM788" s="37">
        <v>0</v>
      </c>
      <c r="BN788" s="37">
        <v>0</v>
      </c>
      <c r="BO788" s="37">
        <v>0</v>
      </c>
      <c r="BP788" s="37">
        <v>0</v>
      </c>
      <c r="BQ788" s="37">
        <v>0</v>
      </c>
      <c r="BR788" s="37">
        <v>0</v>
      </c>
      <c r="BS788" s="37">
        <v>0</v>
      </c>
      <c r="BT788" s="37">
        <v>0</v>
      </c>
      <c r="BU788" s="37">
        <v>0</v>
      </c>
      <c r="BV788" s="37">
        <v>0</v>
      </c>
      <c r="BW788" s="59">
        <v>0</v>
      </c>
      <c r="BX788" s="59">
        <v>0</v>
      </c>
      <c r="BZ788" s="37">
        <v>0</v>
      </c>
      <c r="CA788" s="37">
        <v>0</v>
      </c>
      <c r="CB788" s="37">
        <v>0</v>
      </c>
      <c r="CC788" s="37">
        <v>0</v>
      </c>
      <c r="CD788" s="37">
        <v>0</v>
      </c>
      <c r="CE788" s="37">
        <v>0</v>
      </c>
      <c r="CF788" s="37">
        <v>0</v>
      </c>
      <c r="CG788" s="59">
        <v>0</v>
      </c>
      <c r="CH788" s="37">
        <v>0</v>
      </c>
      <c r="CI788" s="37">
        <v>0</v>
      </c>
      <c r="CJ788" s="37">
        <v>0</v>
      </c>
      <c r="CK788" s="37">
        <v>0</v>
      </c>
      <c r="CL788" s="37">
        <v>0</v>
      </c>
      <c r="CM788" s="37">
        <v>0</v>
      </c>
      <c r="CN788" s="59">
        <v>0</v>
      </c>
      <c r="CO788" s="59">
        <v>0</v>
      </c>
      <c r="CP788" s="58"/>
      <c r="CQ788" s="3">
        <v>0</v>
      </c>
    </row>
    <row r="789" spans="1:95" customFormat="1" x14ac:dyDescent="0.2">
      <c r="A789" s="33">
        <v>0</v>
      </c>
      <c r="B789" s="33">
        <v>0</v>
      </c>
      <c r="C789" s="33">
        <v>0</v>
      </c>
      <c r="D789" s="43">
        <v>0</v>
      </c>
      <c r="E789" s="43">
        <v>0</v>
      </c>
      <c r="F789" s="43">
        <v>0</v>
      </c>
      <c r="G789" s="43">
        <v>0</v>
      </c>
      <c r="H789" s="43">
        <v>0</v>
      </c>
      <c r="I789" s="43">
        <v>0</v>
      </c>
      <c r="J789" s="43">
        <v>0</v>
      </c>
      <c r="K789" s="43">
        <v>0</v>
      </c>
      <c r="L789" s="43">
        <v>0</v>
      </c>
      <c r="M789" s="43">
        <v>0</v>
      </c>
      <c r="N789" s="43">
        <v>0</v>
      </c>
      <c r="O789" s="43">
        <v>0</v>
      </c>
      <c r="P789" s="47">
        <v>0</v>
      </c>
      <c r="R789" s="37">
        <v>0</v>
      </c>
      <c r="S789" s="37">
        <v>0</v>
      </c>
      <c r="T789" s="37">
        <v>0</v>
      </c>
      <c r="U789" s="37">
        <v>0</v>
      </c>
      <c r="V789" s="37">
        <v>0</v>
      </c>
      <c r="W789" s="37">
        <v>0</v>
      </c>
      <c r="X789" s="37">
        <v>0</v>
      </c>
      <c r="Y789" s="37">
        <v>0</v>
      </c>
      <c r="Z789" s="37">
        <v>0</v>
      </c>
      <c r="AA789" s="37">
        <v>0</v>
      </c>
      <c r="AB789" s="37">
        <v>0</v>
      </c>
      <c r="AC789" s="37">
        <v>0</v>
      </c>
      <c r="AD789" s="37">
        <v>0</v>
      </c>
      <c r="AE789" s="37">
        <v>0</v>
      </c>
      <c r="AF789" s="37">
        <v>0</v>
      </c>
      <c r="AG789" s="59">
        <v>0</v>
      </c>
      <c r="AH789" s="37">
        <v>0</v>
      </c>
      <c r="AI789" s="37">
        <v>0</v>
      </c>
      <c r="AJ789" s="37">
        <v>0</v>
      </c>
      <c r="AK789" s="37">
        <v>0</v>
      </c>
      <c r="AL789" s="37">
        <v>0</v>
      </c>
      <c r="AM789" s="37">
        <v>0</v>
      </c>
      <c r="AN789" s="37">
        <v>0</v>
      </c>
      <c r="AO789" s="37">
        <v>0</v>
      </c>
      <c r="AP789" s="37">
        <v>0</v>
      </c>
      <c r="AQ789" s="37">
        <v>0</v>
      </c>
      <c r="AR789" s="37">
        <v>0</v>
      </c>
      <c r="AS789" s="59">
        <v>0</v>
      </c>
      <c r="AT789" s="59">
        <v>0</v>
      </c>
      <c r="AU789" s="45"/>
      <c r="AV789" s="37">
        <v>0</v>
      </c>
      <c r="AW789" s="37">
        <v>0</v>
      </c>
      <c r="AX789" s="37">
        <v>0</v>
      </c>
      <c r="AY789" s="37">
        <v>0</v>
      </c>
      <c r="AZ789" s="37">
        <v>0</v>
      </c>
      <c r="BA789" s="37">
        <v>0</v>
      </c>
      <c r="BB789" s="37">
        <v>0</v>
      </c>
      <c r="BC789" s="37">
        <v>0</v>
      </c>
      <c r="BD789" s="37">
        <v>0</v>
      </c>
      <c r="BE789" s="37">
        <v>0</v>
      </c>
      <c r="BF789" s="37">
        <v>0</v>
      </c>
      <c r="BG789" s="37">
        <v>0</v>
      </c>
      <c r="BH789" s="37">
        <v>0</v>
      </c>
      <c r="BI789" s="37">
        <v>0</v>
      </c>
      <c r="BJ789" s="37">
        <v>0</v>
      </c>
      <c r="BK789" s="59">
        <v>0</v>
      </c>
      <c r="BL789" s="37">
        <v>0</v>
      </c>
      <c r="BM789" s="37">
        <v>0</v>
      </c>
      <c r="BN789" s="37">
        <v>0</v>
      </c>
      <c r="BO789" s="37">
        <v>0</v>
      </c>
      <c r="BP789" s="37">
        <v>0</v>
      </c>
      <c r="BQ789" s="37">
        <v>0</v>
      </c>
      <c r="BR789" s="37">
        <v>0</v>
      </c>
      <c r="BS789" s="37">
        <v>0</v>
      </c>
      <c r="BT789" s="37">
        <v>0</v>
      </c>
      <c r="BU789" s="37">
        <v>0</v>
      </c>
      <c r="BV789" s="37">
        <v>0</v>
      </c>
      <c r="BW789" s="59">
        <v>0</v>
      </c>
      <c r="BX789" s="59">
        <v>0</v>
      </c>
      <c r="BZ789" s="37">
        <v>0</v>
      </c>
      <c r="CA789" s="37">
        <v>0</v>
      </c>
      <c r="CB789" s="37">
        <v>0</v>
      </c>
      <c r="CC789" s="37">
        <v>0</v>
      </c>
      <c r="CD789" s="37">
        <v>0</v>
      </c>
      <c r="CE789" s="37">
        <v>0</v>
      </c>
      <c r="CF789" s="37">
        <v>0</v>
      </c>
      <c r="CG789" s="59">
        <v>0</v>
      </c>
      <c r="CH789" s="37">
        <v>0</v>
      </c>
      <c r="CI789" s="37">
        <v>0</v>
      </c>
      <c r="CJ789" s="37">
        <v>0</v>
      </c>
      <c r="CK789" s="37">
        <v>0</v>
      </c>
      <c r="CL789" s="37">
        <v>0</v>
      </c>
      <c r="CM789" s="37">
        <v>0</v>
      </c>
      <c r="CN789" s="59">
        <v>0</v>
      </c>
      <c r="CO789" s="59">
        <v>0</v>
      </c>
      <c r="CP789" s="58"/>
      <c r="CQ789" s="3">
        <v>0</v>
      </c>
    </row>
    <row r="790" spans="1:95" customFormat="1" x14ac:dyDescent="0.2">
      <c r="A790" s="33">
        <v>0</v>
      </c>
      <c r="B790" s="33">
        <v>0</v>
      </c>
      <c r="C790" s="33">
        <v>0</v>
      </c>
      <c r="D790" s="43">
        <v>0</v>
      </c>
      <c r="E790" s="43">
        <v>0</v>
      </c>
      <c r="F790" s="43">
        <v>0</v>
      </c>
      <c r="G790" s="43">
        <v>0</v>
      </c>
      <c r="H790" s="43">
        <v>0</v>
      </c>
      <c r="I790" s="43">
        <v>0</v>
      </c>
      <c r="J790" s="43">
        <v>0</v>
      </c>
      <c r="K790" s="43">
        <v>0</v>
      </c>
      <c r="L790" s="43">
        <v>0</v>
      </c>
      <c r="M790" s="43">
        <v>0</v>
      </c>
      <c r="N790" s="43">
        <v>0</v>
      </c>
      <c r="O790" s="43">
        <v>0</v>
      </c>
      <c r="P790" s="47">
        <v>0</v>
      </c>
      <c r="R790" s="37">
        <v>0</v>
      </c>
      <c r="S790" s="37">
        <v>0</v>
      </c>
      <c r="T790" s="37">
        <v>0</v>
      </c>
      <c r="U790" s="37">
        <v>0</v>
      </c>
      <c r="V790" s="37">
        <v>0</v>
      </c>
      <c r="W790" s="37">
        <v>0</v>
      </c>
      <c r="X790" s="37">
        <v>0</v>
      </c>
      <c r="Y790" s="37">
        <v>0</v>
      </c>
      <c r="Z790" s="37">
        <v>0</v>
      </c>
      <c r="AA790" s="37">
        <v>0</v>
      </c>
      <c r="AB790" s="37">
        <v>0</v>
      </c>
      <c r="AC790" s="37">
        <v>0</v>
      </c>
      <c r="AD790" s="37">
        <v>0</v>
      </c>
      <c r="AE790" s="37">
        <v>0</v>
      </c>
      <c r="AF790" s="37">
        <v>0</v>
      </c>
      <c r="AG790" s="59">
        <v>0</v>
      </c>
      <c r="AH790" s="37">
        <v>0</v>
      </c>
      <c r="AI790" s="37">
        <v>0</v>
      </c>
      <c r="AJ790" s="37">
        <v>0</v>
      </c>
      <c r="AK790" s="37">
        <v>0</v>
      </c>
      <c r="AL790" s="37">
        <v>0</v>
      </c>
      <c r="AM790" s="37">
        <v>0</v>
      </c>
      <c r="AN790" s="37">
        <v>0</v>
      </c>
      <c r="AO790" s="37">
        <v>0</v>
      </c>
      <c r="AP790" s="37">
        <v>0</v>
      </c>
      <c r="AQ790" s="37">
        <v>0</v>
      </c>
      <c r="AR790" s="37">
        <v>0</v>
      </c>
      <c r="AS790" s="59">
        <v>0</v>
      </c>
      <c r="AT790" s="59">
        <v>0</v>
      </c>
      <c r="AU790" s="45"/>
      <c r="AV790" s="37">
        <v>0</v>
      </c>
      <c r="AW790" s="37">
        <v>0</v>
      </c>
      <c r="AX790" s="37">
        <v>0</v>
      </c>
      <c r="AY790" s="37">
        <v>0</v>
      </c>
      <c r="AZ790" s="37">
        <v>0</v>
      </c>
      <c r="BA790" s="37">
        <v>0</v>
      </c>
      <c r="BB790" s="37">
        <v>0</v>
      </c>
      <c r="BC790" s="37">
        <v>0</v>
      </c>
      <c r="BD790" s="37">
        <v>0</v>
      </c>
      <c r="BE790" s="37">
        <v>0</v>
      </c>
      <c r="BF790" s="37">
        <v>0</v>
      </c>
      <c r="BG790" s="37">
        <v>0</v>
      </c>
      <c r="BH790" s="37">
        <v>0</v>
      </c>
      <c r="BI790" s="37">
        <v>0</v>
      </c>
      <c r="BJ790" s="37">
        <v>0</v>
      </c>
      <c r="BK790" s="59">
        <v>0</v>
      </c>
      <c r="BL790" s="37">
        <v>0</v>
      </c>
      <c r="BM790" s="37">
        <v>0</v>
      </c>
      <c r="BN790" s="37">
        <v>0</v>
      </c>
      <c r="BO790" s="37">
        <v>0</v>
      </c>
      <c r="BP790" s="37">
        <v>0</v>
      </c>
      <c r="BQ790" s="37">
        <v>0</v>
      </c>
      <c r="BR790" s="37">
        <v>0</v>
      </c>
      <c r="BS790" s="37">
        <v>0</v>
      </c>
      <c r="BT790" s="37">
        <v>0</v>
      </c>
      <c r="BU790" s="37">
        <v>0</v>
      </c>
      <c r="BV790" s="37">
        <v>0</v>
      </c>
      <c r="BW790" s="59">
        <v>0</v>
      </c>
      <c r="BX790" s="59">
        <v>0</v>
      </c>
      <c r="BZ790" s="37">
        <v>0</v>
      </c>
      <c r="CA790" s="37">
        <v>0</v>
      </c>
      <c r="CB790" s="37">
        <v>0</v>
      </c>
      <c r="CC790" s="37">
        <v>0</v>
      </c>
      <c r="CD790" s="37">
        <v>0</v>
      </c>
      <c r="CE790" s="37">
        <v>0</v>
      </c>
      <c r="CF790" s="37">
        <v>0</v>
      </c>
      <c r="CG790" s="59">
        <v>0</v>
      </c>
      <c r="CH790" s="37">
        <v>0</v>
      </c>
      <c r="CI790" s="37">
        <v>0</v>
      </c>
      <c r="CJ790" s="37">
        <v>0</v>
      </c>
      <c r="CK790" s="37">
        <v>0</v>
      </c>
      <c r="CL790" s="37">
        <v>0</v>
      </c>
      <c r="CM790" s="37">
        <v>0</v>
      </c>
      <c r="CN790" s="59">
        <v>0</v>
      </c>
      <c r="CO790" s="59">
        <v>0</v>
      </c>
      <c r="CP790" s="58"/>
      <c r="CQ790" s="3">
        <v>0</v>
      </c>
    </row>
    <row r="791" spans="1:95" customFormat="1" x14ac:dyDescent="0.2">
      <c r="A791" s="33">
        <v>0</v>
      </c>
      <c r="B791" s="33">
        <v>0</v>
      </c>
      <c r="C791" s="33">
        <v>0</v>
      </c>
      <c r="D791" s="43">
        <v>0</v>
      </c>
      <c r="E791" s="43">
        <v>0</v>
      </c>
      <c r="F791" s="43">
        <v>0</v>
      </c>
      <c r="G791" s="43">
        <v>0</v>
      </c>
      <c r="H791" s="43">
        <v>0</v>
      </c>
      <c r="I791" s="43">
        <v>0</v>
      </c>
      <c r="J791" s="43">
        <v>0</v>
      </c>
      <c r="K791" s="43">
        <v>0</v>
      </c>
      <c r="L791" s="43">
        <v>0</v>
      </c>
      <c r="M791" s="43">
        <v>0</v>
      </c>
      <c r="N791" s="43">
        <v>0</v>
      </c>
      <c r="O791" s="43">
        <v>0</v>
      </c>
      <c r="P791" s="47">
        <v>0</v>
      </c>
      <c r="R791" s="37">
        <v>0</v>
      </c>
      <c r="S791" s="37">
        <v>0</v>
      </c>
      <c r="T791" s="37">
        <v>0</v>
      </c>
      <c r="U791" s="37">
        <v>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7">
        <v>0</v>
      </c>
      <c r="AB791" s="37">
        <v>0</v>
      </c>
      <c r="AC791" s="37">
        <v>0</v>
      </c>
      <c r="AD791" s="37">
        <v>0</v>
      </c>
      <c r="AE791" s="37">
        <v>0</v>
      </c>
      <c r="AF791" s="37">
        <v>0</v>
      </c>
      <c r="AG791" s="59">
        <v>0</v>
      </c>
      <c r="AH791" s="37">
        <v>0</v>
      </c>
      <c r="AI791" s="37">
        <v>0</v>
      </c>
      <c r="AJ791" s="37">
        <v>0</v>
      </c>
      <c r="AK791" s="37">
        <v>0</v>
      </c>
      <c r="AL791" s="37">
        <v>0</v>
      </c>
      <c r="AM791" s="37">
        <v>0</v>
      </c>
      <c r="AN791" s="37">
        <v>0</v>
      </c>
      <c r="AO791" s="37">
        <v>0</v>
      </c>
      <c r="AP791" s="37">
        <v>0</v>
      </c>
      <c r="AQ791" s="37">
        <v>0</v>
      </c>
      <c r="AR791" s="37">
        <v>0</v>
      </c>
      <c r="AS791" s="59">
        <v>0</v>
      </c>
      <c r="AT791" s="59">
        <v>0</v>
      </c>
      <c r="AU791" s="45"/>
      <c r="AV791" s="37">
        <v>0</v>
      </c>
      <c r="AW791" s="37">
        <v>0</v>
      </c>
      <c r="AX791" s="37">
        <v>0</v>
      </c>
      <c r="AY791" s="37">
        <v>0</v>
      </c>
      <c r="AZ791" s="37">
        <v>0</v>
      </c>
      <c r="BA791" s="37">
        <v>0</v>
      </c>
      <c r="BB791" s="37">
        <v>0</v>
      </c>
      <c r="BC791" s="37">
        <v>0</v>
      </c>
      <c r="BD791" s="37">
        <v>0</v>
      </c>
      <c r="BE791" s="37">
        <v>0</v>
      </c>
      <c r="BF791" s="37">
        <v>0</v>
      </c>
      <c r="BG791" s="37">
        <v>0</v>
      </c>
      <c r="BH791" s="37">
        <v>0</v>
      </c>
      <c r="BI791" s="37">
        <v>0</v>
      </c>
      <c r="BJ791" s="37">
        <v>0</v>
      </c>
      <c r="BK791" s="59">
        <v>0</v>
      </c>
      <c r="BL791" s="37">
        <v>0</v>
      </c>
      <c r="BM791" s="37">
        <v>0</v>
      </c>
      <c r="BN791" s="37">
        <v>0</v>
      </c>
      <c r="BO791" s="37">
        <v>0</v>
      </c>
      <c r="BP791" s="37">
        <v>0</v>
      </c>
      <c r="BQ791" s="37">
        <v>0</v>
      </c>
      <c r="BR791" s="37">
        <v>0</v>
      </c>
      <c r="BS791" s="37">
        <v>0</v>
      </c>
      <c r="BT791" s="37">
        <v>0</v>
      </c>
      <c r="BU791" s="37">
        <v>0</v>
      </c>
      <c r="BV791" s="37">
        <v>0</v>
      </c>
      <c r="BW791" s="59">
        <v>0</v>
      </c>
      <c r="BX791" s="59">
        <v>0</v>
      </c>
      <c r="BZ791" s="37">
        <v>0</v>
      </c>
      <c r="CA791" s="37">
        <v>0</v>
      </c>
      <c r="CB791" s="37">
        <v>0</v>
      </c>
      <c r="CC791" s="37">
        <v>0</v>
      </c>
      <c r="CD791" s="37">
        <v>0</v>
      </c>
      <c r="CE791" s="37">
        <v>0</v>
      </c>
      <c r="CF791" s="37">
        <v>0</v>
      </c>
      <c r="CG791" s="59">
        <v>0</v>
      </c>
      <c r="CH791" s="37">
        <v>0</v>
      </c>
      <c r="CI791" s="37">
        <v>0</v>
      </c>
      <c r="CJ791" s="37">
        <v>0</v>
      </c>
      <c r="CK791" s="37">
        <v>0</v>
      </c>
      <c r="CL791" s="37">
        <v>0</v>
      </c>
      <c r="CM791" s="37">
        <v>0</v>
      </c>
      <c r="CN791" s="59">
        <v>0</v>
      </c>
      <c r="CO791" s="59">
        <v>0</v>
      </c>
      <c r="CP791" s="58"/>
      <c r="CQ791" s="3">
        <v>0</v>
      </c>
    </row>
    <row r="792" spans="1:95" customFormat="1" x14ac:dyDescent="0.2">
      <c r="A792" s="33">
        <v>0</v>
      </c>
      <c r="B792" s="33">
        <v>0</v>
      </c>
      <c r="C792" s="33">
        <v>0</v>
      </c>
      <c r="D792" s="43">
        <v>0</v>
      </c>
      <c r="E792" s="43">
        <v>0</v>
      </c>
      <c r="F792" s="43">
        <v>0</v>
      </c>
      <c r="G792" s="43">
        <v>0</v>
      </c>
      <c r="H792" s="43">
        <v>0</v>
      </c>
      <c r="I792" s="43">
        <v>0</v>
      </c>
      <c r="J792" s="43">
        <v>0</v>
      </c>
      <c r="K792" s="43">
        <v>0</v>
      </c>
      <c r="L792" s="43">
        <v>0</v>
      </c>
      <c r="M792" s="43">
        <v>0</v>
      </c>
      <c r="N792" s="43">
        <v>0</v>
      </c>
      <c r="O792" s="43">
        <v>0</v>
      </c>
      <c r="P792" s="47">
        <v>0</v>
      </c>
      <c r="R792" s="37">
        <v>0</v>
      </c>
      <c r="S792" s="37">
        <v>0</v>
      </c>
      <c r="T792" s="37">
        <v>0</v>
      </c>
      <c r="U792" s="37">
        <v>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7">
        <v>0</v>
      </c>
      <c r="AB792" s="37">
        <v>0</v>
      </c>
      <c r="AC792" s="37">
        <v>0</v>
      </c>
      <c r="AD792" s="37">
        <v>0</v>
      </c>
      <c r="AE792" s="37">
        <v>0</v>
      </c>
      <c r="AF792" s="37">
        <v>0</v>
      </c>
      <c r="AG792" s="59">
        <v>0</v>
      </c>
      <c r="AH792" s="37">
        <v>0</v>
      </c>
      <c r="AI792" s="37">
        <v>0</v>
      </c>
      <c r="AJ792" s="37">
        <v>0</v>
      </c>
      <c r="AK792" s="37">
        <v>0</v>
      </c>
      <c r="AL792" s="37">
        <v>0</v>
      </c>
      <c r="AM792" s="37">
        <v>0</v>
      </c>
      <c r="AN792" s="37">
        <v>0</v>
      </c>
      <c r="AO792" s="37">
        <v>0</v>
      </c>
      <c r="AP792" s="37">
        <v>0</v>
      </c>
      <c r="AQ792" s="37">
        <v>0</v>
      </c>
      <c r="AR792" s="37">
        <v>0</v>
      </c>
      <c r="AS792" s="59">
        <v>0</v>
      </c>
      <c r="AT792" s="59">
        <v>0</v>
      </c>
      <c r="AU792" s="45"/>
      <c r="AV792" s="37">
        <v>0</v>
      </c>
      <c r="AW792" s="37">
        <v>0</v>
      </c>
      <c r="AX792" s="37">
        <v>0</v>
      </c>
      <c r="AY792" s="37">
        <v>0</v>
      </c>
      <c r="AZ792" s="37">
        <v>0</v>
      </c>
      <c r="BA792" s="37">
        <v>0</v>
      </c>
      <c r="BB792" s="37">
        <v>0</v>
      </c>
      <c r="BC792" s="37">
        <v>0</v>
      </c>
      <c r="BD792" s="37">
        <v>0</v>
      </c>
      <c r="BE792" s="37">
        <v>0</v>
      </c>
      <c r="BF792" s="37">
        <v>0</v>
      </c>
      <c r="BG792" s="37">
        <v>0</v>
      </c>
      <c r="BH792" s="37">
        <v>0</v>
      </c>
      <c r="BI792" s="37">
        <v>0</v>
      </c>
      <c r="BJ792" s="37">
        <v>0</v>
      </c>
      <c r="BK792" s="59">
        <v>0</v>
      </c>
      <c r="BL792" s="37">
        <v>0</v>
      </c>
      <c r="BM792" s="37">
        <v>0</v>
      </c>
      <c r="BN792" s="37">
        <v>0</v>
      </c>
      <c r="BO792" s="37">
        <v>0</v>
      </c>
      <c r="BP792" s="37">
        <v>0</v>
      </c>
      <c r="BQ792" s="37">
        <v>0</v>
      </c>
      <c r="BR792" s="37">
        <v>0</v>
      </c>
      <c r="BS792" s="37">
        <v>0</v>
      </c>
      <c r="BT792" s="37">
        <v>0</v>
      </c>
      <c r="BU792" s="37">
        <v>0</v>
      </c>
      <c r="BV792" s="37">
        <v>0</v>
      </c>
      <c r="BW792" s="59">
        <v>0</v>
      </c>
      <c r="BX792" s="59">
        <v>0</v>
      </c>
      <c r="BZ792" s="37">
        <v>0</v>
      </c>
      <c r="CA792" s="37">
        <v>0</v>
      </c>
      <c r="CB792" s="37">
        <v>0</v>
      </c>
      <c r="CC792" s="37">
        <v>0</v>
      </c>
      <c r="CD792" s="37">
        <v>0</v>
      </c>
      <c r="CE792" s="37">
        <v>0</v>
      </c>
      <c r="CF792" s="37">
        <v>0</v>
      </c>
      <c r="CG792" s="59">
        <v>0</v>
      </c>
      <c r="CH792" s="37">
        <v>0</v>
      </c>
      <c r="CI792" s="37">
        <v>0</v>
      </c>
      <c r="CJ792" s="37">
        <v>0</v>
      </c>
      <c r="CK792" s="37">
        <v>0</v>
      </c>
      <c r="CL792" s="37">
        <v>0</v>
      </c>
      <c r="CM792" s="37">
        <v>0</v>
      </c>
      <c r="CN792" s="59">
        <v>0</v>
      </c>
      <c r="CO792" s="59">
        <v>0</v>
      </c>
      <c r="CP792" s="58"/>
      <c r="CQ792" s="3">
        <v>0</v>
      </c>
    </row>
    <row r="793" spans="1:95" customFormat="1" x14ac:dyDescent="0.2">
      <c r="A793" s="33">
        <v>0</v>
      </c>
      <c r="B793" s="33">
        <v>0</v>
      </c>
      <c r="C793" s="33">
        <v>0</v>
      </c>
      <c r="D793" s="43">
        <v>0</v>
      </c>
      <c r="E793" s="43">
        <v>0</v>
      </c>
      <c r="F793" s="43">
        <v>0</v>
      </c>
      <c r="G793" s="43">
        <v>0</v>
      </c>
      <c r="H793" s="43">
        <v>0</v>
      </c>
      <c r="I793" s="43">
        <v>0</v>
      </c>
      <c r="J793" s="43">
        <v>0</v>
      </c>
      <c r="K793" s="43">
        <v>0</v>
      </c>
      <c r="L793" s="43">
        <v>0</v>
      </c>
      <c r="M793" s="43">
        <v>0</v>
      </c>
      <c r="N793" s="43">
        <v>0</v>
      </c>
      <c r="O793" s="43">
        <v>0</v>
      </c>
      <c r="P793" s="47">
        <v>0</v>
      </c>
      <c r="R793" s="37">
        <v>0</v>
      </c>
      <c r="S793" s="37">
        <v>0</v>
      </c>
      <c r="T793" s="37">
        <v>0</v>
      </c>
      <c r="U793" s="37">
        <v>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7">
        <v>0</v>
      </c>
      <c r="AB793" s="37">
        <v>0</v>
      </c>
      <c r="AC793" s="37">
        <v>0</v>
      </c>
      <c r="AD793" s="37">
        <v>0</v>
      </c>
      <c r="AE793" s="37">
        <v>0</v>
      </c>
      <c r="AF793" s="37">
        <v>0</v>
      </c>
      <c r="AG793" s="59">
        <v>0</v>
      </c>
      <c r="AH793" s="37">
        <v>0</v>
      </c>
      <c r="AI793" s="37">
        <v>0</v>
      </c>
      <c r="AJ793" s="37">
        <v>0</v>
      </c>
      <c r="AK793" s="37">
        <v>0</v>
      </c>
      <c r="AL793" s="37">
        <v>0</v>
      </c>
      <c r="AM793" s="37">
        <v>0</v>
      </c>
      <c r="AN793" s="37">
        <v>0</v>
      </c>
      <c r="AO793" s="37">
        <v>0</v>
      </c>
      <c r="AP793" s="37">
        <v>0</v>
      </c>
      <c r="AQ793" s="37">
        <v>0</v>
      </c>
      <c r="AR793" s="37">
        <v>0</v>
      </c>
      <c r="AS793" s="59">
        <v>0</v>
      </c>
      <c r="AT793" s="59">
        <v>0</v>
      </c>
      <c r="AU793" s="45"/>
      <c r="AV793" s="37">
        <v>0</v>
      </c>
      <c r="AW793" s="37">
        <v>0</v>
      </c>
      <c r="AX793" s="37">
        <v>0</v>
      </c>
      <c r="AY793" s="37">
        <v>0</v>
      </c>
      <c r="AZ793" s="37">
        <v>0</v>
      </c>
      <c r="BA793" s="37">
        <v>0</v>
      </c>
      <c r="BB793" s="37">
        <v>0</v>
      </c>
      <c r="BC793" s="37">
        <v>0</v>
      </c>
      <c r="BD793" s="37">
        <v>0</v>
      </c>
      <c r="BE793" s="37">
        <v>0</v>
      </c>
      <c r="BF793" s="37">
        <v>0</v>
      </c>
      <c r="BG793" s="37">
        <v>0</v>
      </c>
      <c r="BH793" s="37">
        <v>0</v>
      </c>
      <c r="BI793" s="37">
        <v>0</v>
      </c>
      <c r="BJ793" s="37">
        <v>0</v>
      </c>
      <c r="BK793" s="59">
        <v>0</v>
      </c>
      <c r="BL793" s="37">
        <v>0</v>
      </c>
      <c r="BM793" s="37">
        <v>0</v>
      </c>
      <c r="BN793" s="37">
        <v>0</v>
      </c>
      <c r="BO793" s="37">
        <v>0</v>
      </c>
      <c r="BP793" s="37">
        <v>0</v>
      </c>
      <c r="BQ793" s="37">
        <v>0</v>
      </c>
      <c r="BR793" s="37">
        <v>0</v>
      </c>
      <c r="BS793" s="37">
        <v>0</v>
      </c>
      <c r="BT793" s="37">
        <v>0</v>
      </c>
      <c r="BU793" s="37">
        <v>0</v>
      </c>
      <c r="BV793" s="37">
        <v>0</v>
      </c>
      <c r="BW793" s="59">
        <v>0</v>
      </c>
      <c r="BX793" s="59">
        <v>0</v>
      </c>
      <c r="BZ793" s="37">
        <v>0</v>
      </c>
      <c r="CA793" s="37">
        <v>0</v>
      </c>
      <c r="CB793" s="37">
        <v>0</v>
      </c>
      <c r="CC793" s="37">
        <v>0</v>
      </c>
      <c r="CD793" s="37">
        <v>0</v>
      </c>
      <c r="CE793" s="37">
        <v>0</v>
      </c>
      <c r="CF793" s="37">
        <v>0</v>
      </c>
      <c r="CG793" s="59">
        <v>0</v>
      </c>
      <c r="CH793" s="37">
        <v>0</v>
      </c>
      <c r="CI793" s="37">
        <v>0</v>
      </c>
      <c r="CJ793" s="37">
        <v>0</v>
      </c>
      <c r="CK793" s="37">
        <v>0</v>
      </c>
      <c r="CL793" s="37">
        <v>0</v>
      </c>
      <c r="CM793" s="37">
        <v>0</v>
      </c>
      <c r="CN793" s="59">
        <v>0</v>
      </c>
      <c r="CO793" s="59">
        <v>0</v>
      </c>
      <c r="CP793" s="58"/>
      <c r="CQ793" s="3">
        <v>0</v>
      </c>
    </row>
    <row r="794" spans="1:95" customFormat="1" x14ac:dyDescent="0.2">
      <c r="A794" s="33">
        <v>0</v>
      </c>
      <c r="B794" s="33">
        <v>0</v>
      </c>
      <c r="C794" s="33">
        <v>0</v>
      </c>
      <c r="D794" s="43">
        <v>0</v>
      </c>
      <c r="E794" s="43">
        <v>0</v>
      </c>
      <c r="F794" s="43">
        <v>0</v>
      </c>
      <c r="G794" s="43">
        <v>0</v>
      </c>
      <c r="H794" s="43">
        <v>0</v>
      </c>
      <c r="I794" s="43">
        <v>0</v>
      </c>
      <c r="J794" s="43">
        <v>0</v>
      </c>
      <c r="K794" s="43">
        <v>0</v>
      </c>
      <c r="L794" s="43">
        <v>0</v>
      </c>
      <c r="M794" s="43">
        <v>0</v>
      </c>
      <c r="N794" s="43">
        <v>0</v>
      </c>
      <c r="O794" s="43">
        <v>0</v>
      </c>
      <c r="P794" s="47">
        <v>0</v>
      </c>
      <c r="R794" s="37">
        <v>0</v>
      </c>
      <c r="S794" s="37">
        <v>0</v>
      </c>
      <c r="T794" s="37">
        <v>0</v>
      </c>
      <c r="U794" s="37">
        <v>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7">
        <v>0</v>
      </c>
      <c r="AB794" s="37">
        <v>0</v>
      </c>
      <c r="AC794" s="37">
        <v>0</v>
      </c>
      <c r="AD794" s="37">
        <v>0</v>
      </c>
      <c r="AE794" s="37">
        <v>0</v>
      </c>
      <c r="AF794" s="37">
        <v>0</v>
      </c>
      <c r="AG794" s="59">
        <v>0</v>
      </c>
      <c r="AH794" s="37">
        <v>0</v>
      </c>
      <c r="AI794" s="37">
        <v>0</v>
      </c>
      <c r="AJ794" s="37">
        <v>0</v>
      </c>
      <c r="AK794" s="37">
        <v>0</v>
      </c>
      <c r="AL794" s="37">
        <v>0</v>
      </c>
      <c r="AM794" s="37">
        <v>0</v>
      </c>
      <c r="AN794" s="37">
        <v>0</v>
      </c>
      <c r="AO794" s="37">
        <v>0</v>
      </c>
      <c r="AP794" s="37">
        <v>0</v>
      </c>
      <c r="AQ794" s="37">
        <v>0</v>
      </c>
      <c r="AR794" s="37">
        <v>0</v>
      </c>
      <c r="AS794" s="59">
        <v>0</v>
      </c>
      <c r="AT794" s="59">
        <v>0</v>
      </c>
      <c r="AU794" s="45"/>
      <c r="AV794" s="37">
        <v>0</v>
      </c>
      <c r="AW794" s="37">
        <v>0</v>
      </c>
      <c r="AX794" s="37">
        <v>0</v>
      </c>
      <c r="AY794" s="37">
        <v>0</v>
      </c>
      <c r="AZ794" s="37">
        <v>0</v>
      </c>
      <c r="BA794" s="37">
        <v>0</v>
      </c>
      <c r="BB794" s="37">
        <v>0</v>
      </c>
      <c r="BC794" s="37">
        <v>0</v>
      </c>
      <c r="BD794" s="37">
        <v>0</v>
      </c>
      <c r="BE794" s="37">
        <v>0</v>
      </c>
      <c r="BF794" s="37">
        <v>0</v>
      </c>
      <c r="BG794" s="37">
        <v>0</v>
      </c>
      <c r="BH794" s="37">
        <v>0</v>
      </c>
      <c r="BI794" s="37">
        <v>0</v>
      </c>
      <c r="BJ794" s="37">
        <v>0</v>
      </c>
      <c r="BK794" s="59">
        <v>0</v>
      </c>
      <c r="BL794" s="37">
        <v>0</v>
      </c>
      <c r="BM794" s="37">
        <v>0</v>
      </c>
      <c r="BN794" s="37">
        <v>0</v>
      </c>
      <c r="BO794" s="37">
        <v>0</v>
      </c>
      <c r="BP794" s="37">
        <v>0</v>
      </c>
      <c r="BQ794" s="37">
        <v>0</v>
      </c>
      <c r="BR794" s="37">
        <v>0</v>
      </c>
      <c r="BS794" s="37">
        <v>0</v>
      </c>
      <c r="BT794" s="37">
        <v>0</v>
      </c>
      <c r="BU794" s="37">
        <v>0</v>
      </c>
      <c r="BV794" s="37">
        <v>0</v>
      </c>
      <c r="BW794" s="59">
        <v>0</v>
      </c>
      <c r="BX794" s="59">
        <v>0</v>
      </c>
      <c r="BZ794" s="37">
        <v>0</v>
      </c>
      <c r="CA794" s="37">
        <v>0</v>
      </c>
      <c r="CB794" s="37">
        <v>0</v>
      </c>
      <c r="CC794" s="37">
        <v>0</v>
      </c>
      <c r="CD794" s="37">
        <v>0</v>
      </c>
      <c r="CE794" s="37">
        <v>0</v>
      </c>
      <c r="CF794" s="37">
        <v>0</v>
      </c>
      <c r="CG794" s="59">
        <v>0</v>
      </c>
      <c r="CH794" s="37">
        <v>0</v>
      </c>
      <c r="CI794" s="37">
        <v>0</v>
      </c>
      <c r="CJ794" s="37">
        <v>0</v>
      </c>
      <c r="CK794" s="37">
        <v>0</v>
      </c>
      <c r="CL794" s="37">
        <v>0</v>
      </c>
      <c r="CM794" s="37">
        <v>0</v>
      </c>
      <c r="CN794" s="59">
        <v>0</v>
      </c>
      <c r="CO794" s="59">
        <v>0</v>
      </c>
      <c r="CP794" s="58"/>
      <c r="CQ794" s="3">
        <v>0</v>
      </c>
    </row>
    <row r="795" spans="1:95" customFormat="1" x14ac:dyDescent="0.2">
      <c r="A795" s="33">
        <v>0</v>
      </c>
      <c r="B795" s="33">
        <v>0</v>
      </c>
      <c r="C795" s="33">
        <v>0</v>
      </c>
      <c r="D795" s="43">
        <v>0</v>
      </c>
      <c r="E795" s="43">
        <v>0</v>
      </c>
      <c r="F795" s="43">
        <v>0</v>
      </c>
      <c r="G795" s="43">
        <v>0</v>
      </c>
      <c r="H795" s="43">
        <v>0</v>
      </c>
      <c r="I795" s="43">
        <v>0</v>
      </c>
      <c r="J795" s="43">
        <v>0</v>
      </c>
      <c r="K795" s="43">
        <v>0</v>
      </c>
      <c r="L795" s="43">
        <v>0</v>
      </c>
      <c r="M795" s="43">
        <v>0</v>
      </c>
      <c r="N795" s="43">
        <v>0</v>
      </c>
      <c r="O795" s="43">
        <v>0</v>
      </c>
      <c r="P795" s="4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59">
        <v>0</v>
      </c>
      <c r="AH795" s="37">
        <v>0</v>
      </c>
      <c r="AI795" s="37">
        <v>0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59">
        <v>0</v>
      </c>
      <c r="AT795" s="59">
        <v>0</v>
      </c>
      <c r="AU795" s="45"/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>
        <v>0</v>
      </c>
      <c r="BB795" s="37">
        <v>0</v>
      </c>
      <c r="BC795" s="37">
        <v>0</v>
      </c>
      <c r="BD795" s="37">
        <v>0</v>
      </c>
      <c r="BE795" s="37">
        <v>0</v>
      </c>
      <c r="BF795" s="37">
        <v>0</v>
      </c>
      <c r="BG795" s="37">
        <v>0</v>
      </c>
      <c r="BH795" s="37">
        <v>0</v>
      </c>
      <c r="BI795" s="37">
        <v>0</v>
      </c>
      <c r="BJ795" s="37">
        <v>0</v>
      </c>
      <c r="BK795" s="59">
        <v>0</v>
      </c>
      <c r="BL795" s="37">
        <v>0</v>
      </c>
      <c r="BM795" s="37">
        <v>0</v>
      </c>
      <c r="BN795" s="37">
        <v>0</v>
      </c>
      <c r="BO795" s="37">
        <v>0</v>
      </c>
      <c r="BP795" s="37">
        <v>0</v>
      </c>
      <c r="BQ795" s="37">
        <v>0</v>
      </c>
      <c r="BR795" s="37">
        <v>0</v>
      </c>
      <c r="BS795" s="37">
        <v>0</v>
      </c>
      <c r="BT795" s="37">
        <v>0</v>
      </c>
      <c r="BU795" s="37">
        <v>0</v>
      </c>
      <c r="BV795" s="37">
        <v>0</v>
      </c>
      <c r="BW795" s="59">
        <v>0</v>
      </c>
      <c r="BX795" s="59">
        <v>0</v>
      </c>
      <c r="BZ795" s="37">
        <v>0</v>
      </c>
      <c r="CA795" s="37">
        <v>0</v>
      </c>
      <c r="CB795" s="37">
        <v>0</v>
      </c>
      <c r="CC795" s="37">
        <v>0</v>
      </c>
      <c r="CD795" s="37">
        <v>0</v>
      </c>
      <c r="CE795" s="37">
        <v>0</v>
      </c>
      <c r="CF795" s="37">
        <v>0</v>
      </c>
      <c r="CG795" s="59">
        <v>0</v>
      </c>
      <c r="CH795" s="37">
        <v>0</v>
      </c>
      <c r="CI795" s="37">
        <v>0</v>
      </c>
      <c r="CJ795" s="37">
        <v>0</v>
      </c>
      <c r="CK795" s="37">
        <v>0</v>
      </c>
      <c r="CL795" s="37">
        <v>0</v>
      </c>
      <c r="CM795" s="37">
        <v>0</v>
      </c>
      <c r="CN795" s="59">
        <v>0</v>
      </c>
      <c r="CO795" s="59">
        <v>0</v>
      </c>
      <c r="CP795" s="58"/>
      <c r="CQ795" s="3">
        <v>0</v>
      </c>
    </row>
    <row r="796" spans="1:95" customFormat="1" x14ac:dyDescent="0.2">
      <c r="A796" s="33">
        <v>0</v>
      </c>
      <c r="B796" s="33">
        <v>0</v>
      </c>
      <c r="C796" s="33">
        <v>0</v>
      </c>
      <c r="D796" s="43">
        <v>0</v>
      </c>
      <c r="E796" s="43">
        <v>0</v>
      </c>
      <c r="F796" s="43">
        <v>0</v>
      </c>
      <c r="G796" s="43">
        <v>0</v>
      </c>
      <c r="H796" s="43">
        <v>0</v>
      </c>
      <c r="I796" s="43">
        <v>0</v>
      </c>
      <c r="J796" s="43">
        <v>0</v>
      </c>
      <c r="K796" s="43">
        <v>0</v>
      </c>
      <c r="L796" s="43">
        <v>0</v>
      </c>
      <c r="M796" s="43">
        <v>0</v>
      </c>
      <c r="N796" s="43">
        <v>0</v>
      </c>
      <c r="O796" s="43">
        <v>0</v>
      </c>
      <c r="P796" s="47">
        <v>0</v>
      </c>
      <c r="R796" s="37">
        <v>0</v>
      </c>
      <c r="S796" s="37">
        <v>0</v>
      </c>
      <c r="T796" s="37">
        <v>0</v>
      </c>
      <c r="U796" s="37">
        <v>0</v>
      </c>
      <c r="V796" s="37">
        <v>0</v>
      </c>
      <c r="W796" s="37">
        <v>0</v>
      </c>
      <c r="X796" s="37">
        <v>0</v>
      </c>
      <c r="Y796" s="37">
        <v>0</v>
      </c>
      <c r="Z796" s="37">
        <v>0</v>
      </c>
      <c r="AA796" s="37">
        <v>0</v>
      </c>
      <c r="AB796" s="37">
        <v>0</v>
      </c>
      <c r="AC796" s="37">
        <v>0</v>
      </c>
      <c r="AD796" s="37">
        <v>0</v>
      </c>
      <c r="AE796" s="37">
        <v>0</v>
      </c>
      <c r="AF796" s="37">
        <v>0</v>
      </c>
      <c r="AG796" s="59">
        <v>0</v>
      </c>
      <c r="AH796" s="37">
        <v>0</v>
      </c>
      <c r="AI796" s="37">
        <v>0</v>
      </c>
      <c r="AJ796" s="37">
        <v>0</v>
      </c>
      <c r="AK796" s="37">
        <v>0</v>
      </c>
      <c r="AL796" s="37">
        <v>0</v>
      </c>
      <c r="AM796" s="37">
        <v>0</v>
      </c>
      <c r="AN796" s="37">
        <v>0</v>
      </c>
      <c r="AO796" s="37">
        <v>0</v>
      </c>
      <c r="AP796" s="37">
        <v>0</v>
      </c>
      <c r="AQ796" s="37">
        <v>0</v>
      </c>
      <c r="AR796" s="37">
        <v>0</v>
      </c>
      <c r="AS796" s="59">
        <v>0</v>
      </c>
      <c r="AT796" s="59">
        <v>0</v>
      </c>
      <c r="AU796" s="45"/>
      <c r="AV796" s="37">
        <v>0</v>
      </c>
      <c r="AW796" s="37">
        <v>0</v>
      </c>
      <c r="AX796" s="37">
        <v>0</v>
      </c>
      <c r="AY796" s="37">
        <v>0</v>
      </c>
      <c r="AZ796" s="37">
        <v>0</v>
      </c>
      <c r="BA796" s="37">
        <v>0</v>
      </c>
      <c r="BB796" s="37">
        <v>0</v>
      </c>
      <c r="BC796" s="37">
        <v>0</v>
      </c>
      <c r="BD796" s="37">
        <v>0</v>
      </c>
      <c r="BE796" s="37">
        <v>0</v>
      </c>
      <c r="BF796" s="37">
        <v>0</v>
      </c>
      <c r="BG796" s="37">
        <v>0</v>
      </c>
      <c r="BH796" s="37">
        <v>0</v>
      </c>
      <c r="BI796" s="37">
        <v>0</v>
      </c>
      <c r="BJ796" s="37">
        <v>0</v>
      </c>
      <c r="BK796" s="59">
        <v>0</v>
      </c>
      <c r="BL796" s="37">
        <v>0</v>
      </c>
      <c r="BM796" s="37">
        <v>0</v>
      </c>
      <c r="BN796" s="37">
        <v>0</v>
      </c>
      <c r="BO796" s="37">
        <v>0</v>
      </c>
      <c r="BP796" s="37">
        <v>0</v>
      </c>
      <c r="BQ796" s="37">
        <v>0</v>
      </c>
      <c r="BR796" s="37">
        <v>0</v>
      </c>
      <c r="BS796" s="37">
        <v>0</v>
      </c>
      <c r="BT796" s="37">
        <v>0</v>
      </c>
      <c r="BU796" s="37">
        <v>0</v>
      </c>
      <c r="BV796" s="37">
        <v>0</v>
      </c>
      <c r="BW796" s="59">
        <v>0</v>
      </c>
      <c r="BX796" s="59">
        <v>0</v>
      </c>
      <c r="BZ796" s="37">
        <v>0</v>
      </c>
      <c r="CA796" s="37">
        <v>0</v>
      </c>
      <c r="CB796" s="37">
        <v>0</v>
      </c>
      <c r="CC796" s="37">
        <v>0</v>
      </c>
      <c r="CD796" s="37">
        <v>0</v>
      </c>
      <c r="CE796" s="37">
        <v>0</v>
      </c>
      <c r="CF796" s="37">
        <v>0</v>
      </c>
      <c r="CG796" s="59">
        <v>0</v>
      </c>
      <c r="CH796" s="37">
        <v>0</v>
      </c>
      <c r="CI796" s="37">
        <v>0</v>
      </c>
      <c r="CJ796" s="37">
        <v>0</v>
      </c>
      <c r="CK796" s="37">
        <v>0</v>
      </c>
      <c r="CL796" s="37">
        <v>0</v>
      </c>
      <c r="CM796" s="37">
        <v>0</v>
      </c>
      <c r="CN796" s="59">
        <v>0</v>
      </c>
      <c r="CO796" s="59">
        <v>0</v>
      </c>
      <c r="CP796" s="58"/>
      <c r="CQ796" s="3">
        <v>0</v>
      </c>
    </row>
    <row r="797" spans="1:95" customFormat="1" x14ac:dyDescent="0.2">
      <c r="A797" s="33">
        <v>0</v>
      </c>
      <c r="B797" s="33">
        <v>0</v>
      </c>
      <c r="C797" s="33">
        <v>0</v>
      </c>
      <c r="D797" s="43">
        <v>0</v>
      </c>
      <c r="E797" s="43">
        <v>0</v>
      </c>
      <c r="F797" s="43">
        <v>0</v>
      </c>
      <c r="G797" s="43">
        <v>0</v>
      </c>
      <c r="H797" s="43">
        <v>0</v>
      </c>
      <c r="I797" s="43">
        <v>0</v>
      </c>
      <c r="J797" s="43">
        <v>0</v>
      </c>
      <c r="K797" s="43">
        <v>0</v>
      </c>
      <c r="L797" s="43">
        <v>0</v>
      </c>
      <c r="M797" s="43">
        <v>0</v>
      </c>
      <c r="N797" s="43">
        <v>0</v>
      </c>
      <c r="O797" s="43">
        <v>0</v>
      </c>
      <c r="P797" s="47">
        <v>0</v>
      </c>
      <c r="R797" s="37">
        <v>0</v>
      </c>
      <c r="S797" s="37">
        <v>0</v>
      </c>
      <c r="T797" s="37">
        <v>0</v>
      </c>
      <c r="U797" s="37">
        <v>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7">
        <v>0</v>
      </c>
      <c r="AB797" s="37">
        <v>0</v>
      </c>
      <c r="AC797" s="37">
        <v>0</v>
      </c>
      <c r="AD797" s="37">
        <v>0</v>
      </c>
      <c r="AE797" s="37">
        <v>0</v>
      </c>
      <c r="AF797" s="37">
        <v>0</v>
      </c>
      <c r="AG797" s="59">
        <v>0</v>
      </c>
      <c r="AH797" s="37">
        <v>0</v>
      </c>
      <c r="AI797" s="37">
        <v>0</v>
      </c>
      <c r="AJ797" s="37">
        <v>0</v>
      </c>
      <c r="AK797" s="37">
        <v>0</v>
      </c>
      <c r="AL797" s="37">
        <v>0</v>
      </c>
      <c r="AM797" s="37">
        <v>0</v>
      </c>
      <c r="AN797" s="37">
        <v>0</v>
      </c>
      <c r="AO797" s="37">
        <v>0</v>
      </c>
      <c r="AP797" s="37">
        <v>0</v>
      </c>
      <c r="AQ797" s="37">
        <v>0</v>
      </c>
      <c r="AR797" s="37">
        <v>0</v>
      </c>
      <c r="AS797" s="59">
        <v>0</v>
      </c>
      <c r="AT797" s="59">
        <v>0</v>
      </c>
      <c r="AU797" s="45"/>
      <c r="AV797" s="37">
        <v>0</v>
      </c>
      <c r="AW797" s="37">
        <v>0</v>
      </c>
      <c r="AX797" s="37">
        <v>0</v>
      </c>
      <c r="AY797" s="37">
        <v>0</v>
      </c>
      <c r="AZ797" s="37">
        <v>0</v>
      </c>
      <c r="BA797" s="37">
        <v>0</v>
      </c>
      <c r="BB797" s="37">
        <v>0</v>
      </c>
      <c r="BC797" s="37">
        <v>0</v>
      </c>
      <c r="BD797" s="37">
        <v>0</v>
      </c>
      <c r="BE797" s="37">
        <v>0</v>
      </c>
      <c r="BF797" s="37">
        <v>0</v>
      </c>
      <c r="BG797" s="37">
        <v>0</v>
      </c>
      <c r="BH797" s="37">
        <v>0</v>
      </c>
      <c r="BI797" s="37">
        <v>0</v>
      </c>
      <c r="BJ797" s="37">
        <v>0</v>
      </c>
      <c r="BK797" s="59">
        <v>0</v>
      </c>
      <c r="BL797" s="37">
        <v>0</v>
      </c>
      <c r="BM797" s="37">
        <v>0</v>
      </c>
      <c r="BN797" s="37">
        <v>0</v>
      </c>
      <c r="BO797" s="37">
        <v>0</v>
      </c>
      <c r="BP797" s="37">
        <v>0</v>
      </c>
      <c r="BQ797" s="37">
        <v>0</v>
      </c>
      <c r="BR797" s="37">
        <v>0</v>
      </c>
      <c r="BS797" s="37">
        <v>0</v>
      </c>
      <c r="BT797" s="37">
        <v>0</v>
      </c>
      <c r="BU797" s="37">
        <v>0</v>
      </c>
      <c r="BV797" s="37">
        <v>0</v>
      </c>
      <c r="BW797" s="59">
        <v>0</v>
      </c>
      <c r="BX797" s="59">
        <v>0</v>
      </c>
      <c r="BZ797" s="37">
        <v>0</v>
      </c>
      <c r="CA797" s="37">
        <v>0</v>
      </c>
      <c r="CB797" s="37">
        <v>0</v>
      </c>
      <c r="CC797" s="37">
        <v>0</v>
      </c>
      <c r="CD797" s="37">
        <v>0</v>
      </c>
      <c r="CE797" s="37">
        <v>0</v>
      </c>
      <c r="CF797" s="37">
        <v>0</v>
      </c>
      <c r="CG797" s="59">
        <v>0</v>
      </c>
      <c r="CH797" s="37">
        <v>0</v>
      </c>
      <c r="CI797" s="37">
        <v>0</v>
      </c>
      <c r="CJ797" s="37">
        <v>0</v>
      </c>
      <c r="CK797" s="37">
        <v>0</v>
      </c>
      <c r="CL797" s="37">
        <v>0</v>
      </c>
      <c r="CM797" s="37">
        <v>0</v>
      </c>
      <c r="CN797" s="59">
        <v>0</v>
      </c>
      <c r="CO797" s="59">
        <v>0</v>
      </c>
      <c r="CP797" s="58"/>
      <c r="CQ797" s="3">
        <v>0</v>
      </c>
    </row>
    <row r="798" spans="1:95" customFormat="1" x14ac:dyDescent="0.2">
      <c r="A798" s="33">
        <v>0</v>
      </c>
      <c r="B798" s="33">
        <v>0</v>
      </c>
      <c r="C798" s="33">
        <v>0</v>
      </c>
      <c r="D798" s="43">
        <v>0</v>
      </c>
      <c r="E798" s="43">
        <v>0</v>
      </c>
      <c r="F798" s="43">
        <v>0</v>
      </c>
      <c r="G798" s="43">
        <v>0</v>
      </c>
      <c r="H798" s="43">
        <v>0</v>
      </c>
      <c r="I798" s="43">
        <v>0</v>
      </c>
      <c r="J798" s="43">
        <v>0</v>
      </c>
      <c r="K798" s="43">
        <v>0</v>
      </c>
      <c r="L798" s="43">
        <v>0</v>
      </c>
      <c r="M798" s="43">
        <v>0</v>
      </c>
      <c r="N798" s="43">
        <v>0</v>
      </c>
      <c r="O798" s="43">
        <v>0</v>
      </c>
      <c r="P798" s="47">
        <v>0</v>
      </c>
      <c r="R798" s="37">
        <v>0</v>
      </c>
      <c r="S798" s="37">
        <v>0</v>
      </c>
      <c r="T798" s="37">
        <v>0</v>
      </c>
      <c r="U798" s="37">
        <v>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7">
        <v>0</v>
      </c>
      <c r="AB798" s="37">
        <v>0</v>
      </c>
      <c r="AC798" s="37">
        <v>0</v>
      </c>
      <c r="AD798" s="37">
        <v>0</v>
      </c>
      <c r="AE798" s="37">
        <v>0</v>
      </c>
      <c r="AF798" s="37">
        <v>0</v>
      </c>
      <c r="AG798" s="59">
        <v>0</v>
      </c>
      <c r="AH798" s="37">
        <v>0</v>
      </c>
      <c r="AI798" s="37">
        <v>0</v>
      </c>
      <c r="AJ798" s="37">
        <v>0</v>
      </c>
      <c r="AK798" s="37">
        <v>0</v>
      </c>
      <c r="AL798" s="37">
        <v>0</v>
      </c>
      <c r="AM798" s="37">
        <v>0</v>
      </c>
      <c r="AN798" s="37">
        <v>0</v>
      </c>
      <c r="AO798" s="37">
        <v>0</v>
      </c>
      <c r="AP798" s="37">
        <v>0</v>
      </c>
      <c r="AQ798" s="37">
        <v>0</v>
      </c>
      <c r="AR798" s="37">
        <v>0</v>
      </c>
      <c r="AS798" s="59">
        <v>0</v>
      </c>
      <c r="AT798" s="59">
        <v>0</v>
      </c>
      <c r="AU798" s="45"/>
      <c r="AV798" s="37">
        <v>0</v>
      </c>
      <c r="AW798" s="37">
        <v>0</v>
      </c>
      <c r="AX798" s="37">
        <v>0</v>
      </c>
      <c r="AY798" s="37">
        <v>0</v>
      </c>
      <c r="AZ798" s="37">
        <v>0</v>
      </c>
      <c r="BA798" s="37">
        <v>0</v>
      </c>
      <c r="BB798" s="37">
        <v>0</v>
      </c>
      <c r="BC798" s="37">
        <v>0</v>
      </c>
      <c r="BD798" s="37">
        <v>0</v>
      </c>
      <c r="BE798" s="37">
        <v>0</v>
      </c>
      <c r="BF798" s="37">
        <v>0</v>
      </c>
      <c r="BG798" s="37">
        <v>0</v>
      </c>
      <c r="BH798" s="37">
        <v>0</v>
      </c>
      <c r="BI798" s="37">
        <v>0</v>
      </c>
      <c r="BJ798" s="37">
        <v>0</v>
      </c>
      <c r="BK798" s="59">
        <v>0</v>
      </c>
      <c r="BL798" s="37">
        <v>0</v>
      </c>
      <c r="BM798" s="37">
        <v>0</v>
      </c>
      <c r="BN798" s="37">
        <v>0</v>
      </c>
      <c r="BO798" s="37">
        <v>0</v>
      </c>
      <c r="BP798" s="37">
        <v>0</v>
      </c>
      <c r="BQ798" s="37">
        <v>0</v>
      </c>
      <c r="BR798" s="37">
        <v>0</v>
      </c>
      <c r="BS798" s="37">
        <v>0</v>
      </c>
      <c r="BT798" s="37">
        <v>0</v>
      </c>
      <c r="BU798" s="37">
        <v>0</v>
      </c>
      <c r="BV798" s="37">
        <v>0</v>
      </c>
      <c r="BW798" s="59">
        <v>0</v>
      </c>
      <c r="BX798" s="59">
        <v>0</v>
      </c>
      <c r="BZ798" s="37">
        <v>0</v>
      </c>
      <c r="CA798" s="37">
        <v>0</v>
      </c>
      <c r="CB798" s="37">
        <v>0</v>
      </c>
      <c r="CC798" s="37">
        <v>0</v>
      </c>
      <c r="CD798" s="37">
        <v>0</v>
      </c>
      <c r="CE798" s="37">
        <v>0</v>
      </c>
      <c r="CF798" s="37">
        <v>0</v>
      </c>
      <c r="CG798" s="59">
        <v>0</v>
      </c>
      <c r="CH798" s="37">
        <v>0</v>
      </c>
      <c r="CI798" s="37">
        <v>0</v>
      </c>
      <c r="CJ798" s="37">
        <v>0</v>
      </c>
      <c r="CK798" s="37">
        <v>0</v>
      </c>
      <c r="CL798" s="37">
        <v>0</v>
      </c>
      <c r="CM798" s="37">
        <v>0</v>
      </c>
      <c r="CN798" s="59">
        <v>0</v>
      </c>
      <c r="CO798" s="59">
        <v>0</v>
      </c>
      <c r="CP798" s="58"/>
      <c r="CQ798" s="3">
        <v>0</v>
      </c>
    </row>
    <row r="799" spans="1:95" customFormat="1" x14ac:dyDescent="0.2">
      <c r="A799" s="33">
        <v>0</v>
      </c>
      <c r="B799" s="33">
        <v>0</v>
      </c>
      <c r="C799" s="33">
        <v>0</v>
      </c>
      <c r="D799" s="43">
        <v>0</v>
      </c>
      <c r="E799" s="43">
        <v>0</v>
      </c>
      <c r="F799" s="43">
        <v>0</v>
      </c>
      <c r="G799" s="43">
        <v>0</v>
      </c>
      <c r="H799" s="43">
        <v>0</v>
      </c>
      <c r="I799" s="43">
        <v>0</v>
      </c>
      <c r="J799" s="43">
        <v>0</v>
      </c>
      <c r="K799" s="43">
        <v>0</v>
      </c>
      <c r="L799" s="43">
        <v>0</v>
      </c>
      <c r="M799" s="43">
        <v>0</v>
      </c>
      <c r="N799" s="43">
        <v>0</v>
      </c>
      <c r="O799" s="43">
        <v>0</v>
      </c>
      <c r="P799" s="47">
        <v>0</v>
      </c>
      <c r="R799" s="37">
        <v>0</v>
      </c>
      <c r="S799" s="37">
        <v>0</v>
      </c>
      <c r="T799" s="37">
        <v>0</v>
      </c>
      <c r="U799" s="37">
        <v>0</v>
      </c>
      <c r="V799" s="37">
        <v>0</v>
      </c>
      <c r="W799" s="37">
        <v>0</v>
      </c>
      <c r="X799" s="37">
        <v>0</v>
      </c>
      <c r="Y799" s="37">
        <v>0</v>
      </c>
      <c r="Z799" s="37">
        <v>0</v>
      </c>
      <c r="AA799" s="37">
        <v>0</v>
      </c>
      <c r="AB799" s="37">
        <v>0</v>
      </c>
      <c r="AC799" s="37">
        <v>0</v>
      </c>
      <c r="AD799" s="37">
        <v>0</v>
      </c>
      <c r="AE799" s="37">
        <v>0</v>
      </c>
      <c r="AF799" s="37">
        <v>0</v>
      </c>
      <c r="AG799" s="59">
        <v>0</v>
      </c>
      <c r="AH799" s="37">
        <v>0</v>
      </c>
      <c r="AI799" s="37">
        <v>0</v>
      </c>
      <c r="AJ799" s="37">
        <v>0</v>
      </c>
      <c r="AK799" s="37">
        <v>0</v>
      </c>
      <c r="AL799" s="37">
        <v>0</v>
      </c>
      <c r="AM799" s="37">
        <v>0</v>
      </c>
      <c r="AN799" s="37">
        <v>0</v>
      </c>
      <c r="AO799" s="37">
        <v>0</v>
      </c>
      <c r="AP799" s="37">
        <v>0</v>
      </c>
      <c r="AQ799" s="37">
        <v>0</v>
      </c>
      <c r="AR799" s="37">
        <v>0</v>
      </c>
      <c r="AS799" s="59">
        <v>0</v>
      </c>
      <c r="AT799" s="59">
        <v>0</v>
      </c>
      <c r="AU799" s="45"/>
      <c r="AV799" s="37">
        <v>0</v>
      </c>
      <c r="AW799" s="37">
        <v>0</v>
      </c>
      <c r="AX799" s="37">
        <v>0</v>
      </c>
      <c r="AY799" s="37">
        <v>0</v>
      </c>
      <c r="AZ799" s="37">
        <v>0</v>
      </c>
      <c r="BA799" s="37">
        <v>0</v>
      </c>
      <c r="BB799" s="37">
        <v>0</v>
      </c>
      <c r="BC799" s="37">
        <v>0</v>
      </c>
      <c r="BD799" s="37">
        <v>0</v>
      </c>
      <c r="BE799" s="37">
        <v>0</v>
      </c>
      <c r="BF799" s="37">
        <v>0</v>
      </c>
      <c r="BG799" s="37">
        <v>0</v>
      </c>
      <c r="BH799" s="37">
        <v>0</v>
      </c>
      <c r="BI799" s="37">
        <v>0</v>
      </c>
      <c r="BJ799" s="37">
        <v>0</v>
      </c>
      <c r="BK799" s="59">
        <v>0</v>
      </c>
      <c r="BL799" s="37">
        <v>0</v>
      </c>
      <c r="BM799" s="37">
        <v>0</v>
      </c>
      <c r="BN799" s="37">
        <v>0</v>
      </c>
      <c r="BO799" s="37">
        <v>0</v>
      </c>
      <c r="BP799" s="37">
        <v>0</v>
      </c>
      <c r="BQ799" s="37">
        <v>0</v>
      </c>
      <c r="BR799" s="37">
        <v>0</v>
      </c>
      <c r="BS799" s="37">
        <v>0</v>
      </c>
      <c r="BT799" s="37">
        <v>0</v>
      </c>
      <c r="BU799" s="37">
        <v>0</v>
      </c>
      <c r="BV799" s="37">
        <v>0</v>
      </c>
      <c r="BW799" s="59">
        <v>0</v>
      </c>
      <c r="BX799" s="59">
        <v>0</v>
      </c>
      <c r="BZ799" s="37">
        <v>0</v>
      </c>
      <c r="CA799" s="37">
        <v>0</v>
      </c>
      <c r="CB799" s="37">
        <v>0</v>
      </c>
      <c r="CC799" s="37">
        <v>0</v>
      </c>
      <c r="CD799" s="37">
        <v>0</v>
      </c>
      <c r="CE799" s="37">
        <v>0</v>
      </c>
      <c r="CF799" s="37">
        <v>0</v>
      </c>
      <c r="CG799" s="59">
        <v>0</v>
      </c>
      <c r="CH799" s="37">
        <v>0</v>
      </c>
      <c r="CI799" s="37">
        <v>0</v>
      </c>
      <c r="CJ799" s="37">
        <v>0</v>
      </c>
      <c r="CK799" s="37">
        <v>0</v>
      </c>
      <c r="CL799" s="37">
        <v>0</v>
      </c>
      <c r="CM799" s="37">
        <v>0</v>
      </c>
      <c r="CN799" s="59">
        <v>0</v>
      </c>
      <c r="CO799" s="59">
        <v>0</v>
      </c>
      <c r="CP799" s="58"/>
      <c r="CQ799" s="3">
        <v>0</v>
      </c>
    </row>
  </sheetData>
  <autoFilter ref="A4:B101" xr:uid="{00000000-0009-0000-0000-000000000000}"/>
  <mergeCells count="27">
    <mergeCell ref="A4:A7"/>
    <mergeCell ref="B4:B7"/>
    <mergeCell ref="C4:O4"/>
    <mergeCell ref="P4:P7"/>
    <mergeCell ref="R4:AG4"/>
    <mergeCell ref="N5:N7"/>
    <mergeCell ref="O5:O7"/>
    <mergeCell ref="AG5:AG6"/>
    <mergeCell ref="E6:F6"/>
    <mergeCell ref="I6:J6"/>
    <mergeCell ref="K6:M6"/>
    <mergeCell ref="AV4:BK4"/>
    <mergeCell ref="BM4:BW4"/>
    <mergeCell ref="BZ4:CG4"/>
    <mergeCell ref="CI4:CN4"/>
    <mergeCell ref="C5:C7"/>
    <mergeCell ref="D5:D7"/>
    <mergeCell ref="E5:F5"/>
    <mergeCell ref="G5:G7"/>
    <mergeCell ref="H5:H7"/>
    <mergeCell ref="I5:M5"/>
    <mergeCell ref="AH4:AS4"/>
    <mergeCell ref="AS5:AS6"/>
    <mergeCell ref="BK5:BK6"/>
    <mergeCell ref="BW5:BW6"/>
    <mergeCell ref="CG5:CG6"/>
    <mergeCell ref="CN5:CN6"/>
  </mergeCells>
  <printOptions horizontalCentered="1"/>
  <pageMargins left="0" right="0" top="0.25" bottom="0.25" header="0.5" footer="0.5"/>
  <pageSetup paperSize="9" scale="2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AQ210"/>
  <sheetViews>
    <sheetView showGridLines="0" view="pageBreakPreview" topLeftCell="B1" zoomScale="10" zoomScaleNormal="60" zoomScaleSheetLayoutView="10" workbookViewId="0">
      <pane xSplit="3" ySplit="8" topLeftCell="S54" activePane="bottomRight" state="frozen"/>
      <selection activeCell="B4" sqref="B4:GQ18"/>
      <selection pane="topRight" activeCell="B4" sqref="B4:GQ18"/>
      <selection pane="bottomLeft" activeCell="B4" sqref="B4:GQ18"/>
      <selection pane="bottomRight" activeCell="M66" activeCellId="1" sqref="G66:K66 M66:P66"/>
    </sheetView>
  </sheetViews>
  <sheetFormatPr defaultColWidth="9.140625" defaultRowHeight="12.75" x14ac:dyDescent="0.2"/>
  <cols>
    <col min="1" max="1" width="9.140625" style="66"/>
    <col min="2" max="2" width="5" style="66" bestFit="1" customWidth="1"/>
    <col min="3" max="3" width="26.42578125" style="66" bestFit="1" customWidth="1"/>
    <col min="4" max="4" width="26.7109375" style="66" customWidth="1"/>
    <col min="5" max="5" width="20.140625" style="66" bestFit="1" customWidth="1"/>
    <col min="6" max="6" width="15.28515625" style="66" bestFit="1" customWidth="1"/>
    <col min="7" max="8" width="14" style="66" bestFit="1" customWidth="1"/>
    <col min="9" max="9" width="13.5703125" style="66" bestFit="1" customWidth="1"/>
    <col min="10" max="10" width="12.140625" style="66" bestFit="1" customWidth="1"/>
    <col min="11" max="11" width="11" style="66" bestFit="1" customWidth="1"/>
    <col min="12" max="12" width="16.85546875" style="66" bestFit="1" customWidth="1"/>
    <col min="13" max="13" width="11" style="66" bestFit="1" customWidth="1"/>
    <col min="14" max="14" width="11.42578125" style="66" bestFit="1" customWidth="1"/>
    <col min="15" max="15" width="11.7109375" style="66" bestFit="1" customWidth="1"/>
    <col min="16" max="16" width="10.5703125" style="66" bestFit="1" customWidth="1"/>
    <col min="17" max="17" width="10.140625" style="66" bestFit="1" customWidth="1"/>
    <col min="18" max="18" width="13.42578125" style="66" bestFit="1" customWidth="1"/>
    <col min="19" max="19" width="15.7109375" style="66" customWidth="1"/>
    <col min="20" max="20" width="20.140625" style="66" customWidth="1"/>
    <col min="21" max="21" width="5.140625" style="66" bestFit="1" customWidth="1"/>
    <col min="22" max="22" width="26.42578125" style="66" bestFit="1" customWidth="1"/>
    <col min="23" max="23" width="17" style="66" bestFit="1" customWidth="1"/>
    <col min="24" max="25" width="13.28515625" style="66" bestFit="1" customWidth="1"/>
    <col min="26" max="26" width="11.5703125" style="66" bestFit="1" customWidth="1"/>
    <col min="27" max="27" width="12.7109375" style="66" bestFit="1" customWidth="1"/>
    <col min="28" max="28" width="15.5703125" style="66" customWidth="1"/>
    <col min="29" max="29" width="11" style="66" customWidth="1"/>
    <col min="30" max="30" width="15.28515625" style="66" customWidth="1"/>
    <col min="31" max="31" width="13.85546875" style="66" bestFit="1" customWidth="1"/>
    <col min="32" max="32" width="10.85546875" style="66" bestFit="1" customWidth="1"/>
    <col min="33" max="33" width="11.5703125" style="66" bestFit="1" customWidth="1"/>
    <col min="34" max="36" width="10.85546875" style="66" bestFit="1" customWidth="1"/>
    <col min="37" max="37" width="12.42578125" style="66" bestFit="1" customWidth="1"/>
    <col min="38" max="38" width="14.140625" style="66" customWidth="1"/>
    <col min="39" max="39" width="9" style="66" bestFit="1" customWidth="1"/>
    <col min="40" max="40" width="12.28515625" style="66" bestFit="1" customWidth="1"/>
    <col min="41" max="16384" width="9.140625" style="66"/>
  </cols>
  <sheetData>
    <row r="1" spans="2:43" s="62" customFormat="1" ht="15" x14ac:dyDescent="0.2">
      <c r="C1" s="63" t="s">
        <v>157</v>
      </c>
      <c r="D1" s="64" t="s">
        <v>158</v>
      </c>
      <c r="E1" s="65">
        <f>T98</f>
        <v>-0.5168387624218862</v>
      </c>
      <c r="F1" s="65">
        <f>S104</f>
        <v>0.46779099621867365</v>
      </c>
      <c r="G1" s="65">
        <f>E1+F1</f>
        <v>-4.9047766203212551E-2</v>
      </c>
    </row>
    <row r="2" spans="2:43" ht="15" hidden="1" x14ac:dyDescent="0.25">
      <c r="C2" s="67" t="s">
        <v>159</v>
      </c>
      <c r="D2" s="68" t="s">
        <v>160</v>
      </c>
    </row>
    <row r="3" spans="2:43" hidden="1" x14ac:dyDescent="0.2">
      <c r="AN3" s="66" t="s">
        <v>161</v>
      </c>
    </row>
    <row r="4" spans="2:43" ht="21.75" customHeight="1" x14ac:dyDescent="0.25">
      <c r="B4" s="253" t="str">
        <f>"MONITORING ESTIMASI KEBUTUHAN UANG EVALUASI"</f>
        <v>MONITORING ESTIMASI KEBUTUHAN UANG EVALUASI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U4" s="253" t="str">
        <f>+B4</f>
        <v>MONITORING ESTIMASI KEBUTUHAN UANG EVALUASI</v>
      </c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69"/>
      <c r="AN4" s="70" t="s">
        <v>162</v>
      </c>
    </row>
    <row r="5" spans="2:43" ht="18" customHeight="1" x14ac:dyDescent="0.25">
      <c r="B5" s="253" t="s">
        <v>163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U5" s="253" t="str">
        <f>B5</f>
        <v>TAHUN 2018</v>
      </c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69"/>
      <c r="AN5" s="70" t="s">
        <v>164</v>
      </c>
    </row>
    <row r="6" spans="2:43" ht="21" customHeight="1" x14ac:dyDescent="0.25">
      <c r="B6" s="71" t="str">
        <f>IF(D1="Tahun 2018","Tahun 2018",D1&amp;" Tahun 2018") &amp;" / Realisasi s.d 28 Desember 2018"</f>
        <v>Tahun 2018 / Realisasi s.d 28 Desember 2018</v>
      </c>
      <c r="L6" s="72">
        <v>0.3</v>
      </c>
      <c r="M6" s="73"/>
      <c r="N6" s="73"/>
      <c r="O6" s="73"/>
      <c r="P6" s="73"/>
      <c r="Q6" s="74"/>
      <c r="S6" s="75" t="s">
        <v>165</v>
      </c>
      <c r="T6" s="72">
        <v>0.7</v>
      </c>
      <c r="U6" s="71" t="str">
        <f>B6</f>
        <v>Tahun 2018 / Realisasi s.d 28 Desember 2018</v>
      </c>
      <c r="AG6" s="76"/>
      <c r="AL6" s="75" t="s">
        <v>166</v>
      </c>
      <c r="AM6" s="69"/>
      <c r="AN6" s="74" t="s">
        <v>167</v>
      </c>
    </row>
    <row r="7" spans="2:43" ht="14.25" customHeight="1" x14ac:dyDescent="0.25">
      <c r="B7" s="252" t="s">
        <v>168</v>
      </c>
      <c r="C7" s="250" t="s">
        <v>169</v>
      </c>
      <c r="D7" s="254" t="s">
        <v>170</v>
      </c>
      <c r="E7" s="250" t="s">
        <v>171</v>
      </c>
      <c r="F7" s="250"/>
      <c r="G7" s="250"/>
      <c r="H7" s="250"/>
      <c r="I7" s="250"/>
      <c r="J7" s="250"/>
      <c r="K7" s="250"/>
      <c r="L7" s="249" t="s">
        <v>172</v>
      </c>
      <c r="M7" s="250" t="s">
        <v>173</v>
      </c>
      <c r="N7" s="250"/>
      <c r="O7" s="250"/>
      <c r="P7" s="250"/>
      <c r="Q7" s="250"/>
      <c r="R7" s="249" t="s">
        <v>174</v>
      </c>
      <c r="S7" s="249" t="s">
        <v>175</v>
      </c>
      <c r="U7" s="252" t="s">
        <v>168</v>
      </c>
      <c r="V7" s="250" t="s">
        <v>169</v>
      </c>
      <c r="W7" s="254" t="s">
        <v>170</v>
      </c>
      <c r="X7" s="250" t="s">
        <v>171</v>
      </c>
      <c r="Y7" s="250"/>
      <c r="Z7" s="250"/>
      <c r="AA7" s="250"/>
      <c r="AB7" s="250"/>
      <c r="AC7" s="250"/>
      <c r="AD7" s="250"/>
      <c r="AE7" s="249" t="s">
        <v>172</v>
      </c>
      <c r="AF7" s="250" t="s">
        <v>173</v>
      </c>
      <c r="AG7" s="250"/>
      <c r="AH7" s="250"/>
      <c r="AI7" s="250"/>
      <c r="AJ7" s="250"/>
      <c r="AK7" s="249" t="s">
        <v>174</v>
      </c>
      <c r="AL7" s="249" t="s">
        <v>175</v>
      </c>
      <c r="AM7" s="69"/>
      <c r="AN7" s="74" t="s">
        <v>176</v>
      </c>
    </row>
    <row r="8" spans="2:43" ht="15" x14ac:dyDescent="0.25">
      <c r="B8" s="252"/>
      <c r="C8" s="250"/>
      <c r="D8" s="255"/>
      <c r="E8" s="77">
        <v>100000</v>
      </c>
      <c r="F8" s="77">
        <v>50000</v>
      </c>
      <c r="G8" s="77">
        <v>20000</v>
      </c>
      <c r="H8" s="77">
        <v>10000</v>
      </c>
      <c r="I8" s="77">
        <v>5000</v>
      </c>
      <c r="J8" s="77">
        <v>2000</v>
      </c>
      <c r="K8" s="77">
        <v>1000</v>
      </c>
      <c r="L8" s="249"/>
      <c r="M8" s="77">
        <v>1000</v>
      </c>
      <c r="N8" s="77">
        <v>500</v>
      </c>
      <c r="O8" s="77">
        <v>200</v>
      </c>
      <c r="P8" s="77">
        <v>100</v>
      </c>
      <c r="Q8" s="77">
        <v>50</v>
      </c>
      <c r="R8" s="249"/>
      <c r="S8" s="249"/>
      <c r="U8" s="252"/>
      <c r="V8" s="250"/>
      <c r="W8" s="255"/>
      <c r="X8" s="77">
        <v>100000</v>
      </c>
      <c r="Y8" s="77">
        <v>50000</v>
      </c>
      <c r="Z8" s="77">
        <v>20000</v>
      </c>
      <c r="AA8" s="77">
        <v>10000</v>
      </c>
      <c r="AB8" s="77">
        <v>5000</v>
      </c>
      <c r="AC8" s="77">
        <v>2000</v>
      </c>
      <c r="AD8" s="77">
        <v>1000</v>
      </c>
      <c r="AE8" s="249"/>
      <c r="AF8" s="77">
        <v>1000</v>
      </c>
      <c r="AG8" s="77">
        <v>500</v>
      </c>
      <c r="AH8" s="77">
        <v>200</v>
      </c>
      <c r="AI8" s="77">
        <v>100</v>
      </c>
      <c r="AJ8" s="77">
        <v>50</v>
      </c>
      <c r="AK8" s="249"/>
      <c r="AL8" s="249"/>
      <c r="AM8" s="69"/>
      <c r="AN8" s="74" t="s">
        <v>177</v>
      </c>
    </row>
    <row r="9" spans="2:43" ht="15" x14ac:dyDescent="0.25">
      <c r="B9" s="78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U9" s="78"/>
      <c r="V9" s="79"/>
      <c r="W9" s="79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69"/>
      <c r="AN9" s="74" t="s">
        <v>178</v>
      </c>
    </row>
    <row r="10" spans="2:43" ht="15" x14ac:dyDescent="0.25">
      <c r="B10" s="81">
        <v>1</v>
      </c>
      <c r="C10" s="82" t="s">
        <v>179</v>
      </c>
      <c r="D10" s="83" t="s">
        <v>180</v>
      </c>
      <c r="E10" s="84">
        <f>IF($D$1&lt;&gt;"",IF($D$1=$AN$3,HLOOKUP("PgUK",rku_01.jan,2,FALSE),IF($D$1=$AN$4,HLOOKUP("pguk",rku_02.feb,2,FALSE),IF($D$1=$AN$5,HLOOKUP("pguk",rku_03.mar,2,FALSE),IF($D$1=$AN$6,HLOOKUP("pguk",rku_04.apr,2,FALSE),IF($D$1=$AN$7,HLOOKUP("pguk",rku_05.mei,2,FALSE),IF($D$1=$AN$8,HLOOKUP("pguk",rku_06.jun,2,FALSE),IF($D$1=$AN$9,HLOOKUP("pguk",rku_07.jul,2,FALSE),IF($D$1=$AN$10,HLOOKUP("pguk",rku_08.ags,2,FALSE),IF($D$1=$AN$11,HLOOKUP("pguk",rku_09.sep,2,FALSE),IF($D$1=$AN$12,HLOOKUP("pguk",rku_10.okt,2,FALSE),IF($D$1=$AN$13,HLOOKUP("pguk",rku_11.nov,2,FALSE),IF($D$1=$AN$14,HLOOKUP("pguk",rku_12.des,2,FALSE),IF($D$1=$AN$15,HLOOKUP("pguk",rku_TW_I,2,FALSE),IF($D$1=$AN$16,HLOOKUP("pguk",rku_TW_II,2,FALSE),IF($D$1=$AN$17,HLOOKUP("pguk",rku_TW_III,2,FALSE),IF($D$1=$AN$18,HLOOKUP("pguk",rku_TW_IV,2,FALSE),IF($D$1=$AN$19,HLOOKUP("pguk",rku_SM_I,2,FALSE),IF($D$1=$AN$20,HLOOKUP("pguk",rku_SM_II,2,FALSE),IF($D$1=$AN$21,HLOOKUP("pguk",rku_2013,2,FALSE),IF($D$1=$AN$22,HLOOKUP("pguk",rku_jan_apr,2,FALSE),IF($D$1=$AN$23,HLOOKUP("pguk",rku_jan_mei,2,FALSE),IF($D$1=$AN$24,HLOOKUP("pguk",rku_jan_jul,2,FALSE),IF($D$1=$AN$25,HLOOKUP("pguk",rku_jan_ags,2,FALSE),IF($D$1=$AN$26,HLOOKUP("pguk",rku_jan_sep,2,FALSE),IF($D$1=$AN$27,HLOOKUP("pguk",rku_jan_okt,2,FALSE),IF($D$1=$AN$28,HLOOKUP("pguk",rku_jan_nov,2,FALSE),0)))))))))))))))))))))))))))</f>
        <v>45893966.299999997</v>
      </c>
      <c r="F10" s="84">
        <f>IF($D$1&lt;&gt;"",IF($D$1=$AN$3,HLOOKUP("PgUK",rku_01.jan,3,FALSE),IF($D$1=$AN$4,HLOOKUP("pguk",rku_02.feb,3,FALSE),IF($D$1=$AN$5,HLOOKUP("pguk",rku_03.mar,3,FALSE),IF($D$1=$AN$6,HLOOKUP("pguk",rku_04.apr,3,FALSE),IF($D$1=$AN$7,HLOOKUP("pguk",rku_05.mei,3,FALSE),IF($D$1=$AN$8,HLOOKUP("pguk",rku_06.jun,3,FALSE),IF($D$1=$AN$9,HLOOKUP("pguk",rku_07.jul,3,FALSE),IF($D$1=$AN$10,HLOOKUP("pguk",rku_08.ags,3,FALSE),IF($D$1=$AN$11,HLOOKUP("pguk",rku_09.sep,3,FALSE),IF($D$1=$AN$12,HLOOKUP("pguk",rku_10.okt,3,FALSE),IF($D$1=$AN$13,HLOOKUP("pguk",rku_11.nov,3,FALSE),IF($D$1=$AN$14,HLOOKUP("pguk",rku_12.des,3,FALSE),IF($D$1=$AN$15,HLOOKUP("pguk",rku_TW_I,3,FALSE),IF($D$1=$AN$16,HLOOKUP("pguk",rku_TW_II,3,FALSE),IF($D$1=$AN$17,HLOOKUP("pguk",rku_TW_III,3,FALSE),IF($D$1=$AN$18,HLOOKUP("pguk",rku_TW_IV,3,FALSE),IF($D$1=$AN$19,HLOOKUP("pguk",rku_SM_I,3,FALSE),IF($D$1=$AN$20,HLOOKUP("pguk",rku_SM_II,3,FALSE),IF($D$1=$AN$21,HLOOKUP("pguk",rku_2013,3,FALSE),IF($D$1=$AN$22,HLOOKUP("pguk",rku_jan_apr,3,FALSE),IF($D$1=$AN$23,HLOOKUP("pguk",rku_jan_mei,3,FALSE),IF($D$1=$AN$24,HLOOKUP("pguk",rku_jan_jul,3,FALSE),IF($D$1=$AN$25,HLOOKUP("pguk",rku_jan_ags,3,FALSE),IF($D$1=$AN$26,HLOOKUP("pguk",rku_jan_sep,3,FALSE),IF($D$1=$AN$27,HLOOKUP("pguk",rku_jan_okt,3,FALSE),IF($D$1=$AN$28,HLOOKUP("pguk",rku_jan_nov,3,FALSE),0)))))))))))))))))))))))))))</f>
        <v>16435497</v>
      </c>
      <c r="G10" s="84">
        <f>IF($D$1&lt;&gt;"",IF($D$1=$AN$3,HLOOKUP("PgUK",rku_01.jan,4,FALSE),IF($D$1=$AN$4,HLOOKUP("pguk",rku_02.feb,4,FALSE),IF($D$1=$AN$5,HLOOKUP("pguk",rku_03.mar,4,FALSE),IF($D$1=$AN$6,HLOOKUP("pguk",rku_04.apr,4,FALSE),IF($D$1=$AN$7,HLOOKUP("pguk",rku_05.mei,4,FALSE),IF($D$1=$AN$8,HLOOKUP("pguk",rku_06.jun,4,FALSE),IF($D$1=$AN$9,HLOOKUP("pguk",rku_07.jul,4,FALSE),IF($D$1=$AN$10,HLOOKUP("pguk",rku_08.ags,4,FALSE),IF($D$1=$AN$11,HLOOKUP("pguk",rku_09.sep,4,FALSE),IF($D$1=$AN$12,HLOOKUP("pguk",rku_10.okt,4,FALSE),IF($D$1=$AN$13,HLOOKUP("pguk",rku_11.nov,4,FALSE),IF($D$1=$AN$14,HLOOKUP("pguk",rku_12.des,4,FALSE),IF($D$1=$AN$15,HLOOKUP("pguk",rku_TW_I,4,FALSE),IF($D$1=$AN$16,HLOOKUP("pguk",rku_TW_II,4,FALSE),IF($D$1=$AN$17,HLOOKUP("pguk",rku_TW_III,4,FALSE),IF($D$1=$AN$18,HLOOKUP("pguk",rku_TW_IV,4,FALSE),IF($D$1=$AN$19,HLOOKUP("pguk",rku_SM_I,4,FALSE),IF($D$1=$AN$20,HLOOKUP("pguk",rku_SM_II,4,FALSE),IF($D$1=$AN$21,HLOOKUP("pguk",rku_2013,4,FALSE),IF($D$1=$AN$22,HLOOKUP("pguk",rku_jan_apr,4,FALSE),IF($D$1=$AN$23,HLOOKUP("pguk",rku_jan_mei,4,FALSE),IF($D$1=$AN$24,HLOOKUP("pguk",rku_jan_jul,4,FALSE),IF($D$1=$AN$25,HLOOKUP("pguk",rku_jan_ags,4,FALSE),IF($D$1=$AN$26,HLOOKUP("pguk",rku_jan_sep,4,FALSE),IF($D$1=$AN$27,HLOOKUP("pguk",rku_jan_okt,4,FALSE),IF($D$1=$AN$28,HLOOKUP("pguk",rku_jan_nov,4,FALSE),0)))))))))))))))))))))))))))</f>
        <v>1955985</v>
      </c>
      <c r="H10" s="84">
        <f>IF($D$1&lt;&gt;"",IF($D$1=$AN$3,HLOOKUP("PgUK",rku_01.jan,5,FALSE),IF($D$1=$AN$4,HLOOKUP("pguk",rku_02.feb,5,FALSE),IF($D$1=$AN$5,HLOOKUP("pguk",rku_03.mar,5,FALSE),IF($D$1=$AN$6,HLOOKUP("pguk",rku_04.apr,5,FALSE),IF($D$1=$AN$7,HLOOKUP("pguk",rku_05.mei,5,FALSE),IF($D$1=$AN$8,HLOOKUP("pguk",rku_06.jun,5,FALSE),IF($D$1=$AN$9,HLOOKUP("pguk",rku_07.jul,5,FALSE),IF($D$1=$AN$10,HLOOKUP("pguk",rku_08.ags,5,FALSE),IF($D$1=$AN$11,HLOOKUP("pguk",rku_09.sep,5,FALSE),IF($D$1=$AN$12,HLOOKUP("pguk",rku_10.okt,5,FALSE),IF($D$1=$AN$13,HLOOKUP("pguk",rku_11.nov,5,FALSE),IF($D$1=$AN$14,HLOOKUP("pguk",rku_12.des,5,FALSE),IF($D$1=$AN$15,HLOOKUP("pguk",rku_TW_I,5,FALSE),IF($D$1=$AN$16,HLOOKUP("pguk",rku_TW_II,5,FALSE),IF($D$1=$AN$17,HLOOKUP("pguk",rku_TW_III,5,FALSE),IF($D$1=$AN$18,HLOOKUP("pguk",rku_TW_IV,5,FALSE),IF($D$1=$AN$19,HLOOKUP("pguk",rku_SM_I,5,FALSE),IF($D$1=$AN$20,HLOOKUP("pguk",rku_SM_II,5,FALSE),IF($D$1=$AN$21,HLOOKUP("pguk",rku_2013,5,FALSE),IF($D$1=$AN$22,HLOOKUP("pguk",rku_jan_apr,5,FALSE),IF($D$1=$AN$23,HLOOKUP("pguk",rku_jan_mei,5,FALSE),IF($D$1=$AN$24,HLOOKUP("pguk",rku_jan_jul,5,FALSE),IF($D$1=$AN$25,HLOOKUP("pguk",rku_jan_ags,5,FALSE),IF($D$1=$AN$26,HLOOKUP("pguk",rku_jan_sep,5,FALSE),IF($D$1=$AN$27,HLOOKUP("pguk",rku_jan_okt,5,FALSE),IF($D$1=$AN$28,HLOOKUP("pguk",rku_jan_nov,5,FALSE),0)))))))))))))))))))))))))))</f>
        <v>2124050.0300000003</v>
      </c>
      <c r="I10" s="84">
        <f>IF($D$1&lt;&gt;"",IF($D$1=$AN$3,HLOOKUP("PgUK",rku_01.jan,6,FALSE),IF($D$1=$AN$4,HLOOKUP("pguk",rku_02.feb,6,FALSE),IF($D$1=$AN$5,HLOOKUP("pguk",rku_03.mar,6,FALSE),IF($D$1=$AN$6,HLOOKUP("pguk",rku_04.apr,6,FALSE),IF($D$1=$AN$7,HLOOKUP("pguk",rku_05.mei,6,FALSE),IF($D$1=$AN$8,HLOOKUP("pguk",rku_06.jun,6,FALSE),IF($D$1=$AN$9,HLOOKUP("pguk",rku_07.jul,6,FALSE),IF($D$1=$AN$10,HLOOKUP("pguk",rku_08.ags,6,FALSE),IF($D$1=$AN$11,HLOOKUP("pguk",rku_09.sep,6,FALSE),IF($D$1=$AN$12,HLOOKUP("pguk",rku_10.okt,6,FALSE),IF($D$1=$AN$13,HLOOKUP("pguk",rku_11.nov,6,FALSE),IF($D$1=$AN$14,HLOOKUP("pguk",rku_12.des,6,FALSE),IF($D$1=$AN$15,HLOOKUP("pguk",rku_TW_I,6,FALSE),IF($D$1=$AN$16,HLOOKUP("pguk",rku_TW_II,6,FALSE),IF($D$1=$AN$17,HLOOKUP("pguk",rku_TW_III,6,FALSE),IF($D$1=$AN$18,HLOOKUP("pguk",rku_TW_IV,6,FALSE),IF($D$1=$AN$19,HLOOKUP("pguk",rku_SM_I,6,FALSE),IF($D$1=$AN$20,HLOOKUP("pguk",rku_SM_II,6,FALSE),IF($D$1=$AN$21,HLOOKUP("pguk",rku_2013,6,FALSE),IF($D$1=$AN$22,HLOOKUP("pguk",rku_jan_apr,6,FALSE),IF($D$1=$AN$23,HLOOKUP("pguk",rku_jan_mei,6,FALSE),IF($D$1=$AN$24,HLOOKUP("pguk",rku_jan_jul,6,FALSE),IF($D$1=$AN$25,HLOOKUP("pguk",rku_jan_ags,6,FALSE),IF($D$1=$AN$26,HLOOKUP("pguk",rku_jan_sep,6,FALSE),IF($D$1=$AN$27,HLOOKUP("pguk",rku_jan_okt,6,FALSE),IF($D$1=$AN$28,HLOOKUP("pguk",rku_jan_nov,6,FALSE),0)))))))))))))))))))))))))))</f>
        <v>2496749.5150000001</v>
      </c>
      <c r="J10" s="84">
        <f>IF($D$1&lt;&gt;"",IF($D$1=$AN$3,HLOOKUP("PgUK",rku_01.jan,7,FALSE),IF($D$1=$AN$4,HLOOKUP("pguk",rku_02.feb,7,FALSE),IF($D$1=$AN$5,HLOOKUP("pguk",rku_03.mar,7,FALSE),IF($D$1=$AN$6,HLOOKUP("pguk",rku_04.apr,7,FALSE),IF($D$1=$AN$7,HLOOKUP("pguk",rku_05.mei,7,FALSE),IF($D$1=$AN$8,HLOOKUP("pguk",rku_06.jun,7,FALSE),IF($D$1=$AN$9,HLOOKUP("pguk",rku_07.jul,7,FALSE),IF($D$1=$AN$10,HLOOKUP("pguk",rku_08.ags,7,FALSE),IF($D$1=$AN$11,HLOOKUP("pguk",rku_09.sep,7,FALSE),IF($D$1=$AN$12,HLOOKUP("pguk",rku_10.okt,7,FALSE),IF($D$1=$AN$13,HLOOKUP("pguk",rku_11.nov,7,FALSE),IF($D$1=$AN$14,HLOOKUP("pguk",rku_12.des,7,FALSE),IF($D$1=$AN$15,HLOOKUP("pguk",rku_TW_I,7,FALSE),IF($D$1=$AN$16,HLOOKUP("pguk",rku_TW_II,7,FALSE),IF($D$1=$AN$17,HLOOKUP("pguk",rku_TW_III,7,FALSE),IF($D$1=$AN$18,HLOOKUP("pguk",rku_TW_IV,7,FALSE),IF($D$1=$AN$19,HLOOKUP("pguk",rku_SM_I,7,FALSE),IF($D$1=$AN$20,HLOOKUP("pguk",rku_SM_II,7,FALSE),IF($D$1=$AN$21,HLOOKUP("pguk",rku_2013,7,FALSE),IF($D$1=$AN$22,HLOOKUP("pguk",rku_jan_apr,7,FALSE),IF($D$1=$AN$23,HLOOKUP("pguk",rku_jan_mei,7,FALSE),IF($D$1=$AN$24,HLOOKUP("pguk",rku_jan_jul,7,FALSE),IF($D$1=$AN$25,HLOOKUP("pguk",rku_jan_ags,7,FALSE),IF($D$1=$AN$26,HLOOKUP("pguk",rku_jan_sep,7,FALSE),IF($D$1=$AN$27,HLOOKUP("pguk",rku_jan_okt,7,FALSE),IF($D$1=$AN$28,HLOOKUP("pguk",rku_jan_nov,7,FALSE),0)))))))))))))))))))))))))))</f>
        <v>1082697.6059999999</v>
      </c>
      <c r="K10" s="84">
        <f>IF($D$1&lt;&gt;"",IF($D$1=$AN$3,HLOOKUP("PgUK",rku_01.jan,8,FALSE),IF($D$1=$AN$4,HLOOKUP("pguk",rku_02.feb,8,FALSE),IF($D$1=$AN$5,HLOOKUP("pguk",rku_03.mar,8,FALSE),IF($D$1=$AN$6,HLOOKUP("pguk",rku_04.apr,8,FALSE),IF($D$1=$AN$7,HLOOKUP("pguk",rku_05.mei,8,FALSE),IF($D$1=$AN$8,HLOOKUP("pguk",rku_06.jun,8,FALSE),IF($D$1=$AN$9,HLOOKUP("pguk",rku_07.jul,8,FALSE),IF($D$1=$AN$10,HLOOKUP("pguk",rku_08.ags,8,FALSE),IF($D$1=$AN$11,HLOOKUP("pguk",rku_09.sep,8,FALSE),IF($D$1=$AN$12,HLOOKUP("pguk",rku_10.okt,8,FALSE),IF($D$1=$AN$13,HLOOKUP("pguk",rku_11.nov,8,FALSE),IF($D$1=$AN$14,HLOOKUP("pguk",rku_12.des,8,FALSE),IF($D$1=$AN$15,HLOOKUP("pguk",rku_TW_I,8,FALSE),IF($D$1=$AN$16,HLOOKUP("pguk",rku_TW_II,8,FALSE),IF($D$1=$AN$17,HLOOKUP("pguk",rku_TW_III,8,FALSE),IF($D$1=$AN$18,HLOOKUP("pguk",rku_TW_IV,8,FALSE),IF($D$1=$AN$19,HLOOKUP("pguk",rku_SM_I,8,FALSE),IF($D$1=$AN$20,HLOOKUP("pguk",rku_SM_II,8,FALSE),IF($D$1=$AN$21,HLOOKUP("pguk",rku_2013,8,FALSE),IF($D$1=$AN$22,HLOOKUP("pguk",rku_jan_apr,8,FALSE),IF($D$1=$AN$23,HLOOKUP("pguk",rku_jan_mei,8,FALSE),IF($D$1=$AN$24,HLOOKUP("pguk",rku_jan_jul,8,FALSE),IF($D$1=$AN$25,HLOOKUP("pguk",rku_jan_ags,8,FALSE),IF($D$1=$AN$26,HLOOKUP("pguk",rku_jan_sep,8,FALSE),IF($D$1=$AN$27,HLOOKUP("pguk",rku_jan_okt,8,FALSE),IF($D$1=$AN$28,HLOOKUP("pguk",rku_jan_nov,8,FALSE),0)))))))))))))))))))))))))))</f>
        <v>2335.3029999999999</v>
      </c>
      <c r="L10" s="85">
        <f>+SUM(E10:K10)</f>
        <v>69991280.754000008</v>
      </c>
      <c r="M10" s="84">
        <f>IF($D$1&lt;&gt;"",IF($D$1=$AN$3,HLOOKUP("PgUK",rku_01.jan,10,FALSE),IF($D$1=$AN$4,HLOOKUP("pguk",rku_02.feb,10,FALSE),IF($D$1=$AN$5,HLOOKUP("pguk",rku_03.mar,10,FALSE),IF($D$1=$AN$6,HLOOKUP("pguk",rku_04.apr,10,FALSE),IF($D$1=$AN$7,HLOOKUP("pguk",rku_05.mei,10,FALSE),IF($D$1=$AN$8,HLOOKUP("pguk",rku_06.jun,10,FALSE),IF($D$1=$AN$9,HLOOKUP("pguk",rku_07.jul,10,FALSE),IF($D$1=$AN$10,HLOOKUP("pguk",rku_08.ags,10,FALSE),IF($D$1=$AN$11,HLOOKUP("pguk",rku_09.sep,10,FALSE),IF($D$1=$AN$12,HLOOKUP("pguk",rku_10.okt,10,FALSE),IF($D$1=$AN$13,HLOOKUP("pguk",rku_11.nov,10,FALSE),IF($D$1=$AN$14,HLOOKUP("pguk",rku_12.des,10,FALSE),IF($D$1=$AN$15,HLOOKUP("pguk",rku_TW_I,10,FALSE),IF($D$1=$AN$16,HLOOKUP("pguk",rku_TW_II,10,FALSE),IF($D$1=$AN$17,HLOOKUP("pguk",rku_TW_III,10,FALSE),IF($D$1=$AN$18,HLOOKUP("pguk",rku_TW_IV,10,FALSE),IF($D$1=$AN$19,HLOOKUP("pguk",rku_SM_I,10,FALSE),IF($D$1=$AN$20,HLOOKUP("pguk",rku_SM_II,10,FALSE),IF($D$1=$AN$21,HLOOKUP("pguk",rku_2013,10,FALSE),IF($D$1=$AN$22,HLOOKUP("pguk",rku_jan_apr,10,FALSE),IF($D$1=$AN$23,HLOOKUP("pguk",rku_jan_mei,10,FALSE),IF($D$1=$AN$24,HLOOKUP("pguk",rku_jan_jul,10,FALSE),IF($D$1=$AN$25,HLOOKUP("pguk",rku_jan_ags,10,FALSE),IF($D$1=$AN$26,HLOOKUP("pguk",rku_jan_sep,10,FALSE),IF($D$1=$AN$27,HLOOKUP("pguk",rku_jan_okt,10,FALSE),IF($D$1=$AN$28,HLOOKUP("pguk",rku_jan_nov,10,FALSE),0)))))))))))))))))))))))))))</f>
        <v>83973.131999999998</v>
      </c>
      <c r="N10" s="84">
        <f>IF($D$1&lt;&gt;"",IF($D$1=$AN$3,HLOOKUP("PgUK",rku_01.jan,11,FALSE),IF($D$1=$AN$4,HLOOKUP("pguk",rku_02.feb,11,FALSE),IF($D$1=$AN$5,HLOOKUP("pguk",rku_03.mar,11,FALSE),IF($D$1=$AN$6,HLOOKUP("pguk",rku_04.apr,11,FALSE),IF($D$1=$AN$7,HLOOKUP("pguk",rku_05.mei,11,FALSE),IF($D$1=$AN$8,HLOOKUP("pguk",rku_06.jun,11,FALSE),IF($D$1=$AN$9,HLOOKUP("pguk",rku_07.jul,11,FALSE),IF($D$1=$AN$10,HLOOKUP("pguk",rku_08.ags,11,FALSE),IF($D$1=$AN$11,HLOOKUP("pguk",rku_09.sep,11,FALSE),IF($D$1=$AN$12,HLOOKUP("pguk",rku_10.okt,11,FALSE),IF($D$1=$AN$13,HLOOKUP("pguk",rku_11.nov,11,FALSE),IF($D$1=$AN$14,HLOOKUP("pguk",rku_12.des,11,FALSE),IF($D$1=$AN$15,HLOOKUP("pguk",rku_TW_I,11,FALSE),IF($D$1=$AN$16,HLOOKUP("pguk",rku_TW_II,11,FALSE),IF($D$1=$AN$17,HLOOKUP("pguk",rku_TW_III,11,FALSE),IF($D$1=$AN$18,HLOOKUP("pguk",rku_TW_IV,11,FALSE),IF($D$1=$AN$19,HLOOKUP("pguk",rku_SM_I,11,FALSE),IF($D$1=$AN$20,HLOOKUP("pguk",rku_SM_II,11,FALSE),IF($D$1=$AN$21,HLOOKUP("pguk",rku_2013,11,FALSE),IF($D$1=$AN$22,HLOOKUP("pguk",rku_jan_apr,11,FALSE),IF($D$1=$AN$23,HLOOKUP("pguk",rku_jan_mei,11,FALSE),IF($D$1=$AN$24,HLOOKUP("pguk",rku_jan_jul,11,FALSE),IF($D$1=$AN$25,HLOOKUP("pguk",rku_jan_ags,11,FALSE),IF($D$1=$AN$26,HLOOKUP("pguk",rku_jan_sep,11,FALSE),IF($D$1=$AN$27,HLOOKUP("pguk",rku_jan_okt,11,FALSE),IF($D$1=$AN$28,HLOOKUP("pguk",rku_jan_nov,11,FALSE),0)))))))))))))))))))))))))))</f>
        <v>108015</v>
      </c>
      <c r="O10" s="84">
        <f>IF($D$1&lt;&gt;"",IF($D$1=$AN$3,HLOOKUP("PgUK",rku_01.jan,12,FALSE),IF($D$1=$AN$4,HLOOKUP("pguk",rku_02.feb,12,FALSE),IF($D$1=$AN$5,HLOOKUP("pguk",rku_03.mar,12,FALSE),IF($D$1=$AN$6,HLOOKUP("pguk",rku_04.apr,12,FALSE),IF($D$1=$AN$7,HLOOKUP("pguk",rku_05.mei,12,FALSE),IF($D$1=$AN$8,HLOOKUP("pguk",rku_06.jun,12,FALSE),IF($D$1=$AN$9,HLOOKUP("pguk",rku_07.jul,12,FALSE),IF($D$1=$AN$10,HLOOKUP("pguk",rku_08.ags,12,FALSE),IF($D$1=$AN$11,HLOOKUP("pguk",rku_09.sep,12,FALSE),IF($D$1=$AN$12,HLOOKUP("pguk",rku_10.okt,12,FALSE),IF($D$1=$AN$13,HLOOKUP("pguk",rku_11.nov,12,FALSE),IF($D$1=$AN$14,HLOOKUP("pguk",rku_12.des,12,FALSE),IF($D$1=$AN$15,HLOOKUP("pguk",rku_TW_I,12,FALSE),IF($D$1=$AN$16,HLOOKUP("pguk",rku_TW_II,12,FALSE),IF($D$1=$AN$17,HLOOKUP("pguk",rku_TW_III,12,FALSE),IF($D$1=$AN$18,HLOOKUP("pguk",rku_TW_IV,12,FALSE),IF($D$1=$AN$19,HLOOKUP("pguk",rku_SM_I,12,FALSE),IF($D$1=$AN$20,HLOOKUP("pguk",rku_SM_II,12,FALSE),IF($D$1=$AN$21,HLOOKUP("pguk",rku_2013,12,FALSE),IF($D$1=$AN$22,HLOOKUP("pguk",rku_jan_apr,12,FALSE),IF($D$1=$AN$23,HLOOKUP("pguk",rku_jan_mei,12,FALSE),IF($D$1=$AN$24,HLOOKUP("pguk",rku_jan_jul,12,FALSE),IF($D$1=$AN$25,HLOOKUP("pguk",rku_jan_ags,12,FALSE),IF($D$1=$AN$26,HLOOKUP("pguk",rku_jan_sep,12,FALSE),IF($D$1=$AN$27,HLOOKUP("pguk",rku_jan_okt,12,FALSE),IF($D$1=$AN$28,HLOOKUP("pguk",rku_jan_nov,12,FALSE),0)))))))))))))))))))))))))))</f>
        <v>19624</v>
      </c>
      <c r="P10" s="84">
        <f>IF($D$1&lt;&gt;"",IF($D$1=$AN$3,HLOOKUP("PgUK",rku_01.jan,13,FALSE),IF($D$1=$AN$4,HLOOKUP("pguk",rku_02.feb,13,FALSE),IF($D$1=$AN$5,HLOOKUP("pguk",rku_03.mar,13,FALSE),IF($D$1=$AN$6,HLOOKUP("pguk",rku_04.apr,13,FALSE),IF($D$1=$AN$7,HLOOKUP("pguk",rku_05.mei,13,FALSE),IF($D$1=$AN$8,HLOOKUP("pguk",rku_06.jun,13,FALSE),IF($D$1=$AN$9,HLOOKUP("pguk",rku_07.jul,13,FALSE),IF($D$1=$AN$10,HLOOKUP("pguk",rku_08.ags,13,FALSE),IF($D$1=$AN$11,HLOOKUP("pguk",rku_09.sep,13,FALSE),IF($D$1=$AN$12,HLOOKUP("pguk",rku_10.okt,13,FALSE),IF($D$1=$AN$13,HLOOKUP("pguk",rku_11.nov,13,FALSE),IF($D$1=$AN$14,HLOOKUP("pguk",rku_12.des,13,FALSE),IF($D$1=$AN$15,HLOOKUP("pguk",rku_TW_I,13,FALSE),IF($D$1=$AN$16,HLOOKUP("pguk",rku_TW_II,13,FALSE),IF($D$1=$AN$17,HLOOKUP("pguk",rku_TW_III,13,FALSE),IF($D$1=$AN$18,HLOOKUP("pguk",rku_TW_IV,13,FALSE),IF($D$1=$AN$19,HLOOKUP("pguk",rku_SM_I,13,FALSE),IF($D$1=$AN$20,HLOOKUP("pguk",rku_SM_II,13,FALSE),IF($D$1=$AN$21,HLOOKUP("pguk",rku_2013,13,FALSE),IF($D$1=$AN$22,HLOOKUP("pguk",rku_jan_apr,13,FALSE),IF($D$1=$AN$23,HLOOKUP("pguk",rku_jan_mei,13,FALSE),IF($D$1=$AN$24,HLOOKUP("pguk",rku_jan_jul,13,FALSE),IF($D$1=$AN$25,HLOOKUP("pguk",rku_jan_ags,13,FALSE),IF($D$1=$AN$26,HLOOKUP("pguk",rku_jan_sep,13,FALSE),IF($D$1=$AN$27,HLOOKUP("pguk",rku_jan_okt,13,FALSE),IF($D$1=$AN$28,HLOOKUP("pguk",rku_jan_nov,13,FALSE),0)))))))))))))))))))))))))))</f>
        <v>14633</v>
      </c>
      <c r="Q10" s="84">
        <f>IF($D$1&lt;&gt;"",IF($D$1=$AN$3,HLOOKUP("PgUK",rku_01.jan,14,FALSE),IF($D$1=$AN$4,HLOOKUP("pguk",rku_02.feb,14,FALSE),IF($D$1=$AN$5,HLOOKUP("pguk",rku_03.mar,14,FALSE),IF($D$1=$AN$6,HLOOKUP("pguk",rku_04.apr,14,FALSE),IF($D$1=$AN$7,HLOOKUP("pguk",rku_05.mei,14,FALSE),IF($D$1=$AN$8,HLOOKUP("pguk",rku_06.jun,14,FALSE),IF($D$1=$AN$9,HLOOKUP("pguk",rku_07.jul,14,FALSE),IF($D$1=$AN$10,HLOOKUP("pguk",rku_08.ags,14,FALSE),IF($D$1=$AN$11,HLOOKUP("pguk",rku_09.sep,14,FALSE),IF($D$1=$AN$12,HLOOKUP("pguk",rku_10.okt,14,FALSE),IF($D$1=$AN$13,HLOOKUP("pguk",rku_11.nov,14,FALSE),IF($D$1=$AN$14,HLOOKUP("pguk",rku_12.des,14,FALSE),IF($D$1=$AN$15,HLOOKUP("pguk",rku_TW_I,14,FALSE),IF($D$1=$AN$16,HLOOKUP("pguk",rku_TW_II,14,FALSE),IF($D$1=$AN$17,HLOOKUP("pguk",rku_TW_III,14,FALSE),IF($D$1=$AN$18,HLOOKUP("pguk",rku_TW_IV,14,FALSE),IF($D$1=$AN$19,HLOOKUP("pguk",rku_SM_I,14,FALSE),IF($D$1=$AN$20,HLOOKUP("pguk",rku_SM_II,14,FALSE),IF($D$1=$AN$21,HLOOKUP("pguk",rku_2013,14,FALSE),IF($D$1=$AN$22,HLOOKUP("pguk",rku_jan_apr,14,FALSE),IF($D$1=$AN$23,HLOOKUP("pguk",rku_jan_mei,14,FALSE),IF($D$1=$AN$24,HLOOKUP("pguk",rku_jan_jul,14,FALSE),IF($D$1=$AN$25,HLOOKUP("pguk",rku_jan_ags,14,FALSE),IF($D$1=$AN$26,HLOOKUP("pguk",rku_jan_sep,14,FALSE),IF($D$1=$AN$27,HLOOKUP("pguk",rku_jan_okt,14,FALSE),IF($D$1=$AN$28,HLOOKUP("pguk",rku_jan_nov,14,FALSE),0)))))))))))))))))))))))))))</f>
        <v>50</v>
      </c>
      <c r="R10" s="85">
        <f>+SUM(M10:Q10)</f>
        <v>226295.13199999998</v>
      </c>
      <c r="S10" s="84">
        <f>+R10+L10</f>
        <v>70217575.886000007</v>
      </c>
      <c r="U10" s="81">
        <v>1</v>
      </c>
      <c r="V10" s="83" t="s">
        <v>179</v>
      </c>
      <c r="W10" s="83" t="s">
        <v>180</v>
      </c>
      <c r="X10" s="84">
        <f t="shared" ref="X10:AD11" si="0">E10/X$100</f>
        <v>22946.98315</v>
      </c>
      <c r="Y10" s="84">
        <f t="shared" si="0"/>
        <v>16435.496999999999</v>
      </c>
      <c r="Z10" s="84">
        <f t="shared" si="0"/>
        <v>4889.9624999999996</v>
      </c>
      <c r="AA10" s="84">
        <f t="shared" si="0"/>
        <v>10620.250150000002</v>
      </c>
      <c r="AB10" s="84">
        <f t="shared" si="0"/>
        <v>24967.495150000002</v>
      </c>
      <c r="AC10" s="84">
        <f t="shared" si="0"/>
        <v>27067.440149999999</v>
      </c>
      <c r="AD10" s="84">
        <f t="shared" si="0"/>
        <v>116.76514999999999</v>
      </c>
      <c r="AE10" s="85">
        <f>+SUM(X10:AD10)</f>
        <v>107044.39325000001</v>
      </c>
      <c r="AF10" s="84">
        <f t="shared" ref="AF10:AJ11" si="1">M10/AF$100</f>
        <v>16794.626400000001</v>
      </c>
      <c r="AG10" s="84">
        <f t="shared" si="1"/>
        <v>43206</v>
      </c>
      <c r="AH10" s="84">
        <f t="shared" si="1"/>
        <v>9812</v>
      </c>
      <c r="AI10" s="84">
        <f t="shared" si="1"/>
        <v>14633</v>
      </c>
      <c r="AJ10" s="84">
        <f t="shared" si="1"/>
        <v>50</v>
      </c>
      <c r="AK10" s="85">
        <f>+SUM(AF10:AJ10)</f>
        <v>84495.626400000008</v>
      </c>
      <c r="AL10" s="84">
        <f>+AK10+AE10</f>
        <v>191540.01965000003</v>
      </c>
      <c r="AM10" s="69"/>
      <c r="AN10" s="74" t="s">
        <v>181</v>
      </c>
      <c r="AP10" s="66">
        <v>669</v>
      </c>
      <c r="AQ10" s="66">
        <v>803</v>
      </c>
    </row>
    <row r="11" spans="2:43" ht="15" x14ac:dyDescent="0.25">
      <c r="B11" s="86"/>
      <c r="C11" s="87"/>
      <c r="D11" s="87" t="s">
        <v>182</v>
      </c>
      <c r="E11" s="88">
        <f>IF($D$1&lt;&gt;"",IF($D$1=$AN$3,HLOOKUP("PgUK",real_rku_01.jan,2,FALSE),IF($D$1=$AN$4,HLOOKUP("pguk",real_rku_02.feb,2,FALSE),IF($D$1=$AN$5,HLOOKUP("pguk",real_rku_03.mar,2,FALSE),IF($D$1=$AN$6,HLOOKUP("pguk",real_rku_04.apr,2,FALSE),IF($D$1=$AN$7,HLOOKUP("pguk",real_rku_05.mei,2,FALSE),IF($D$1=$AN$8,HLOOKUP("pguk",real_rku_06.jun,2,FALSE),IF($D$1=$AN$9,HLOOKUP("pguk",real_rku_07.jul,2,FALSE),IF($D$1=$AN$10,HLOOKUP("pguk",real_rku_08.ags,2,FALSE),IF($D$1=$AN$11,HLOOKUP("pguk",real_rku_09.sep,2,FALSE),IF($D$1=$AN$12,HLOOKUP("pguk",real_rku_10.okt,2,FALSE),IF($D$1=$AN$13,HLOOKUP("pguk",real_rku_11.nov,2,FALSE),IF($D$1=$AN$14,HLOOKUP("pguk",real_rku_12.des,2,FALSE),IF($D$1=$AN$15,HLOOKUP("pguk",real_rku_TW_I,2,FALSE),IF($D$1=$AN$16,HLOOKUP("pguk",real_rku_TW_II,2,FALSE),IF($D$1=$AN$17,HLOOKUP("pguk",real_rku_TW_III,2,FALSE),IF($D$1=$AN$18,HLOOKUP("pguk",real_rku_TW_IV,2,FALSE),IF($D$1=$AN$19,HLOOKUP("pguk",real_rku_SM_I,2,FALSE),IF($D$1=$AN$20,HLOOKUP("pguk",real_rku_SM_II,2,FALSE),IF($D$1=$AN$21,HLOOKUP("pguk",real_rku_2013,2,FALSE),IF($D$1=$AN$22,HLOOKUP("pguk",real_rku_jan_apr,2,FALSE),IF($D$1=$AN$23,HLOOKUP("pguk",real_rku_jan_mei,2,FALSE),IF($D$1=$AN$24,HLOOKUP("pguk",real_rku_jan_jul,2,FALSE),IF($D$1=$AN$25,HLOOKUP("pguk",real_rku_jan_ags,2,FALSE),IF($D$1=$AN$26,HLOOKUP("pguk",real_rku_jan_sep,2,FALSE),IF($D$1=$AN$27,HLOOKUP("pguk",real_rku_jan_okt,2,FALSE),IF($D$1=$AN$28,HLOOKUP("pguk",real_rku_jan_nov,2,FALSE),0)))))))))))))))))))))))))))</f>
        <v>48729966.299999997</v>
      </c>
      <c r="F11" s="88">
        <f>IF($D$1&lt;&gt;"",IF($D$1=$AN$3,HLOOKUP("PgUK",real_rku_01.jan,3,FALSE),IF($D$1=$AN$4,HLOOKUP("pguk",real_rku_02.feb,3,FALSE),IF($D$1=$AN$5,HLOOKUP("pguk",real_rku_03.mar,3,FALSE),IF($D$1=$AN$6,HLOOKUP("pguk",real_rku_04.apr,3,FALSE),IF($D$1=$AN$7,HLOOKUP("pguk",real_rku_05.mei,3,FALSE),IF($D$1=$AN$8,HLOOKUP("pguk",real_rku_06.jun,3,FALSE),IF($D$1=$AN$9,HLOOKUP("pguk",real_rku_07.jul,3,FALSE),IF($D$1=$AN$10,HLOOKUP("pguk",real_rku_08.ags,3,FALSE),IF($D$1=$AN$11,HLOOKUP("pguk",real_rku_09.sep,3,FALSE),IF($D$1=$AN$12,HLOOKUP("pguk",real_rku_10.okt,3,FALSE),IF($D$1=$AN$13,HLOOKUP("pguk",real_rku_11.nov,3,FALSE),IF($D$1=$AN$14,HLOOKUP("pguk",real_rku_12.des,3,FALSE),IF($D$1=$AN$15,HLOOKUP("pguk",real_rku_TW_I,3,FALSE),IF($D$1=$AN$16,HLOOKUP("pguk",real_rku_TW_II,3,FALSE),IF($D$1=$AN$17,HLOOKUP("pguk",real_rku_TW_III,3,FALSE),IF($D$1=$AN$18,HLOOKUP("pguk",real_rku_TW_IV,3,FALSE),IF($D$1=$AN$19,HLOOKUP("pguk",real_rku_SM_I,3,FALSE),IF($D$1=$AN$20,HLOOKUP("pguk",real_rku_SM_II,3,FALSE),IF($D$1=$AN$21,HLOOKUP("pguk",real_rku_2013,3,FALSE),IF($D$1=$AN$22,HLOOKUP("pguk",real_rku_jan_apr,3,FALSE),IF($D$1=$AN$23,HLOOKUP("pguk",real_rku_jan_mei,3,FALSE),IF($D$1=$AN$24,HLOOKUP("pguk",real_rku_jan_jul,3,FALSE),IF($D$1=$AN$25,HLOOKUP("pguk",real_rku_jan_ags,3,FALSE),IF($D$1=$AN$26,HLOOKUP("pguk",real_rku_jan_sep,3,FALSE),IF($D$1=$AN$27,HLOOKUP("pguk",real_rku_jan_okt,3,FALSE),IF($D$1=$AN$28,HLOOKUP("pguk",real_rku_jan_nov,3,FALSE),0)))))))))))))))))))))))))))</f>
        <v>13209497</v>
      </c>
      <c r="G11" s="88">
        <f>IF($D$1&lt;&gt;"",IF($D$1=$AN$3,HLOOKUP("PgUK",real_rku_01.jan,4,FALSE),IF($D$1=$AN$4,HLOOKUP("pguk",real_rku_02.feb,4,FALSE),IF($D$1=$AN$5,HLOOKUP("pguk",real_rku_03.mar,4,FALSE),IF($D$1=$AN$6,HLOOKUP("pguk",real_rku_04.apr,4,FALSE),IF($D$1=$AN$7,HLOOKUP("pguk",real_rku_05.mei,4,FALSE),IF($D$1=$AN$8,HLOOKUP("pguk",real_rku_06.jun,4,FALSE),IF($D$1=$AN$9,HLOOKUP("pguk",real_rku_07.jul,4,FALSE),IF($D$1=$AN$10,HLOOKUP("pguk",real_rku_08.ags,4,FALSE),IF($D$1=$AN$11,HLOOKUP("pguk",real_rku_09.sep,4,FALSE),IF($D$1=$AN$12,HLOOKUP("pguk",real_rku_10.okt,4,FALSE),IF($D$1=$AN$13,HLOOKUP("pguk",real_rku_11.nov,4,FALSE),IF($D$1=$AN$14,HLOOKUP("pguk",real_rku_12.des,4,FALSE),IF($D$1=$AN$15,HLOOKUP("pguk",real_rku_TW_I,4,FALSE),IF($D$1=$AN$16,HLOOKUP("pguk",real_rku_TW_II,4,FALSE),IF($D$1=$AN$17,HLOOKUP("pguk",real_rku_TW_III,4,FALSE),IF($D$1=$AN$18,HLOOKUP("pguk",real_rku_TW_IV,4,FALSE),IF($D$1=$AN$19,HLOOKUP("pguk",real_rku_SM_I,4,FALSE),IF($D$1=$AN$20,HLOOKUP("pguk",real_rku_SM_II,4,FALSE),IF($D$1=$AN$21,HLOOKUP("pguk",real_rku_2013,4,FALSE),IF($D$1=$AN$22,HLOOKUP("pguk",real_rku_jan_apr,4,FALSE),IF($D$1=$AN$23,HLOOKUP("pguk",real_rku_jan_mei,4,FALSE),IF($D$1=$AN$24,HLOOKUP("pguk",real_rku_jan_jul,4,FALSE),IF($D$1=$AN$25,HLOOKUP("pguk",real_rku_jan_ags,4,FALSE),IF($D$1=$AN$26,HLOOKUP("pguk",real_rku_jan_sep,4,FALSE),IF($D$1=$AN$27,HLOOKUP("pguk",real_rku_jan_okt,4,FALSE),IF($D$1=$AN$28,HLOOKUP("pguk",real_rku_jan_nov,4,FALSE),0)))))))))))))))))))))))))))</f>
        <v>4553185</v>
      </c>
      <c r="H11" s="88">
        <f>IF($D$1&lt;&gt;"",IF($D$1=$AN$3,HLOOKUP("PgUK",real_rku_01.jan,5,FALSE),IF($D$1=$AN$4,HLOOKUP("pguk",real_rku_02.feb,5,FALSE),IF($D$1=$AN$5,HLOOKUP("pguk",real_rku_03.mar,5,FALSE),IF($D$1=$AN$6,HLOOKUP("pguk",real_rku_04.apr,5,FALSE),IF($D$1=$AN$7,HLOOKUP("pguk",real_rku_05.mei,5,FALSE),IF($D$1=$AN$8,HLOOKUP("pguk",real_rku_06.jun,5,FALSE),IF($D$1=$AN$9,HLOOKUP("pguk",real_rku_07.jul,5,FALSE),IF($D$1=$AN$10,HLOOKUP("pguk",real_rku_08.ags,5,FALSE),IF($D$1=$AN$11,HLOOKUP("pguk",real_rku_09.sep,5,FALSE),IF($D$1=$AN$12,HLOOKUP("pguk",real_rku_10.okt,5,FALSE),IF($D$1=$AN$13,HLOOKUP("pguk",real_rku_11.nov,5,FALSE),IF($D$1=$AN$14,HLOOKUP("pguk",real_rku_12.des,5,FALSE),IF($D$1=$AN$15,HLOOKUP("pguk",real_rku_TW_I,5,FALSE),IF($D$1=$AN$16,HLOOKUP("pguk",real_rku_TW_II,5,FALSE),IF($D$1=$AN$17,HLOOKUP("pguk",real_rku_TW_III,5,FALSE),IF($D$1=$AN$18,HLOOKUP("pguk",real_rku_TW_IV,5,FALSE),IF($D$1=$AN$19,HLOOKUP("pguk",real_rku_SM_I,5,FALSE),IF($D$1=$AN$20,HLOOKUP("pguk",real_rku_SM_II,5,FALSE),IF($D$1=$AN$21,HLOOKUP("pguk",real_rku_2013,5,FALSE),IF($D$1=$AN$22,HLOOKUP("pguk",real_rku_jan_apr,5,FALSE),IF($D$1=$AN$23,HLOOKUP("pguk",real_rku_jan_mei,5,FALSE),IF($D$1=$AN$24,HLOOKUP("pguk",real_rku_jan_jul,5,FALSE),IF($D$1=$AN$25,HLOOKUP("pguk",real_rku_jan_ags,5,FALSE),IF($D$1=$AN$26,HLOOKUP("pguk",real_rku_jan_sep,5,FALSE),IF($D$1=$AN$27,HLOOKUP("pguk",real_rku_jan_okt,5,FALSE),IF($D$1=$AN$28,HLOOKUP("pguk",real_rku_jan_nov,5,FALSE),0)))))))))))))))))))))))))))</f>
        <v>2002050.03</v>
      </c>
      <c r="I11" s="88">
        <f>IF($D$1&lt;&gt;"",IF($D$1=$AN$3,HLOOKUP("PgUK",real_rku_01.jan,6,FALSE),IF($D$1=$AN$4,HLOOKUP("pguk",real_rku_02.feb,6,FALSE),IF($D$1=$AN$5,HLOOKUP("pguk",real_rku_03.mar,6,FALSE),IF($D$1=$AN$6,HLOOKUP("pguk",real_rku_04.apr,6,FALSE),IF($D$1=$AN$7,HLOOKUP("pguk",real_rku_05.mei,6,FALSE),IF($D$1=$AN$8,HLOOKUP("pguk",real_rku_06.jun,6,FALSE),IF($D$1=$AN$9,HLOOKUP("pguk",real_rku_07.jul,6,FALSE),IF($D$1=$AN$10,HLOOKUP("pguk",real_rku_08.ags,6,FALSE),IF($D$1=$AN$11,HLOOKUP("pguk",real_rku_09.sep,6,FALSE),IF($D$1=$AN$12,HLOOKUP("pguk",real_rku_10.okt,6,FALSE),IF($D$1=$AN$13,HLOOKUP("pguk",real_rku_11.nov,6,FALSE),IF($D$1=$AN$14,HLOOKUP("pguk",real_rku_12.des,6,FALSE),IF($D$1=$AN$15,HLOOKUP("pguk",real_rku_TW_I,6,FALSE),IF($D$1=$AN$16,HLOOKUP("pguk",real_rku_TW_II,6,FALSE),IF($D$1=$AN$17,HLOOKUP("pguk",real_rku_TW_III,6,FALSE),IF($D$1=$AN$18,HLOOKUP("pguk",real_rku_TW_IV,6,FALSE),IF($D$1=$AN$19,HLOOKUP("pguk",real_rku_SM_I,6,FALSE),IF($D$1=$AN$20,HLOOKUP("pguk",real_rku_SM_II,6,FALSE),IF($D$1=$AN$21,HLOOKUP("pguk",real_rku_2013,6,FALSE),IF($D$1=$AN$22,HLOOKUP("pguk",real_rku_jan_apr,6,FALSE),IF($D$1=$AN$23,HLOOKUP("pguk",real_rku_jan_mei,6,FALSE),IF($D$1=$AN$24,HLOOKUP("pguk",real_rku_jan_jul,6,FALSE),IF($D$1=$AN$25,HLOOKUP("pguk",real_rku_jan_ags,6,FALSE),IF($D$1=$AN$26,HLOOKUP("pguk",real_rku_jan_sep,6,FALSE),IF($D$1=$AN$27,HLOOKUP("pguk",real_rku_jan_okt,6,FALSE),IF($D$1=$AN$28,HLOOKUP("pguk",real_rku_jan_nov,6,FALSE),0)))))))))))))))))))))))))))</f>
        <v>2679049.5150000001</v>
      </c>
      <c r="J11" s="88">
        <f>IF($D$1&lt;&gt;"",IF($D$1=$AN$3,HLOOKUP("PgUK",real_rku_01.jan,7,FALSE),IF($D$1=$AN$4,HLOOKUP("pguk",real_rku_02.feb,7,FALSE),IF($D$1=$AN$5,HLOOKUP("pguk",real_rku_03.mar,7,FALSE),IF($D$1=$AN$6,HLOOKUP("pguk",real_rku_04.apr,7,FALSE),IF($D$1=$AN$7,HLOOKUP("pguk",real_rku_05.mei,7,FALSE),IF($D$1=$AN$8,HLOOKUP("pguk",real_rku_06.jun,7,FALSE),IF($D$1=$AN$9,HLOOKUP("pguk",real_rku_07.jul,7,FALSE),IF($D$1=$AN$10,HLOOKUP("pguk",real_rku_08.ags,7,FALSE),IF($D$1=$AN$11,HLOOKUP("pguk",real_rku_09.sep,7,FALSE),IF($D$1=$AN$12,HLOOKUP("pguk",real_rku_10.okt,7,FALSE),IF($D$1=$AN$13,HLOOKUP("pguk",real_rku_11.nov,7,FALSE),IF($D$1=$AN$14,HLOOKUP("pguk",real_rku_12.des,7,FALSE),IF($D$1=$AN$15,HLOOKUP("pguk",real_rku_TW_I,7,FALSE),IF($D$1=$AN$16,HLOOKUP("pguk",real_rku_TW_II,7,FALSE),IF($D$1=$AN$17,HLOOKUP("pguk",real_rku_TW_III,7,FALSE),IF($D$1=$AN$18,HLOOKUP("pguk",real_rku_TW_IV,7,FALSE),IF($D$1=$AN$19,HLOOKUP("pguk",real_rku_SM_I,7,FALSE),IF($D$1=$AN$20,HLOOKUP("pguk",real_rku_SM_II,7,FALSE),IF($D$1=$AN$21,HLOOKUP("pguk",real_rku_2013,7,FALSE),IF($D$1=$AN$22,HLOOKUP("pguk",real_rku_jan_apr,7,FALSE),IF($D$1=$AN$23,HLOOKUP("pguk",real_rku_jan_mei,7,FALSE),IF($D$1=$AN$24,HLOOKUP("pguk",real_rku_jan_jul,7,FALSE),IF($D$1=$AN$25,HLOOKUP("pguk",real_rku_jan_ags,7,FALSE),IF($D$1=$AN$26,HLOOKUP("pguk",real_rku_jan_sep,7,FALSE),IF($D$1=$AN$27,HLOOKUP("pguk",real_rku_jan_okt,7,FALSE),IF($D$1=$AN$28,HLOOKUP("pguk",real_rku_jan_nov,7,FALSE),0)))))))))))))))))))))))))))</f>
        <v>1045057.606</v>
      </c>
      <c r="K11" s="88">
        <f>IF($D$1&lt;&gt;"",IF($D$1=$AN$3,HLOOKUP("PgUK",real_rku_01.jan,8,FALSE),IF($D$1=$AN$4,HLOOKUP("pguk",real_rku_02.feb,8,FALSE),IF($D$1=$AN$5,HLOOKUP("pguk",real_rku_03.mar,8,FALSE),IF($D$1=$AN$6,HLOOKUP("pguk",real_rku_04.apr,8,FALSE),IF($D$1=$AN$7,HLOOKUP("pguk",real_rku_05.mei,8,FALSE),IF($D$1=$AN$8,HLOOKUP("pguk",real_rku_06.jun,8,FALSE),IF($D$1=$AN$9,HLOOKUP("pguk",real_rku_07.jul,8,FALSE),IF($D$1=$AN$10,HLOOKUP("pguk",real_rku_08.ags,8,FALSE),IF($D$1=$AN$11,HLOOKUP("pguk",real_rku_09.sep,8,FALSE),IF($D$1=$AN$12,HLOOKUP("pguk",real_rku_10.okt,8,FALSE),IF($D$1=$AN$13,HLOOKUP("pguk",real_rku_11.nov,8,FALSE),IF($D$1=$AN$14,HLOOKUP("pguk",real_rku_12.des,8,FALSE),IF($D$1=$AN$15,HLOOKUP("pguk",real_rku_TW_I,8,FALSE),IF($D$1=$AN$16,HLOOKUP("pguk",real_rku_TW_II,8,FALSE),IF($D$1=$AN$17,HLOOKUP("pguk",real_rku_TW_III,8,FALSE),IF($D$1=$AN$18,HLOOKUP("pguk",real_rku_TW_IV,8,FALSE),IF($D$1=$AN$19,HLOOKUP("pguk",real_rku_SM_I,8,FALSE),IF($D$1=$AN$20,HLOOKUP("pguk",real_rku_SM_II,8,FALSE),IF($D$1=$AN$21,HLOOKUP("pguk",real_rku_2013,8,FALSE),IF($D$1=$AN$22,HLOOKUP("pguk",real_rku_jan_apr,8,FALSE),IF($D$1=$AN$23,HLOOKUP("pguk",real_rku_jan_mei,8,FALSE),IF($D$1=$AN$24,HLOOKUP("pguk",real_rku_jan_jul,8,FALSE),IF($D$1=$AN$25,HLOOKUP("pguk",real_rku_jan_ags,8,FALSE),IF($D$1=$AN$26,HLOOKUP("pguk",real_rku_jan_sep,8,FALSE),IF($D$1=$AN$27,HLOOKUP("pguk",real_rku_jan_okt,8,FALSE),IF($D$1=$AN$28,HLOOKUP("pguk",real_rku_jan_nov,8,FALSE),0)))))))))))))))))))))))))))</f>
        <v>1195.3029999999999</v>
      </c>
      <c r="L11" s="89">
        <f>+SUM(E11:K11)</f>
        <v>72220000.754000008</v>
      </c>
      <c r="M11" s="88">
        <f>IF($D$1&lt;&gt;"",IF($D$1=$AN$3,HLOOKUP("PgUK",real_rku_01.jan,10,FALSE),IF($D$1=$AN$4,HLOOKUP("pguk",real_rku_02.feb,10,FALSE),IF($D$1=$AN$5,HLOOKUP("pguk",real_rku_03.mar,10,FALSE),IF($D$1=$AN$6,HLOOKUP("pguk",real_rku_04.apr,10,FALSE),IF($D$1=$AN$7,HLOOKUP("pguk",real_rku_05.mei,10,FALSE),IF($D$1=$AN$8,HLOOKUP("pguk",real_rku_06.jun,10,FALSE),IF($D$1=$AN$9,HLOOKUP("pguk",real_rku_07.jul,10,FALSE),IF($D$1=$AN$10,HLOOKUP("pguk",real_rku_08.ags,10,FALSE),IF($D$1=$AN$11,HLOOKUP("pguk",real_rku_09.sep,10,FALSE),IF($D$1=$AN$12,HLOOKUP("pguk",real_rku_10.okt,10,FALSE),IF($D$1=$AN$13,HLOOKUP("pguk",real_rku_11.nov,10,FALSE),IF($D$1=$AN$14,HLOOKUP("pguk",real_rku_12.des,10,FALSE),IF($D$1=$AN$15,HLOOKUP("pguk",real_rku_TW_I,10,FALSE),IF($D$1=$AN$16,HLOOKUP("pguk",real_rku_TW_II,10,FALSE),IF($D$1=$AN$17,HLOOKUP("pguk",real_rku_TW_III,10,FALSE),IF($D$1=$AN$18,HLOOKUP("pguk",real_rku_TW_IV,10,FALSE),IF($D$1=$AN$19,HLOOKUP("pguk",real_rku_SM_I,10,FALSE),IF($D$1=$AN$20,HLOOKUP("pguk",real_rku_SM_II,10,FALSE),IF($D$1=$AN$21,HLOOKUP("pguk",real_rku_2013,10,FALSE),IF($D$1=$AN$22,HLOOKUP("pguk",real_rku_jan_apr,10,FALSE),IF($D$1=$AN$23,HLOOKUP("pguk",real_rku_jan_mei,10,FALSE),IF($D$1=$AN$24,HLOOKUP("pguk",real_rku_jan_jul,10,FALSE),IF($D$1=$AN$25,HLOOKUP("pguk",real_rku_jan_ags,10,FALSE),IF($D$1=$AN$26,HLOOKUP("pguk",real_rku_jan_sep,10,FALSE),IF($D$1=$AN$27,HLOOKUP("pguk",real_rku_jan_okt,10,FALSE),IF($D$1=$AN$28,HLOOKUP("pguk",real_rku_jan_nov,10,FALSE),0)))))))))))))))))))))))))))</f>
        <v>169538.13199999998</v>
      </c>
      <c r="N11" s="88">
        <f>IF($D$1&lt;&gt;"",IF($D$1=$AN$3,HLOOKUP("PgUK",real_rku_01.jan,11,FALSE),IF($D$1=$AN$4,HLOOKUP("pguk",real_rku_02.feb,11,FALSE),IF($D$1=$AN$5,HLOOKUP("pguk",real_rku_03.mar,11,FALSE),IF($D$1=$AN$6,HLOOKUP("pguk",real_rku_04.apr,11,FALSE),IF($D$1=$AN$7,HLOOKUP("pguk",real_rku_05.mei,11,FALSE),IF($D$1=$AN$8,HLOOKUP("pguk",real_rku_06.jun,11,FALSE),IF($D$1=$AN$9,HLOOKUP("pguk",real_rku_07.jul,11,FALSE),IF($D$1=$AN$10,HLOOKUP("pguk",real_rku_08.ags,11,FALSE),IF($D$1=$AN$11,HLOOKUP("pguk",real_rku_09.sep,11,FALSE),IF($D$1=$AN$12,HLOOKUP("pguk",real_rku_10.okt,11,FALSE),IF($D$1=$AN$13,HLOOKUP("pguk",real_rku_11.nov,11,FALSE),IF($D$1=$AN$14,HLOOKUP("pguk",real_rku_12.des,11,FALSE),IF($D$1=$AN$15,HLOOKUP("pguk",real_rku_TW_I,11,FALSE),IF($D$1=$AN$16,HLOOKUP("pguk",real_rku_TW_II,11,FALSE),IF($D$1=$AN$17,HLOOKUP("pguk",real_rku_TW_III,11,FALSE),IF($D$1=$AN$18,HLOOKUP("pguk",real_rku_TW_IV,11,FALSE),IF($D$1=$AN$19,HLOOKUP("pguk",real_rku_SM_I,11,FALSE),IF($D$1=$AN$20,HLOOKUP("pguk",real_rku_SM_II,11,FALSE),IF($D$1=$AN$21,HLOOKUP("pguk",real_rku_2013,11,FALSE),IF($D$1=$AN$22,HLOOKUP("pguk",real_rku_jan_apr,11,FALSE),IF($D$1=$AN$23,HLOOKUP("pguk",real_rku_jan_mei,11,FALSE),IF($D$1=$AN$24,HLOOKUP("pguk",real_rku_jan_jul,11,FALSE),IF($D$1=$AN$25,HLOOKUP("pguk",real_rku_jan_ags,11,FALSE),IF($D$1=$AN$26,HLOOKUP("pguk",real_rku_jan_sep,11,FALSE),IF($D$1=$AN$27,HLOOKUP("pguk",real_rku_jan_okt,11,FALSE),IF($D$1=$AN$28,HLOOKUP("pguk",real_rku_jan_nov,11,FALSE),0)))))))))))))))))))))))))))</f>
        <v>133330</v>
      </c>
      <c r="O11" s="88">
        <f>IF($D$1&lt;&gt;"",IF($D$1=$AN$3,HLOOKUP("PgUK",real_rku_01.jan,12,FALSE),IF($D$1=$AN$4,HLOOKUP("pguk",real_rku_02.feb,12,FALSE),IF($D$1=$AN$5,HLOOKUP("pguk",real_rku_03.mar,12,FALSE),IF($D$1=$AN$6,HLOOKUP("pguk",real_rku_04.apr,12,FALSE),IF($D$1=$AN$7,HLOOKUP("pguk",real_rku_05.mei,12,FALSE),IF($D$1=$AN$8,HLOOKUP("pguk",real_rku_06.jun,12,FALSE),IF($D$1=$AN$9,HLOOKUP("pguk",real_rku_07.jul,12,FALSE),IF($D$1=$AN$10,HLOOKUP("pguk",real_rku_08.ags,12,FALSE),IF($D$1=$AN$11,HLOOKUP("pguk",real_rku_09.sep,12,FALSE),IF($D$1=$AN$12,HLOOKUP("pguk",real_rku_10.okt,12,FALSE),IF($D$1=$AN$13,HLOOKUP("pguk",real_rku_11.nov,12,FALSE),IF($D$1=$AN$14,HLOOKUP("pguk",real_rku_12.des,12,FALSE),IF($D$1=$AN$15,HLOOKUP("pguk",real_rku_TW_I,12,FALSE),IF($D$1=$AN$16,HLOOKUP("pguk",real_rku_TW_II,12,FALSE),IF($D$1=$AN$17,HLOOKUP("pguk",real_rku_TW_III,12,FALSE),IF($D$1=$AN$18,HLOOKUP("pguk",real_rku_TW_IV,12,FALSE),IF($D$1=$AN$19,HLOOKUP("pguk",real_rku_SM_I,12,FALSE),IF($D$1=$AN$20,HLOOKUP("pguk",real_rku_SM_II,12,FALSE),IF($D$1=$AN$21,HLOOKUP("pguk",real_rku_2013,12,FALSE),IF($D$1=$AN$22,HLOOKUP("pguk",real_rku_jan_apr,12,FALSE),IF($D$1=$AN$23,HLOOKUP("pguk",real_rku_jan_mei,12,FALSE),IF($D$1=$AN$24,HLOOKUP("pguk",real_rku_jan_jul,12,FALSE),IF($D$1=$AN$25,HLOOKUP("pguk",real_rku_jan_ags,12,FALSE),IF($D$1=$AN$26,HLOOKUP("pguk",real_rku_jan_sep,12,FALSE),IF($D$1=$AN$27,HLOOKUP("pguk",real_rku_jan_okt,12,FALSE),IF($D$1=$AN$28,HLOOKUP("pguk",real_rku_jan_nov,12,FALSE),0)))))))))))))))))))))))))))</f>
        <v>21404</v>
      </c>
      <c r="P11" s="88">
        <f>IF($D$1&lt;&gt;"",IF($D$1=$AN$3,HLOOKUP("PgUK",real_rku_01.jan,13,FALSE),IF($D$1=$AN$4,HLOOKUP("pguk",real_rku_02.feb,13,FALSE),IF($D$1=$AN$5,HLOOKUP("pguk",real_rku_03.mar,13,FALSE),IF($D$1=$AN$6,HLOOKUP("pguk",real_rku_04.apr,13,FALSE),IF($D$1=$AN$7,HLOOKUP("pguk",real_rku_05.mei,13,FALSE),IF($D$1=$AN$8,HLOOKUP("pguk",real_rku_06.jun,13,FALSE),IF($D$1=$AN$9,HLOOKUP("pguk",real_rku_07.jul,13,FALSE),IF($D$1=$AN$10,HLOOKUP("pguk",real_rku_08.ags,13,FALSE),IF($D$1=$AN$11,HLOOKUP("pguk",real_rku_09.sep,13,FALSE),IF($D$1=$AN$12,HLOOKUP("pguk",real_rku_10.okt,13,FALSE),IF($D$1=$AN$13,HLOOKUP("pguk",real_rku_11.nov,13,FALSE),IF($D$1=$AN$14,HLOOKUP("pguk",real_rku_12.des,13,FALSE),IF($D$1=$AN$15,HLOOKUP("pguk",real_rku_TW_I,13,FALSE),IF($D$1=$AN$16,HLOOKUP("pguk",real_rku_TW_II,13,FALSE),IF($D$1=$AN$17,HLOOKUP("pguk",real_rku_TW_III,13,FALSE),IF($D$1=$AN$18,HLOOKUP("pguk",real_rku_TW_IV,13,FALSE),IF($D$1=$AN$19,HLOOKUP("pguk",real_rku_SM_I,13,FALSE),IF($D$1=$AN$20,HLOOKUP("pguk",real_rku_SM_II,13,FALSE),IF($D$1=$AN$21,HLOOKUP("pguk",real_rku_2013,13,FALSE),IF($D$1=$AN$22,HLOOKUP("pguk",real_rku_jan_apr,13,FALSE),IF($D$1=$AN$23,HLOOKUP("pguk",real_rku_jan_mei,13,FALSE),IF($D$1=$AN$24,HLOOKUP("pguk",real_rku_jan_jul,13,FALSE),IF($D$1=$AN$25,HLOOKUP("pguk",real_rku_jan_ags,13,FALSE),IF($D$1=$AN$26,HLOOKUP("pguk",real_rku_jan_sep,13,FALSE),IF($D$1=$AN$27,HLOOKUP("pguk",real_rku_jan_okt,13,FALSE),IF($D$1=$AN$28,HLOOKUP("pguk",real_rku_jan_nov,13,FALSE),0)))))))))))))))))))))))))))</f>
        <v>13899</v>
      </c>
      <c r="Q11" s="88">
        <f>IF($D$1&lt;&gt;"",IF($D$1=$AN$3,HLOOKUP("PgUK",real_rku_01.jan,14,FALSE),IF($D$1=$AN$4,HLOOKUP("pguk",real_rku_02.feb,14,FALSE),IF($D$1=$AN$5,HLOOKUP("pguk",real_rku_03.mar,14,FALSE),IF($D$1=$AN$6,HLOOKUP("pguk",real_rku_04.apr,14,FALSE),IF($D$1=$AN$7,HLOOKUP("pguk",real_rku_05.mei,14,FALSE),IF($D$1=$AN$8,HLOOKUP("pguk",real_rku_06.jun,14,FALSE),IF($D$1=$AN$9,HLOOKUP("pguk",real_rku_07.jul,14,FALSE),IF($D$1=$AN$10,HLOOKUP("pguk",real_rku_08.ags,14,FALSE),IF($D$1=$AN$11,HLOOKUP("pguk",real_rku_09.sep,14,FALSE),IF($D$1=$AN$12,HLOOKUP("pguk",real_rku_10.okt,14,FALSE),IF($D$1=$AN$13,HLOOKUP("pguk",real_rku_11.nov,14,FALSE),IF($D$1=$AN$14,HLOOKUP("pguk",real_rku_12.des,14,FALSE),IF($D$1=$AN$15,HLOOKUP("pguk",real_rku_TW_I,14,FALSE),IF($D$1=$AN$16,HLOOKUP("pguk",real_rku_TW_II,14,FALSE),IF($D$1=$AN$17,HLOOKUP("pguk",real_rku_TW_III,14,FALSE),IF($D$1=$AN$18,HLOOKUP("pguk",real_rku_TW_IV,14,FALSE),IF($D$1=$AN$19,HLOOKUP("pguk",real_rku_SM_I,14,FALSE),IF($D$1=$AN$20,HLOOKUP("pguk",real_rku_SM_II,14,FALSE),IF($D$1=$AN$21,HLOOKUP("pguk",real_rku_2013,14,FALSE),IF($D$1=$AN$22,HLOOKUP("pguk",real_rku_jan_apr,14,FALSE),IF($D$1=$AN$23,HLOOKUP("pguk",real_rku_jan_mei,14,FALSE),IF($D$1=$AN$24,HLOOKUP("pguk",real_rku_jan_jul,14,FALSE),IF($D$1=$AN$25,HLOOKUP("pguk",real_rku_jan_ags,14,FALSE),IF($D$1=$AN$26,HLOOKUP("pguk",real_rku_jan_sep,14,FALSE),IF($D$1=$AN$27,HLOOKUP("pguk",real_rku_jan_okt,14,FALSE),IF($D$1=$AN$28,HLOOKUP("pguk",real_rku_jan_nov,14,FALSE),0)))))))))))))))))))))))))))</f>
        <v>50</v>
      </c>
      <c r="R11" s="89">
        <f>+SUM(M11:Q11)</f>
        <v>338221.13199999998</v>
      </c>
      <c r="S11" s="88">
        <f>+R11+L11</f>
        <v>72558221.886000007</v>
      </c>
      <c r="T11" s="90"/>
      <c r="U11" s="86"/>
      <c r="V11" s="87"/>
      <c r="W11" s="87" t="s">
        <v>182</v>
      </c>
      <c r="X11" s="88">
        <f t="shared" si="0"/>
        <v>24364.98315</v>
      </c>
      <c r="Y11" s="88">
        <f t="shared" si="0"/>
        <v>13209.496999999999</v>
      </c>
      <c r="Z11" s="88">
        <f t="shared" si="0"/>
        <v>11382.9625</v>
      </c>
      <c r="AA11" s="88">
        <f t="shared" si="0"/>
        <v>10010.25015</v>
      </c>
      <c r="AB11" s="88">
        <f t="shared" si="0"/>
        <v>26790.495150000002</v>
      </c>
      <c r="AC11" s="88">
        <f t="shared" si="0"/>
        <v>26126.440150000002</v>
      </c>
      <c r="AD11" s="88">
        <f t="shared" si="0"/>
        <v>59.765149999999991</v>
      </c>
      <c r="AE11" s="89">
        <f>+SUM(X11:AD11)</f>
        <v>111944.39325000001</v>
      </c>
      <c r="AF11" s="88">
        <f t="shared" si="1"/>
        <v>33907.626399999994</v>
      </c>
      <c r="AG11" s="88">
        <f t="shared" si="1"/>
        <v>53332</v>
      </c>
      <c r="AH11" s="88">
        <f t="shared" si="1"/>
        <v>10702</v>
      </c>
      <c r="AI11" s="88">
        <f t="shared" si="1"/>
        <v>13899</v>
      </c>
      <c r="AJ11" s="88">
        <f t="shared" si="1"/>
        <v>50</v>
      </c>
      <c r="AK11" s="89">
        <f>+SUM(AF11:AJ11)</f>
        <v>111890.62639999999</v>
      </c>
      <c r="AL11" s="88">
        <f>+AK11+AE11</f>
        <v>223835.01965</v>
      </c>
      <c r="AM11" s="69"/>
      <c r="AN11" s="74" t="s">
        <v>183</v>
      </c>
      <c r="AP11" s="66">
        <v>768</v>
      </c>
      <c r="AQ11" s="66">
        <v>915</v>
      </c>
    </row>
    <row r="12" spans="2:43" ht="15" x14ac:dyDescent="0.25">
      <c r="B12" s="86"/>
      <c r="C12" s="87"/>
      <c r="D12" s="87" t="s">
        <v>184</v>
      </c>
      <c r="E12" s="88">
        <f t="shared" ref="E12:K12" si="2">+E10-E11</f>
        <v>-2836000</v>
      </c>
      <c r="F12" s="88">
        <f t="shared" si="2"/>
        <v>3226000</v>
      </c>
      <c r="G12" s="88">
        <f t="shared" si="2"/>
        <v>-2597200</v>
      </c>
      <c r="H12" s="88">
        <f t="shared" si="2"/>
        <v>122000.00000000023</v>
      </c>
      <c r="I12" s="88">
        <f t="shared" si="2"/>
        <v>-182300</v>
      </c>
      <c r="J12" s="88">
        <f t="shared" si="2"/>
        <v>37639.999999999884</v>
      </c>
      <c r="K12" s="88">
        <f t="shared" si="2"/>
        <v>1140</v>
      </c>
      <c r="L12" s="89">
        <f>+SUM(E12:K12)</f>
        <v>-2228720</v>
      </c>
      <c r="M12" s="88">
        <f>+M10-M11</f>
        <v>-85564.999999999985</v>
      </c>
      <c r="N12" s="88">
        <f>+N10-N11</f>
        <v>-25315</v>
      </c>
      <c r="O12" s="88">
        <f>+O10-O11</f>
        <v>-1780</v>
      </c>
      <c r="P12" s="88">
        <f>+P10-P11</f>
        <v>734</v>
      </c>
      <c r="Q12" s="88">
        <f>+Q10-Q11</f>
        <v>0</v>
      </c>
      <c r="R12" s="89">
        <f>+SUM(M12:Q12)</f>
        <v>-111925.99999999999</v>
      </c>
      <c r="S12" s="88">
        <f>+R12+L12</f>
        <v>-2340646</v>
      </c>
      <c r="T12" s="88"/>
      <c r="U12" s="86"/>
      <c r="V12" s="87"/>
      <c r="W12" s="87" t="s">
        <v>184</v>
      </c>
      <c r="X12" s="88">
        <f t="shared" ref="X12:AD12" si="3">+X10-X11</f>
        <v>-1418</v>
      </c>
      <c r="Y12" s="88">
        <f t="shared" si="3"/>
        <v>3226</v>
      </c>
      <c r="Z12" s="88">
        <f t="shared" si="3"/>
        <v>-6493</v>
      </c>
      <c r="AA12" s="88">
        <f t="shared" si="3"/>
        <v>610.00000000000182</v>
      </c>
      <c r="AB12" s="88">
        <f t="shared" si="3"/>
        <v>-1823</v>
      </c>
      <c r="AC12" s="88">
        <f t="shared" si="3"/>
        <v>940.99999999999636</v>
      </c>
      <c r="AD12" s="88">
        <f t="shared" si="3"/>
        <v>57</v>
      </c>
      <c r="AE12" s="89">
        <f>+SUM(X12:AD12)</f>
        <v>-4900.0000000000018</v>
      </c>
      <c r="AF12" s="88">
        <f>+AF10-AF11</f>
        <v>-17112.999999999993</v>
      </c>
      <c r="AG12" s="88">
        <f>+AG10-AG11</f>
        <v>-10126</v>
      </c>
      <c r="AH12" s="88">
        <f>+AH10-AH11</f>
        <v>-890</v>
      </c>
      <c r="AI12" s="88">
        <f>+AI10-AI11</f>
        <v>734</v>
      </c>
      <c r="AJ12" s="88">
        <f>+AJ10-AJ11</f>
        <v>0</v>
      </c>
      <c r="AK12" s="89">
        <f>+SUM(AF12:AJ12)</f>
        <v>-27394.999999999993</v>
      </c>
      <c r="AL12" s="88">
        <f>+AK12+AE12</f>
        <v>-32294.999999999993</v>
      </c>
      <c r="AM12" s="91">
        <f>+AL12/1250</f>
        <v>-25.835999999999995</v>
      </c>
      <c r="AN12" s="74" t="s">
        <v>185</v>
      </c>
      <c r="AP12" s="66">
        <f>SUM(AP10:AP11)</f>
        <v>1437</v>
      </c>
      <c r="AQ12" s="66">
        <f>SUM(AQ10:AQ11)</f>
        <v>1718</v>
      </c>
    </row>
    <row r="13" spans="2:43" ht="15" x14ac:dyDescent="0.25">
      <c r="B13" s="86"/>
      <c r="C13" s="87"/>
      <c r="D13" s="92" t="s">
        <v>186</v>
      </c>
      <c r="E13" s="93">
        <f t="shared" ref="E13:S13" si="4">IF(E10=0,"-",E11/E10)</f>
        <v>1.0617946154721432</v>
      </c>
      <c r="F13" s="93">
        <f t="shared" si="4"/>
        <v>0.80371752676539077</v>
      </c>
      <c r="G13" s="93">
        <f t="shared" si="4"/>
        <v>2.3278220436250789</v>
      </c>
      <c r="H13" s="93">
        <f t="shared" si="4"/>
        <v>0.94256255818983692</v>
      </c>
      <c r="I13" s="93">
        <f>IF(I10=0,"-",I11/I10)</f>
        <v>1.0730149335785493</v>
      </c>
      <c r="J13" s="93">
        <f t="shared" si="4"/>
        <v>0.96523498362662874</v>
      </c>
      <c r="K13" s="93">
        <f t="shared" si="4"/>
        <v>0.51184064765899751</v>
      </c>
      <c r="L13" s="94">
        <f t="shared" si="4"/>
        <v>1.0318428235058783</v>
      </c>
      <c r="M13" s="93">
        <f t="shared" si="4"/>
        <v>2.0189568730150493</v>
      </c>
      <c r="N13" s="93">
        <f t="shared" si="4"/>
        <v>1.2343655973707355</v>
      </c>
      <c r="O13" s="93">
        <f t="shared" si="4"/>
        <v>1.0907052588666939</v>
      </c>
      <c r="P13" s="93">
        <f t="shared" si="4"/>
        <v>0.94983940408665346</v>
      </c>
      <c r="Q13" s="93">
        <f t="shared" si="4"/>
        <v>1</v>
      </c>
      <c r="R13" s="94">
        <f t="shared" si="4"/>
        <v>1.4946018900662874</v>
      </c>
      <c r="S13" s="93">
        <f t="shared" si="4"/>
        <v>1.0333341897732284</v>
      </c>
      <c r="T13" s="95">
        <f>+S13*$T$6</f>
        <v>0.72333393284125991</v>
      </c>
      <c r="U13" s="86"/>
      <c r="V13" s="87"/>
      <c r="W13" s="92" t="s">
        <v>186</v>
      </c>
      <c r="X13" s="93">
        <f t="shared" ref="X13:AL13" si="5">IF(X10=0,"-",X11/X10)</f>
        <v>1.0617946154721432</v>
      </c>
      <c r="Y13" s="93">
        <f t="shared" si="5"/>
        <v>0.80371752676539077</v>
      </c>
      <c r="Z13" s="93">
        <f t="shared" si="5"/>
        <v>2.3278220436250789</v>
      </c>
      <c r="AA13" s="93">
        <f t="shared" si="5"/>
        <v>0.94256255818983681</v>
      </c>
      <c r="AB13" s="93">
        <f t="shared" si="5"/>
        <v>1.0730149335785493</v>
      </c>
      <c r="AC13" s="93">
        <f t="shared" si="5"/>
        <v>0.96523498362662874</v>
      </c>
      <c r="AD13" s="93">
        <f t="shared" si="5"/>
        <v>0.51184064765899751</v>
      </c>
      <c r="AE13" s="94">
        <f t="shared" si="5"/>
        <v>1.0457754007587876</v>
      </c>
      <c r="AF13" s="93">
        <f t="shared" si="5"/>
        <v>2.0189568730150493</v>
      </c>
      <c r="AG13" s="93">
        <f t="shared" si="5"/>
        <v>1.2343655973707355</v>
      </c>
      <c r="AH13" s="93">
        <f t="shared" si="5"/>
        <v>1.0907052588666939</v>
      </c>
      <c r="AI13" s="93">
        <f t="shared" si="5"/>
        <v>0.94983940408665346</v>
      </c>
      <c r="AJ13" s="93">
        <f t="shared" si="5"/>
        <v>1</v>
      </c>
      <c r="AK13" s="94">
        <f t="shared" si="5"/>
        <v>1.3242179644933667</v>
      </c>
      <c r="AL13" s="93">
        <f t="shared" si="5"/>
        <v>1.1686070621638884</v>
      </c>
      <c r="AM13" s="69"/>
      <c r="AN13" s="74" t="s">
        <v>187</v>
      </c>
    </row>
    <row r="14" spans="2:43" ht="15" x14ac:dyDescent="0.25">
      <c r="B14" s="96"/>
      <c r="C14" s="97"/>
      <c r="D14" s="97"/>
      <c r="E14" s="98">
        <f>+E13*$L$6</f>
        <v>0.31853838464164291</v>
      </c>
      <c r="F14" s="98">
        <f t="shared" ref="F14:P14" si="6">+F13*$L$6</f>
        <v>0.24111525802961722</v>
      </c>
      <c r="G14" s="98">
        <f t="shared" si="6"/>
        <v>0.69834661308752366</v>
      </c>
      <c r="H14" s="98">
        <f t="shared" si="6"/>
        <v>0.28276876745695106</v>
      </c>
      <c r="I14" s="98">
        <f t="shared" si="6"/>
        <v>0.32190448007356476</v>
      </c>
      <c r="J14" s="98">
        <f t="shared" si="6"/>
        <v>0.2895704950879886</v>
      </c>
      <c r="K14" s="98">
        <f t="shared" si="6"/>
        <v>0.15355219429769926</v>
      </c>
      <c r="L14" s="98"/>
      <c r="M14" s="98">
        <f t="shared" si="6"/>
        <v>0.60568706190451482</v>
      </c>
      <c r="N14" s="98">
        <f t="shared" si="6"/>
        <v>0.37030967921122065</v>
      </c>
      <c r="O14" s="98">
        <f t="shared" si="6"/>
        <v>0.32721157766000813</v>
      </c>
      <c r="P14" s="98">
        <f t="shared" si="6"/>
        <v>0.28495182122599605</v>
      </c>
      <c r="Q14" s="98"/>
      <c r="R14" s="99"/>
      <c r="S14" s="98">
        <f>+AVERAGE(E14:Q14)</f>
        <v>0.35399603024333887</v>
      </c>
      <c r="T14" s="100">
        <f>+S14+T13</f>
        <v>1.0773299630845987</v>
      </c>
      <c r="U14" s="96"/>
      <c r="V14" s="97"/>
      <c r="W14" s="97"/>
      <c r="X14" s="101"/>
      <c r="Y14" s="101"/>
      <c r="Z14" s="101"/>
      <c r="AA14" s="101"/>
      <c r="AB14" s="101"/>
      <c r="AC14" s="101"/>
      <c r="AD14" s="101"/>
      <c r="AE14" s="99"/>
      <c r="AF14" s="101"/>
      <c r="AG14" s="101"/>
      <c r="AH14" s="101"/>
      <c r="AI14" s="101"/>
      <c r="AJ14" s="101"/>
      <c r="AK14" s="99"/>
      <c r="AL14" s="101"/>
      <c r="AM14" s="69"/>
      <c r="AN14" s="74" t="s">
        <v>188</v>
      </c>
    </row>
    <row r="15" spans="2:43" ht="15" x14ac:dyDescent="0.25">
      <c r="B15" s="81">
        <v>2</v>
      </c>
      <c r="C15" s="83" t="s">
        <v>189</v>
      </c>
      <c r="D15" s="83" t="s">
        <v>180</v>
      </c>
      <c r="E15" s="84">
        <f>IF($D$1&lt;&gt;"",IF($D$1=$AN$3,HLOOKUP("kdk mdn",rku_01.jan,2,FALSE),IF($D$1=$AN$4,HLOOKUP("kdk mdn",rku_02.feb,2,FALSE),IF($D$1=$AN$5,HLOOKUP("kdk mdn",rku_03.mar,2,FALSE),IF($D$1=$AN$6,HLOOKUP("kdk mdn",rku_04.apr,2,FALSE),IF($D$1=$AN$7,HLOOKUP("kdk mdn",rku_05.mei,2,FALSE),IF($D$1=$AN$8,HLOOKUP("kdk mdn",rku_06.jun,2,FALSE),IF($D$1=$AN$9,HLOOKUP("kdk mdn",rku_07.jul,2,FALSE),IF($D$1=$AN$10,HLOOKUP("kdk mdn",rku_08.ags,2,FALSE),IF($D$1=$AN$11,HLOOKUP("kdk mdn",rku_09.sep,2,FALSE),IF($D$1=$AN$12,HLOOKUP("kdk mdn",rku_10.okt,2,FALSE),IF($D$1=$AN$13,HLOOKUP("kdk mdn",rku_11.nov,2,FALSE),IF($D$1=$AN$14,HLOOKUP("kdk mdn",rku_12.des,2,FALSE),IF($D$1=$AN$15,HLOOKUP("kdk mdn",rku_TW_I,2,FALSE),IF($D$1=$AN$16,HLOOKUP("kdk mdn",rku_TW_II,2,FALSE),IF($D$1=$AN$17,HLOOKUP("kdk mdn",rku_TW_III,2,FALSE),IF($D$1=$AN$18,HLOOKUP("kdk mdn",rku_TW_IV,2,FALSE),IF($D$1=$AN$19,HLOOKUP("kdk mdn",rku_SM_I,2,FALSE),IF($D$1=$AN$20,HLOOKUP("kdk mdn",rku_SM_II,2,FALSE),IF($D$1=$AN$21,HLOOKUP("kdk mdn",rku_2013,2,FALSE),IF($D$1=$AN$22,HLOOKUP("kdk mdn",rku_jan_apr,2,FALSE),IF($D$1=$AN$23,HLOOKUP("kdk mdn",rku_jan_mei,2,FALSE),IF($D$1=$AN$24,HLOOKUP("kdk mdn",rku_jan_jul,2,FALSE),IF($D$1=$AN$25,HLOOKUP("kdk mdn",rku_jan_ags,2,FALSE),IF($D$1=$AN$26,HLOOKUP("kdk mdn",rku_jan_sep,2,FALSE),IF($D$1=$AN$27,HLOOKUP("kdk mdn",rku_jan_okt,2,FALSE),IF($D$1=$AN$28,HLOOKUP("kdk mdn",rku_jan_nov,2,FALSE),0)))))))))))))))))))))))))))</f>
        <v>11216000</v>
      </c>
      <c r="F15" s="84">
        <f>IF($D$1&lt;&gt;"",IF($D$1=$AN$3,HLOOKUP("kdk mdn",rku_01.jan,3,FALSE),IF($D$1=$AN$4,HLOOKUP("kdk mdn",rku_02.feb,3,FALSE),IF($D$1=$AN$5,HLOOKUP("kdk mdn",rku_03.mar,3,FALSE),IF($D$1=$AN$6,HLOOKUP("kdk mdn",rku_04.apr,3,FALSE),IF($D$1=$AN$7,HLOOKUP("kdk mdn",rku_05.mei,3,FALSE),IF($D$1=$AN$8,HLOOKUP("kdk mdn",rku_06.jun,3,FALSE),IF($D$1=$AN$9,HLOOKUP("kdk mdn",rku_07.jul,3,FALSE),IF($D$1=$AN$10,HLOOKUP("kdk mdn",rku_08.ags,3,FALSE),IF($D$1=$AN$11,HLOOKUP("kdk mdn",rku_09.sep,3,FALSE),IF($D$1=$AN$12,HLOOKUP("kdk mdn",rku_10.okt,3,FALSE),IF($D$1=$AN$13,HLOOKUP("kdk mdn",rku_11.nov,3,FALSE),IF($D$1=$AN$14,HLOOKUP("kdk mdn",rku_12.des,3,FALSE),IF($D$1=$AN$15,HLOOKUP("kdk mdn",rku_TW_I,3,FALSE),IF($D$1=$AN$16,HLOOKUP("kdk mdn",rku_TW_II,3,FALSE),IF($D$1=$AN$17,HLOOKUP("kdk mdn",rku_TW_III,3,FALSE),IF($D$1=$AN$18,HLOOKUP("kdk mdn",rku_TW_IV,3,FALSE),IF($D$1=$AN$19,HLOOKUP("kdk mdn",rku_SM_I,3,FALSE),IF($D$1=$AN$20,HLOOKUP("kdk mdn",rku_SM_II,3,FALSE),IF($D$1=$AN$21,HLOOKUP("kdk mdn",rku_2013,3,FALSE),IF($D$1=$AN$22,HLOOKUP("kdk mdn",rku_jan_apr,3,FALSE),IF($D$1=$AN$23,HLOOKUP("kdk mdn",rku_jan_mei,3,FALSE),IF($D$1=$AN$24,HLOOKUP("kdk mdn",rku_jan_jul,3,FALSE),IF($D$1=$AN$25,HLOOKUP("kdk mdn",rku_jan_ags,3,FALSE),IF($D$1=$AN$26,HLOOKUP("kdk mdn",rku_jan_sep,3,FALSE),IF($D$1=$AN$27,HLOOKUP("kdk mdn",rku_jan_okt,3,FALSE),IF($D$1=$AN$28,HLOOKUP("kdk mdn",rku_jan_nov,3,FALSE),0)))))))))))))))))))))))))))</f>
        <v>6131000</v>
      </c>
      <c r="G15" s="84">
        <f>IF($D$1&lt;&gt;"",IF($D$1=$AN$3,HLOOKUP("kdk mdn",rku_01.jan,4,FALSE),IF($D$1=$AN$4,HLOOKUP("kdk mdn",rku_02.feb,4,FALSE),IF($D$1=$AN$5,HLOOKUP("kdk mdn",rku_03.mar,4,FALSE),IF($D$1=$AN$6,HLOOKUP("kdk mdn",rku_04.apr,4,FALSE),IF($D$1=$AN$7,HLOOKUP("kdk mdn",rku_05.mei,4,FALSE),IF($D$1=$AN$8,HLOOKUP("kdk mdn",rku_06.jun,4,FALSE),IF($D$1=$AN$9,HLOOKUP("kdk mdn",rku_07.jul,4,FALSE),IF($D$1=$AN$10,HLOOKUP("kdk mdn",rku_08.ags,4,FALSE),IF($D$1=$AN$11,HLOOKUP("kdk mdn",rku_09.sep,4,FALSE),IF($D$1=$AN$12,HLOOKUP("kdk mdn",rku_10.okt,4,FALSE),IF($D$1=$AN$13,HLOOKUP("kdk mdn",rku_11.nov,4,FALSE),IF($D$1=$AN$14,HLOOKUP("kdk mdn",rku_12.des,4,FALSE),IF($D$1=$AN$15,HLOOKUP("kdk mdn",rku_TW_I,4,FALSE),IF($D$1=$AN$16,HLOOKUP("kdk mdn",rku_TW_II,4,FALSE),IF($D$1=$AN$17,HLOOKUP("kdk mdn",rku_TW_III,4,FALSE),IF($D$1=$AN$18,HLOOKUP("kdk mdn",rku_TW_IV,4,FALSE),IF($D$1=$AN$19,HLOOKUP("kdk mdn",rku_SM_I,4,FALSE),IF($D$1=$AN$20,HLOOKUP("kdk mdn",rku_SM_II,4,FALSE),IF($D$1=$AN$21,HLOOKUP("kdk mdn",rku_2013,4,FALSE),IF($D$1=$AN$22,HLOOKUP("kdk mdn",rku_jan_apr,4,FALSE),IF($D$1=$AN$23,HLOOKUP("kdk mdn",rku_jan_mei,4,FALSE),IF($D$1=$AN$24,HLOOKUP("kdk mdn",rku_jan_jul,4,FALSE),IF($D$1=$AN$25,HLOOKUP("kdk mdn",rku_jan_ags,4,FALSE),IF($D$1=$AN$26,HLOOKUP("kdk mdn",rku_jan_sep,4,FALSE),IF($D$1=$AN$27,HLOOKUP("kdk mdn",rku_jan_okt,4,FALSE),IF($D$1=$AN$28,HLOOKUP("kdk mdn",rku_jan_nov,4,FALSE),0)))))))))))))))))))))))))))</f>
        <v>-39600</v>
      </c>
      <c r="H15" s="84">
        <f>IF($D$1&lt;&gt;"",IF($D$1=$AN$3,HLOOKUP("kdk mdn",rku_01.jan,5,FALSE),IF($D$1=$AN$4,HLOOKUP("kdk mdn",rku_02.feb,5,FALSE),IF($D$1=$AN$5,HLOOKUP("kdk mdn",rku_03.mar,5,FALSE),IF($D$1=$AN$6,HLOOKUP("kdk mdn",rku_04.apr,5,FALSE),IF($D$1=$AN$7,HLOOKUP("kdk mdn",rku_05.mei,5,FALSE),IF($D$1=$AN$8,HLOOKUP("kdk mdn",rku_06.jun,5,FALSE),IF($D$1=$AN$9,HLOOKUP("kdk mdn",rku_07.jul,5,FALSE),IF($D$1=$AN$10,HLOOKUP("kdk mdn",rku_08.ags,5,FALSE),IF($D$1=$AN$11,HLOOKUP("kdk mdn",rku_09.sep,5,FALSE),IF($D$1=$AN$12,HLOOKUP("kdk mdn",rku_10.okt,5,FALSE),IF($D$1=$AN$13,HLOOKUP("kdk mdn",rku_11.nov,5,FALSE),IF($D$1=$AN$14,HLOOKUP("kdk mdn",rku_12.des,5,FALSE),IF($D$1=$AN$15,HLOOKUP("kdk mdn",rku_TW_I,5,FALSE),IF($D$1=$AN$16,HLOOKUP("kdk mdn",rku_TW_II,5,FALSE),IF($D$1=$AN$17,HLOOKUP("kdk mdn",rku_TW_III,5,FALSE),IF($D$1=$AN$18,HLOOKUP("kdk mdn",rku_TW_IV,5,FALSE),IF($D$1=$AN$19,HLOOKUP("kdk mdn",rku_SM_I,5,FALSE),IF($D$1=$AN$20,HLOOKUP("kdk mdn",rku_SM_II,5,FALSE),IF($D$1=$AN$21,HLOOKUP("kdk mdn",rku_2013,5,FALSE),IF($D$1=$AN$22,HLOOKUP("kdk mdn",rku_jan_apr,5,FALSE),IF($D$1=$AN$23,HLOOKUP("kdk mdn",rku_jan_mei,5,FALSE),IF($D$1=$AN$24,HLOOKUP("kdk mdn",rku_jan_jul,5,FALSE),IF($D$1=$AN$25,HLOOKUP("kdk mdn",rku_jan_ags,5,FALSE),IF($D$1=$AN$26,HLOOKUP("kdk mdn",rku_jan_sep,5,FALSE),IF($D$1=$AN$27,HLOOKUP("kdk mdn",rku_jan_okt,5,FALSE),IF($D$1=$AN$28,HLOOKUP("kdk mdn",rku_jan_nov,5,FALSE),0)))))))))))))))))))))))))))</f>
        <v>621400</v>
      </c>
      <c r="I15" s="84">
        <f>IF($D$1&lt;&gt;"",IF($D$1=$AN$3,HLOOKUP("kdk mdn",rku_01.jan,6,FALSE),IF($D$1=$AN$4,HLOOKUP("kdk mdn",rku_02.feb,6,FALSE),IF($D$1=$AN$5,HLOOKUP("kdk mdn",rku_03.mar,6,FALSE),IF($D$1=$AN$6,HLOOKUP("kdk mdn",rku_04.apr,6,FALSE),IF($D$1=$AN$7,HLOOKUP("kdk mdn",rku_05.mei,6,FALSE),IF($D$1=$AN$8,HLOOKUP("kdk mdn",rku_06.jun,6,FALSE),IF($D$1=$AN$9,HLOOKUP("kdk mdn",rku_07.jul,6,FALSE),IF($D$1=$AN$10,HLOOKUP("kdk mdn",rku_08.ags,6,FALSE),IF($D$1=$AN$11,HLOOKUP("kdk mdn",rku_09.sep,6,FALSE),IF($D$1=$AN$12,HLOOKUP("kdk mdn",rku_10.okt,6,FALSE),IF($D$1=$AN$13,HLOOKUP("kdk mdn",rku_11.nov,6,FALSE),IF($D$1=$AN$14,HLOOKUP("kdk mdn",rku_12.des,6,FALSE),IF($D$1=$AN$15,HLOOKUP("kdk mdn",rku_TW_I,6,FALSE),IF($D$1=$AN$16,HLOOKUP("kdk mdn",rku_TW_II,6,FALSE),IF($D$1=$AN$17,HLOOKUP("kdk mdn",rku_TW_III,6,FALSE),IF($D$1=$AN$18,HLOOKUP("kdk mdn",rku_TW_IV,6,FALSE),IF($D$1=$AN$19,HLOOKUP("kdk mdn",rku_SM_I,6,FALSE),IF($D$1=$AN$20,HLOOKUP("kdk mdn",rku_SM_II,6,FALSE),IF($D$1=$AN$21,HLOOKUP("kdk mdn",rku_2013,6,FALSE),IF($D$1=$AN$22,HLOOKUP("kdk mdn",rku_jan_apr,6,FALSE),IF($D$1=$AN$23,HLOOKUP("kdk mdn",rku_jan_mei,6,FALSE),IF($D$1=$AN$24,HLOOKUP("kdk mdn",rku_jan_jul,6,FALSE),IF($D$1=$AN$25,HLOOKUP("kdk mdn",rku_jan_ags,6,FALSE),IF($D$1=$AN$26,HLOOKUP("kdk mdn",rku_jan_sep,6,FALSE),IF($D$1=$AN$27,HLOOKUP("kdk mdn",rku_jan_okt,6,FALSE),IF($D$1=$AN$28,HLOOKUP("kdk mdn",rku_jan_nov,6,FALSE),0)))))))))))))))))))))))))))</f>
        <v>513700</v>
      </c>
      <c r="J15" s="84">
        <f>IF($D$1&lt;&gt;"",IF($D$1=$AN$3,HLOOKUP("kdk mdn",rku_01.jan,7,FALSE),IF($D$1=$AN$4,HLOOKUP("kdk mdn",rku_02.feb,7,FALSE),IF($D$1=$AN$5,HLOOKUP("kdk mdn",rku_03.mar,7,FALSE),IF($D$1=$AN$6,HLOOKUP("kdk mdn",rku_04.apr,7,FALSE),IF($D$1=$AN$7,HLOOKUP("kdk mdn",rku_05.mei,7,FALSE),IF($D$1=$AN$8,HLOOKUP("kdk mdn",rku_06.jun,7,FALSE),IF($D$1=$AN$9,HLOOKUP("kdk mdn",rku_07.jul,7,FALSE),IF($D$1=$AN$10,HLOOKUP("kdk mdn",rku_08.ags,7,FALSE),IF($D$1=$AN$11,HLOOKUP("kdk mdn",rku_09.sep,7,FALSE),IF($D$1=$AN$12,HLOOKUP("kdk mdn",rku_10.okt,7,FALSE),IF($D$1=$AN$13,HLOOKUP("kdk mdn",rku_11.nov,7,FALSE),IF($D$1=$AN$14,HLOOKUP("kdk mdn",rku_12.des,7,FALSE),IF($D$1=$AN$15,HLOOKUP("kdk mdn",rku_TW_I,7,FALSE),IF($D$1=$AN$16,HLOOKUP("kdk mdn",rku_TW_II,7,FALSE),IF($D$1=$AN$17,HLOOKUP("kdk mdn",rku_TW_III,7,FALSE),IF($D$1=$AN$18,HLOOKUP("kdk mdn",rku_TW_IV,7,FALSE),IF($D$1=$AN$19,HLOOKUP("kdk mdn",rku_SM_I,7,FALSE),IF($D$1=$AN$20,HLOOKUP("kdk mdn",rku_SM_II,7,FALSE),IF($D$1=$AN$21,HLOOKUP("kdk mdn",rku_2013,7,FALSE),IF($D$1=$AN$22,HLOOKUP("kdk mdn",rku_jan_apr,7,FALSE),IF($D$1=$AN$23,HLOOKUP("kdk mdn",rku_jan_mei,7,FALSE),IF($D$1=$AN$24,HLOOKUP("kdk mdn",rku_jan_jul,7,FALSE),IF($D$1=$AN$25,HLOOKUP("kdk mdn",rku_jan_ags,7,FALSE),IF($D$1=$AN$26,HLOOKUP("kdk mdn",rku_jan_sep,7,FALSE),IF($D$1=$AN$27,HLOOKUP("kdk mdn",rku_jan_okt,7,FALSE),IF($D$1=$AN$28,HLOOKUP("kdk mdn",rku_jan_nov,7,FALSE),0)))))))))))))))))))))))))))</f>
        <v>256080</v>
      </c>
      <c r="K15" s="84">
        <f>IF($D$1&lt;&gt;"",IF($D$1=$AN$3,HLOOKUP("kdk mdn",rku_01.jan,8,FALSE),IF($D$1=$AN$4,HLOOKUP("kdk mdn",rku_02.feb,8,FALSE),IF($D$1=$AN$5,HLOOKUP("kdk mdn",rku_03.mar,8,FALSE),IF($D$1=$AN$6,HLOOKUP("kdk mdn",rku_04.apr,8,FALSE),IF($D$1=$AN$7,HLOOKUP("kdk mdn",rku_05.mei,8,FALSE),IF($D$1=$AN$8,HLOOKUP("kdk mdn",rku_06.jun,8,FALSE),IF($D$1=$AN$9,HLOOKUP("kdk mdn",rku_07.jul,8,FALSE),IF($D$1=$AN$10,HLOOKUP("kdk mdn",rku_08.ags,8,FALSE),IF($D$1=$AN$11,HLOOKUP("kdk mdn",rku_09.sep,8,FALSE),IF($D$1=$AN$12,HLOOKUP("kdk mdn",rku_10.okt,8,FALSE),IF($D$1=$AN$13,HLOOKUP("kdk mdn",rku_11.nov,8,FALSE),IF($D$1=$AN$14,HLOOKUP("kdk mdn",rku_12.des,8,FALSE),IF($D$1=$AN$15,HLOOKUP("kdk mdn",rku_TW_I,8,FALSE),IF($D$1=$AN$16,HLOOKUP("kdk mdn",rku_TW_II,8,FALSE),IF($D$1=$AN$17,HLOOKUP("kdk mdn",rku_TW_III,8,FALSE),IF($D$1=$AN$18,HLOOKUP("kdk mdn",rku_TW_IV,8,FALSE),IF($D$1=$AN$19,HLOOKUP("kdk mdn",rku_SM_I,8,FALSE),IF($D$1=$AN$20,HLOOKUP("kdk mdn",rku_SM_II,8,FALSE),IF($D$1=$AN$21,HLOOKUP("kdk mdn",rku_2013,8,FALSE),IF($D$1=$AN$22,HLOOKUP("kdk mdn",rku_jan_apr,8,FALSE),IF($D$1=$AN$23,HLOOKUP("kdk mdn",rku_jan_mei,8,FALSE),IF($D$1=$AN$24,HLOOKUP("kdk mdn",rku_jan_jul,8,FALSE),IF($D$1=$AN$25,HLOOKUP("kdk mdn",rku_jan_ags,8,FALSE),IF($D$1=$AN$26,HLOOKUP("kdk mdn",rku_jan_sep,8,FALSE),IF($D$1=$AN$27,HLOOKUP("kdk mdn",rku_jan_okt,8,FALSE),IF($D$1=$AN$28,HLOOKUP("kdk mdn",rku_jan_nov,8,FALSE),0)))))))))))))))))))))))))))</f>
        <v>22760</v>
      </c>
      <c r="L15" s="85">
        <f>+SUM(E15:K15)</f>
        <v>18721340</v>
      </c>
      <c r="M15" s="84">
        <f>IF($D$1&lt;&gt;"",IF($D$1=$AN$3,HLOOKUP("kdk mdn",rku_01.jan,10,FALSE),IF($D$1=$AN$4,HLOOKUP("kdk mdn",rku_02.feb,10,FALSE),IF($D$1=$AN$5,HLOOKUP("kdk mdn",rku_03.mar,10,FALSE),IF($D$1=$AN$6,HLOOKUP("kdk mdn",rku_04.apr,10,FALSE),IF($D$1=$AN$7,HLOOKUP("kdk mdn",rku_05.mei,10,FALSE),IF($D$1=$AN$8,HLOOKUP("kdk mdn",rku_06.jun,10,FALSE),IF($D$1=$AN$9,HLOOKUP("kdk mdn",rku_07.jul,10,FALSE),IF($D$1=$AN$10,HLOOKUP("kdk mdn",rku_08.ags,10,FALSE),IF($D$1=$AN$11,HLOOKUP("kdk mdn",rku_09.sep,10,FALSE),IF($D$1=$AN$12,HLOOKUP("kdk mdn",rku_10.okt,10,FALSE),IF($D$1=$AN$13,HLOOKUP("kdk mdn",rku_11.nov,10,FALSE),IF($D$1=$AN$14,HLOOKUP("kdk mdn",rku_12.des,10,FALSE),IF($D$1=$AN$15,HLOOKUP("kdk mdn",rku_TW_I,10,FALSE),IF($D$1=$AN$16,HLOOKUP("kdk mdn",rku_TW_II,10,FALSE),IF($D$1=$AN$17,HLOOKUP("kdk mdn",rku_TW_III,10,FALSE),IF($D$1=$AN$18,HLOOKUP("kdk mdn",rku_TW_IV,10,FALSE),IF($D$1=$AN$19,HLOOKUP("kdk mdn",rku_SM_I,10,FALSE),IF($D$1=$AN$20,HLOOKUP("kdk mdn",rku_SM_II,10,FALSE),IF($D$1=$AN$21,HLOOKUP("kdk mdn",rku_2013,10,FALSE),IF($D$1=$AN$22,HLOOKUP("kdk mdn",rku_jan_apr,10,FALSE),IF($D$1=$AN$23,HLOOKUP("kdk mdn",rku_jan_mei,10,FALSE),IF($D$1=$AN$24,HLOOKUP("kdk mdn",rku_jan_jul,10,FALSE),IF($D$1=$AN$25,HLOOKUP("kdk mdn",rku_jan_ags,10,FALSE),IF($D$1=$AN$26,HLOOKUP("kdk mdn",rku_jan_sep,10,FALSE),IF($D$1=$AN$27,HLOOKUP("kdk mdn",rku_jan_okt,10,FALSE),IF($D$1=$AN$28,HLOOKUP("kdk mdn",rku_jan_nov,10,FALSE),0)))))))))))))))))))))))))))</f>
        <v>20555</v>
      </c>
      <c r="N15" s="84">
        <f>IF($D$1&lt;&gt;"",IF($D$1=$AN$3,HLOOKUP("kdk mdn",rku_01.jan,11,FALSE),IF($D$1=$AN$4,HLOOKUP("kdk mdn",rku_02.feb,11,FALSE),IF($D$1=$AN$5,HLOOKUP("kdk mdn",rku_03.mar,11,FALSE),IF($D$1=$AN$6,HLOOKUP("kdk mdn",rku_04.apr,11,FALSE),IF($D$1=$AN$7,HLOOKUP("kdk mdn",rku_05.mei,11,FALSE),IF($D$1=$AN$8,HLOOKUP("kdk mdn",rku_06.jun,11,FALSE),IF($D$1=$AN$9,HLOOKUP("kdk mdn",rku_07.jul,11,FALSE),IF($D$1=$AN$10,HLOOKUP("kdk mdn",rku_08.ags,11,FALSE),IF($D$1=$AN$11,HLOOKUP("kdk mdn",rku_09.sep,11,FALSE),IF($D$1=$AN$12,HLOOKUP("kdk mdn",rku_10.okt,11,FALSE),IF($D$1=$AN$13,HLOOKUP("kdk mdn",rku_11.nov,11,FALSE),IF($D$1=$AN$14,HLOOKUP("kdk mdn",rku_12.des,11,FALSE),IF($D$1=$AN$15,HLOOKUP("kdk mdn",rku_TW_I,11,FALSE),IF($D$1=$AN$16,HLOOKUP("kdk mdn",rku_TW_II,11,FALSE),IF($D$1=$AN$17,HLOOKUP("kdk mdn",rku_TW_III,11,FALSE),IF($D$1=$AN$18,HLOOKUP("kdk mdn",rku_TW_IV,11,FALSE),IF($D$1=$AN$19,HLOOKUP("kdk mdn",rku_SM_I,11,FALSE),IF($D$1=$AN$20,HLOOKUP("kdk mdn",rku_SM_II,11,FALSE),IF($D$1=$AN$21,HLOOKUP("kdk mdn",rku_2013,11,FALSE),IF($D$1=$AN$22,HLOOKUP("kdk mdn",rku_jan_apr,11,FALSE),IF($D$1=$AN$23,HLOOKUP("kdk mdn",rku_jan_mei,11,FALSE),IF($D$1=$AN$24,HLOOKUP("kdk mdn",rku_jan_jul,11,FALSE),IF($D$1=$AN$25,HLOOKUP("kdk mdn",rku_jan_ags,11,FALSE),IF($D$1=$AN$26,HLOOKUP("kdk mdn",rku_jan_sep,11,FALSE),IF($D$1=$AN$27,HLOOKUP("kdk mdn",rku_jan_okt,11,FALSE),IF($D$1=$AN$28,HLOOKUP("kdk mdn",rku_jan_nov,11,FALSE),0)))))))))))))))))))))))))))</f>
        <v>12762.5</v>
      </c>
      <c r="O15" s="84">
        <f>IF($D$1&lt;&gt;"",IF($D$1=$AN$3,HLOOKUP("kdk mdn",rku_01.jan,12,FALSE),IF($D$1=$AN$4,HLOOKUP("kdk mdn",rku_02.feb,12,FALSE),IF($D$1=$AN$5,HLOOKUP("kdk mdn",rku_03.mar,12,FALSE),IF($D$1=$AN$6,HLOOKUP("kdk mdn",rku_04.apr,12,FALSE),IF($D$1=$AN$7,HLOOKUP("kdk mdn",rku_05.mei,12,FALSE),IF($D$1=$AN$8,HLOOKUP("kdk mdn",rku_06.jun,12,FALSE),IF($D$1=$AN$9,HLOOKUP("kdk mdn",rku_07.jul,12,FALSE),IF($D$1=$AN$10,HLOOKUP("kdk mdn",rku_08.ags,12,FALSE),IF($D$1=$AN$11,HLOOKUP("kdk mdn",rku_09.sep,12,FALSE),IF($D$1=$AN$12,HLOOKUP("kdk mdn",rku_10.okt,12,FALSE),IF($D$1=$AN$13,HLOOKUP("kdk mdn",rku_11.nov,12,FALSE),IF($D$1=$AN$14,HLOOKUP("kdk mdn",rku_12.des,12,FALSE),IF($D$1=$AN$15,HLOOKUP("kdk mdn",rku_TW_I,12,FALSE),IF($D$1=$AN$16,HLOOKUP("kdk mdn",rku_TW_II,12,FALSE),IF($D$1=$AN$17,HLOOKUP("kdk mdn",rku_TW_III,12,FALSE),IF($D$1=$AN$18,HLOOKUP("kdk mdn",rku_TW_IV,12,FALSE),IF($D$1=$AN$19,HLOOKUP("kdk mdn",rku_SM_I,12,FALSE),IF($D$1=$AN$20,HLOOKUP("kdk mdn",rku_SM_II,12,FALSE),IF($D$1=$AN$21,HLOOKUP("kdk mdn",rku_2013,12,FALSE),IF($D$1=$AN$22,HLOOKUP("kdk mdn",rku_jan_apr,12,FALSE),IF($D$1=$AN$23,HLOOKUP("kdk mdn",rku_jan_mei,12,FALSE),IF($D$1=$AN$24,HLOOKUP("kdk mdn",rku_jan_jul,12,FALSE),IF($D$1=$AN$25,HLOOKUP("kdk mdn",rku_jan_ags,12,FALSE),IF($D$1=$AN$26,HLOOKUP("kdk mdn",rku_jan_sep,12,FALSE),IF($D$1=$AN$27,HLOOKUP("kdk mdn",rku_jan_okt,12,FALSE),IF($D$1=$AN$28,HLOOKUP("kdk mdn",rku_jan_nov,12,FALSE),0)))))))))))))))))))))))))))</f>
        <v>656</v>
      </c>
      <c r="P15" s="84">
        <f>IF($D$1&lt;&gt;"",IF($D$1=$AN$3,HLOOKUP("kdk mdn",rku_01.jan,13,FALSE),IF($D$1=$AN$4,HLOOKUP("kdk mdn",rku_02.feb,13,FALSE),IF($D$1=$AN$5,HLOOKUP("kdk mdn",rku_03.mar,13,FALSE),IF($D$1=$AN$6,HLOOKUP("kdk mdn",rku_04.apr,13,FALSE),IF($D$1=$AN$7,HLOOKUP("kdk mdn",rku_05.mei,13,FALSE),IF($D$1=$AN$8,HLOOKUP("kdk mdn",rku_06.jun,13,FALSE),IF($D$1=$AN$9,HLOOKUP("kdk mdn",rku_07.jul,13,FALSE),IF($D$1=$AN$10,HLOOKUP("kdk mdn",rku_08.ags,13,FALSE),IF($D$1=$AN$11,HLOOKUP("kdk mdn",rku_09.sep,13,FALSE),IF($D$1=$AN$12,HLOOKUP("kdk mdn",rku_10.okt,13,FALSE),IF($D$1=$AN$13,HLOOKUP("kdk mdn",rku_11.nov,13,FALSE),IF($D$1=$AN$14,HLOOKUP("kdk mdn",rku_12.des,13,FALSE),IF($D$1=$AN$15,HLOOKUP("kdk mdn",rku_TW_I,13,FALSE),IF($D$1=$AN$16,HLOOKUP("kdk mdn",rku_TW_II,13,FALSE),IF($D$1=$AN$17,HLOOKUP("kdk mdn",rku_TW_III,13,FALSE),IF($D$1=$AN$18,HLOOKUP("kdk mdn",rku_TW_IV,13,FALSE),IF($D$1=$AN$19,HLOOKUP("kdk mdn",rku_SM_I,13,FALSE),IF($D$1=$AN$20,HLOOKUP("kdk mdn",rku_SM_II,13,FALSE),IF($D$1=$AN$21,HLOOKUP("kdk mdn",rku_2013,13,FALSE),IF($D$1=$AN$22,HLOOKUP("kdk mdn",rku_jan_apr,13,FALSE),IF($D$1=$AN$23,HLOOKUP("kdk mdn",rku_jan_mei,13,FALSE),IF($D$1=$AN$24,HLOOKUP("kdk mdn",rku_jan_jul,13,FALSE),IF($D$1=$AN$25,HLOOKUP("kdk mdn",rku_jan_ags,13,FALSE),IF($D$1=$AN$26,HLOOKUP("kdk mdn",rku_jan_sep,13,FALSE),IF($D$1=$AN$27,HLOOKUP("kdk mdn",rku_jan_okt,13,FALSE),IF($D$1=$AN$28,HLOOKUP("kdk mdn",rku_jan_nov,13,FALSE),0)))))))))))))))))))))))))))</f>
        <v>690</v>
      </c>
      <c r="Q15" s="84">
        <f>IF($D$1&lt;&gt;"",IF($D$1=$AN$3,HLOOKUP("kdk mdn",rku_01.jan,14,FALSE),IF($D$1=$AN$4,HLOOKUP("kdk mdn",rku_02.feb,14,FALSE),IF($D$1=$AN$5,HLOOKUP("kdk mdn",rku_03.mar,14,FALSE),IF($D$1=$AN$6,HLOOKUP("kdk mdn",rku_04.apr,14,FALSE),IF($D$1=$AN$7,HLOOKUP("kdk mdn",rku_05.mei,14,FALSE),IF($D$1=$AN$8,HLOOKUP("kdk mdn",rku_06.jun,14,FALSE),IF($D$1=$AN$9,HLOOKUP("kdk mdn",rku_07.jul,14,FALSE),IF($D$1=$AN$10,HLOOKUP("kdk mdn",rku_08.ags,14,FALSE),IF($D$1=$AN$11,HLOOKUP("kdk mdn",rku_09.sep,14,FALSE),IF($D$1=$AN$12,HLOOKUP("kdk mdn",rku_10.okt,14,FALSE),IF($D$1=$AN$13,HLOOKUP("kdk mdn",rku_11.nov,14,FALSE),IF($D$1=$AN$14,HLOOKUP("kdk mdn",rku_12.des,14,FALSE),IF($D$1=$AN$15,HLOOKUP("kdk mdn",rku_TW_I,14,FALSE),IF($D$1=$AN$16,HLOOKUP("kdk mdn",rku_TW_II,14,FALSE),IF($D$1=$AN$17,HLOOKUP("kdk mdn",rku_TW_III,14,FALSE),IF($D$1=$AN$18,HLOOKUP("kdk mdn",rku_TW_IV,14,FALSE),IF($D$1=$AN$19,HLOOKUP("kdk mdn",rku_SM_I,14,FALSE),IF($D$1=$AN$20,HLOOKUP("kdk mdn",rku_SM_II,14,FALSE),IF($D$1=$AN$21,HLOOKUP("kdk mdn",rku_2013,14,FALSE),IF($D$1=$AN$22,HLOOKUP("kdk mdn",rku_jan_apr,14,FALSE),IF($D$1=$AN$23,HLOOKUP("kdk mdn",rku_jan_mei,14,FALSE),IF($D$1=$AN$24,HLOOKUP("kdk mdn",rku_jan_jul,14,FALSE),IF($D$1=$AN$25,HLOOKUP("kdk mdn",rku_jan_ags,14,FALSE),IF($D$1=$AN$26,HLOOKUP("kdk mdn",rku_jan_sep,14,FALSE),IF($D$1=$AN$27,HLOOKUP("kdk mdn",rku_jan_okt,14,FALSE),IF($D$1=$AN$28,HLOOKUP("kdk mdn",rku_jan_nov,14,FALSE),0)))))))))))))))))))))))))))</f>
        <v>0</v>
      </c>
      <c r="R15" s="85">
        <f>+SUM(M15:Q15)</f>
        <v>34663.5</v>
      </c>
      <c r="S15" s="84">
        <f>+R15+L15</f>
        <v>18756003.5</v>
      </c>
      <c r="U15" s="81">
        <v>2</v>
      </c>
      <c r="V15" s="83" t="s">
        <v>189</v>
      </c>
      <c r="W15" s="83" t="s">
        <v>180</v>
      </c>
      <c r="X15" s="84">
        <f t="shared" ref="X15:AD16" si="7">E15/X$100</f>
        <v>5608</v>
      </c>
      <c r="Y15" s="84">
        <f t="shared" si="7"/>
        <v>6131</v>
      </c>
      <c r="Z15" s="84">
        <f t="shared" si="7"/>
        <v>-99</v>
      </c>
      <c r="AA15" s="84">
        <f t="shared" si="7"/>
        <v>3107</v>
      </c>
      <c r="AB15" s="84">
        <f t="shared" si="7"/>
        <v>5137</v>
      </c>
      <c r="AC15" s="84">
        <f t="shared" si="7"/>
        <v>6402</v>
      </c>
      <c r="AD15" s="84">
        <f t="shared" si="7"/>
        <v>1138</v>
      </c>
      <c r="AE15" s="85">
        <f>+SUM(X15:AD15)</f>
        <v>27424</v>
      </c>
      <c r="AF15" s="84">
        <f t="shared" ref="AF15:AJ16" si="8">M15/AF$100</f>
        <v>4111</v>
      </c>
      <c r="AG15" s="84">
        <f t="shared" si="8"/>
        <v>5105</v>
      </c>
      <c r="AH15" s="84">
        <f t="shared" si="8"/>
        <v>328</v>
      </c>
      <c r="AI15" s="84">
        <f t="shared" si="8"/>
        <v>690</v>
      </c>
      <c r="AJ15" s="84">
        <f t="shared" si="8"/>
        <v>0</v>
      </c>
      <c r="AK15" s="85">
        <f>+SUM(AF15:AJ15)</f>
        <v>10234</v>
      </c>
      <c r="AL15" s="84">
        <f>+AK15+AE15</f>
        <v>37658</v>
      </c>
      <c r="AM15" s="69"/>
      <c r="AN15" s="74" t="s">
        <v>190</v>
      </c>
    </row>
    <row r="16" spans="2:43" ht="15" x14ac:dyDescent="0.25">
      <c r="B16" s="86"/>
      <c r="C16" s="87"/>
      <c r="D16" s="87" t="s">
        <v>182</v>
      </c>
      <c r="E16" s="88">
        <f>IF($D$1&lt;&gt;"",IF($D$1=$AN$3,HLOOKUP("kdk mdn",real_rku_01.jan,2,FALSE),IF($D$1=$AN$4,HLOOKUP("kdk mdn",real_rku_02.feb,2,FALSE),IF($D$1=$AN$5,HLOOKUP("kdk mdn",real_rku_03.mar,2,FALSE),IF($D$1=$AN$6,HLOOKUP("kdk mdn",real_rku_04.apr,2,FALSE),IF($D$1=$AN$7,HLOOKUP("kdk mdn",real_rku_05.mei,2,FALSE),IF($D$1=$AN$8,HLOOKUP("kdk mdn",real_rku_06.jun,2,FALSE),IF($D$1=$AN$9,HLOOKUP("kdk mdn",real_rku_07.jul,2,FALSE),IF($D$1=$AN$10,HLOOKUP("kdk mdn",real_rku_08.ags,2,FALSE),IF($D$1=$AN$11,HLOOKUP("kdk mdn",real_rku_09.sep,2,FALSE),IF($D$1=$AN$12,HLOOKUP("kdk mdn",real_rku_10.okt,2,FALSE),IF($D$1=$AN$13,HLOOKUP("kdk mdn",real_rku_11.nov,2,FALSE),IF($D$1=$AN$14,HLOOKUP("kdk mdn",real_rku_12.des,2,FALSE),IF($D$1=$AN$15,HLOOKUP("kdk mdn",real_rku_TW_I,2,FALSE),IF($D$1=$AN$16,HLOOKUP("kdk mdn",real_rku_TW_II,2,FALSE),IF($D$1=$AN$17,HLOOKUP("kdk mdn",real_rku_TW_III,2,FALSE),IF($D$1=$AN$18,HLOOKUP("kdk mdn",real_rku_TW_IV,2,FALSE),IF($D$1=$AN$19,HLOOKUP("kdk mdn",real_rku_SM_I,2,FALSE),IF($D$1=$AN$20,HLOOKUP("kdk mdn",real_rku_SM_II,2,FALSE),IF($D$1=$AN$21,HLOOKUP("kdk mdn",real_rku_2013,2,FALSE),IF($D$1=$AN$22,HLOOKUP("kdk mdn",real_rku_jan_apr,2,FALSE),IF($D$1=$AN$23,HLOOKUP("kdk mdn",real_rku_jan_mei,2,FALSE),IF($D$1=$AN$24,HLOOKUP("kdk mdn",real_rku_jan_jul,2,FALSE),IF($D$1=$AN$25,HLOOKUP("kdk mdn",real_rku_jan_ags,2,FALSE),IF($D$1=$AN$26,HLOOKUP("kdk mdn",real_rku_jan_sep,2,FALSE),IF($D$1=$AN$27,HLOOKUP("kdk mdn",real_rku_jan_okt,2,FALSE),IF($D$1=$AN$28,HLOOKUP("kdk mdn",real_rku_jan_nov,2,FALSE),0)))))))))))))))))))))))))))</f>
        <v>10400000</v>
      </c>
      <c r="F16" s="88">
        <f>IF($D$1&lt;&gt;"",IF($D$1=$AN$3,HLOOKUP("kdk mdn",real_rku_01.jan,3,FALSE),IF($D$1=$AN$4,HLOOKUP("kdk mdn",real_rku_02.feb,3,FALSE),IF($D$1=$AN$5,HLOOKUP("kdk mdn",real_rku_03.mar,3,FALSE),IF($D$1=$AN$6,HLOOKUP("kdk mdn",real_rku_04.apr,3,FALSE),IF($D$1=$AN$7,HLOOKUP("kdk mdn",real_rku_05.mei,3,FALSE),IF($D$1=$AN$8,HLOOKUP("kdk mdn",real_rku_06.jun,3,FALSE),IF($D$1=$AN$9,HLOOKUP("kdk mdn",real_rku_07.jul,3,FALSE),IF($D$1=$AN$10,HLOOKUP("kdk mdn",real_rku_08.ags,3,FALSE),IF($D$1=$AN$11,HLOOKUP("kdk mdn",real_rku_09.sep,3,FALSE),IF($D$1=$AN$12,HLOOKUP("kdk mdn",real_rku_10.okt,3,FALSE),IF($D$1=$AN$13,HLOOKUP("kdk mdn",real_rku_11.nov,3,FALSE),IF($D$1=$AN$14,HLOOKUP("kdk mdn",real_rku_12.des,3,FALSE),IF($D$1=$AN$15,HLOOKUP("kdk mdn",real_rku_TW_I,3,FALSE),IF($D$1=$AN$16,HLOOKUP("kdk mdn",real_rku_TW_II,3,FALSE),IF($D$1=$AN$17,HLOOKUP("kdk mdn",real_rku_TW_III,3,FALSE),IF($D$1=$AN$18,HLOOKUP("kdk mdn",real_rku_TW_IV,3,FALSE),IF($D$1=$AN$19,HLOOKUP("kdk mdn",real_rku_SM_I,3,FALSE),IF($D$1=$AN$20,HLOOKUP("kdk mdn",real_rku_SM_II,3,FALSE),IF($D$1=$AN$21,HLOOKUP("kdk mdn",real_rku_2013,3,FALSE),IF($D$1=$AN$22,HLOOKUP("kdk mdn",real_rku_jan_apr,3,FALSE),IF($D$1=$AN$23,HLOOKUP("kdk mdn",real_rku_jan_mei,3,FALSE),IF($D$1=$AN$24,HLOOKUP("kdk mdn",real_rku_jan_jul,3,FALSE),IF($D$1=$AN$25,HLOOKUP("kdk mdn",real_rku_jan_ags,3,FALSE),IF($D$1=$AN$26,HLOOKUP("kdk mdn",real_rku_jan_sep,3,FALSE),IF($D$1=$AN$27,HLOOKUP("kdk mdn",real_rku_jan_okt,3,FALSE),IF($D$1=$AN$28,HLOOKUP("kdk mdn",real_rku_jan_nov,3,FALSE),0)))))))))))))))))))))))))))</f>
        <v>6100000</v>
      </c>
      <c r="G16" s="88">
        <f>IF($D$1&lt;&gt;"",IF($D$1=$AN$3,HLOOKUP("kdk mdn",real_rku_01.jan,4,FALSE),IF($D$1=$AN$4,HLOOKUP("kdk mdn",real_rku_02.feb,4,FALSE),IF($D$1=$AN$5,HLOOKUP("kdk mdn",real_rku_03.mar,4,FALSE),IF($D$1=$AN$6,HLOOKUP("kdk mdn",real_rku_04.apr,4,FALSE),IF($D$1=$AN$7,HLOOKUP("kdk mdn",real_rku_05.mei,4,FALSE),IF($D$1=$AN$8,HLOOKUP("kdk mdn",real_rku_06.jun,4,FALSE),IF($D$1=$AN$9,HLOOKUP("kdk mdn",real_rku_07.jul,4,FALSE),IF($D$1=$AN$10,HLOOKUP("kdk mdn",real_rku_08.ags,4,FALSE),IF($D$1=$AN$11,HLOOKUP("kdk mdn",real_rku_09.sep,4,FALSE),IF($D$1=$AN$12,HLOOKUP("kdk mdn",real_rku_10.okt,4,FALSE),IF($D$1=$AN$13,HLOOKUP("kdk mdn",real_rku_11.nov,4,FALSE),IF($D$1=$AN$14,HLOOKUP("kdk mdn",real_rku_12.des,4,FALSE),IF($D$1=$AN$15,HLOOKUP("kdk mdn",real_rku_TW_I,4,FALSE),IF($D$1=$AN$16,HLOOKUP("kdk mdn",real_rku_TW_II,4,FALSE),IF($D$1=$AN$17,HLOOKUP("kdk mdn",real_rku_TW_III,4,FALSE),IF($D$1=$AN$18,HLOOKUP("kdk mdn",real_rku_TW_IV,4,FALSE),IF($D$1=$AN$19,HLOOKUP("kdk mdn",real_rku_SM_I,4,FALSE),IF($D$1=$AN$20,HLOOKUP("kdk mdn",real_rku_SM_II,4,FALSE),IF($D$1=$AN$21,HLOOKUP("kdk mdn",real_rku_2013,4,FALSE),IF($D$1=$AN$22,HLOOKUP("kdk mdn",real_rku_jan_apr,4,FALSE),IF($D$1=$AN$23,HLOOKUP("kdk mdn",real_rku_jan_mei,4,FALSE),IF($D$1=$AN$24,HLOOKUP("kdk mdn",real_rku_jan_jul,4,FALSE),IF($D$1=$AN$25,HLOOKUP("kdk mdn",real_rku_jan_ags,4,FALSE),IF($D$1=$AN$26,HLOOKUP("kdk mdn",real_rku_jan_sep,4,FALSE),IF($D$1=$AN$27,HLOOKUP("kdk mdn",real_rku_jan_okt,4,FALSE),IF($D$1=$AN$28,HLOOKUP("kdk mdn",real_rku_jan_nov,4,FALSE),0)))))))))))))))))))))))))))</f>
        <v>880000</v>
      </c>
      <c r="H16" s="88">
        <f>IF($D$1&lt;&gt;"",IF($D$1=$AN$3,HLOOKUP("kdk mdn",real_rku_01.jan,5,FALSE),IF($D$1=$AN$4,HLOOKUP("kdk mdn",real_rku_02.feb,5,FALSE),IF($D$1=$AN$5,HLOOKUP("kdk mdn",real_rku_03.mar,5,FALSE),IF($D$1=$AN$6,HLOOKUP("kdk mdn",real_rku_04.apr,5,FALSE),IF($D$1=$AN$7,HLOOKUP("kdk mdn",real_rku_05.mei,5,FALSE),IF($D$1=$AN$8,HLOOKUP("kdk mdn",real_rku_06.jun,5,FALSE),IF($D$1=$AN$9,HLOOKUP("kdk mdn",real_rku_07.jul,5,FALSE),IF($D$1=$AN$10,HLOOKUP("kdk mdn",real_rku_08.ags,5,FALSE),IF($D$1=$AN$11,HLOOKUP("kdk mdn",real_rku_09.sep,5,FALSE),IF($D$1=$AN$12,HLOOKUP("kdk mdn",real_rku_10.okt,5,FALSE),IF($D$1=$AN$13,HLOOKUP("kdk mdn",real_rku_11.nov,5,FALSE),IF($D$1=$AN$14,HLOOKUP("kdk mdn",real_rku_12.des,5,FALSE),IF($D$1=$AN$15,HLOOKUP("kdk mdn",real_rku_TW_I,5,FALSE),IF($D$1=$AN$16,HLOOKUP("kdk mdn",real_rku_TW_II,5,FALSE),IF($D$1=$AN$17,HLOOKUP("kdk mdn",real_rku_TW_III,5,FALSE),IF($D$1=$AN$18,HLOOKUP("kdk mdn",real_rku_TW_IV,5,FALSE),IF($D$1=$AN$19,HLOOKUP("kdk mdn",real_rku_SM_I,5,FALSE),IF($D$1=$AN$20,HLOOKUP("kdk mdn",real_rku_SM_II,5,FALSE),IF($D$1=$AN$21,HLOOKUP("kdk mdn",real_rku_2013,5,FALSE),IF($D$1=$AN$22,HLOOKUP("kdk mdn",real_rku_jan_apr,5,FALSE),IF($D$1=$AN$23,HLOOKUP("kdk mdn",real_rku_jan_mei,5,FALSE),IF($D$1=$AN$24,HLOOKUP("kdk mdn",real_rku_jan_jul,5,FALSE),IF($D$1=$AN$25,HLOOKUP("kdk mdn",real_rku_jan_ags,5,FALSE),IF($D$1=$AN$26,HLOOKUP("kdk mdn",real_rku_jan_sep,5,FALSE),IF($D$1=$AN$27,HLOOKUP("kdk mdn",real_rku_jan_okt,5,FALSE),IF($D$1=$AN$28,HLOOKUP("kdk mdn",real_rku_jan_nov,5,FALSE),0)))))))))))))))))))))))))))</f>
        <v>1210000</v>
      </c>
      <c r="I16" s="88">
        <f>IF($D$1&lt;&gt;"",IF($D$1=$AN$3,HLOOKUP("kdk mdn",real_rku_01.jan,6,FALSE),IF($D$1=$AN$4,HLOOKUP("kdk mdn",real_rku_02.feb,6,FALSE),IF($D$1=$AN$5,HLOOKUP("kdk mdn",real_rku_03.mar,6,FALSE),IF($D$1=$AN$6,HLOOKUP("kdk mdn",real_rku_04.apr,6,FALSE),IF($D$1=$AN$7,HLOOKUP("kdk mdn",real_rku_05.mei,6,FALSE),IF($D$1=$AN$8,HLOOKUP("kdk mdn",real_rku_06.jun,6,FALSE),IF($D$1=$AN$9,HLOOKUP("kdk mdn",real_rku_07.jul,6,FALSE),IF($D$1=$AN$10,HLOOKUP("kdk mdn",real_rku_08.ags,6,FALSE),IF($D$1=$AN$11,HLOOKUP("kdk mdn",real_rku_09.sep,6,FALSE),IF($D$1=$AN$12,HLOOKUP("kdk mdn",real_rku_10.okt,6,FALSE),IF($D$1=$AN$13,HLOOKUP("kdk mdn",real_rku_11.nov,6,FALSE),IF($D$1=$AN$14,HLOOKUP("kdk mdn",real_rku_12.des,6,FALSE),IF($D$1=$AN$15,HLOOKUP("kdk mdn",real_rku_TW_I,6,FALSE),IF($D$1=$AN$16,HLOOKUP("kdk mdn",real_rku_TW_II,6,FALSE),IF($D$1=$AN$17,HLOOKUP("kdk mdn",real_rku_TW_III,6,FALSE),IF($D$1=$AN$18,HLOOKUP("kdk mdn",real_rku_TW_IV,6,FALSE),IF($D$1=$AN$19,HLOOKUP("kdk mdn",real_rku_SM_I,6,FALSE),IF($D$1=$AN$20,HLOOKUP("kdk mdn",real_rku_SM_II,6,FALSE),IF($D$1=$AN$21,HLOOKUP("kdk mdn",real_rku_2013,6,FALSE),IF($D$1=$AN$22,HLOOKUP("kdk mdn",real_rku_jan_apr,6,FALSE),IF($D$1=$AN$23,HLOOKUP("kdk mdn",real_rku_jan_mei,6,FALSE),IF($D$1=$AN$24,HLOOKUP("kdk mdn",real_rku_jan_jul,6,FALSE),IF($D$1=$AN$25,HLOOKUP("kdk mdn",real_rku_jan_ags,6,FALSE),IF($D$1=$AN$26,HLOOKUP("kdk mdn",real_rku_jan_sep,6,FALSE),IF($D$1=$AN$27,HLOOKUP("kdk mdn",real_rku_jan_okt,6,FALSE),IF($D$1=$AN$28,HLOOKUP("kdk mdn",real_rku_jan_nov,6,FALSE),0)))))))))))))))))))))))))))</f>
        <v>795000</v>
      </c>
      <c r="J16" s="88">
        <f>IF($D$1&lt;&gt;"",IF($D$1=$AN$3,HLOOKUP("kdk mdn",real_rku_01.jan,7,FALSE),IF($D$1=$AN$4,HLOOKUP("kdk mdn",real_rku_02.feb,7,FALSE),IF($D$1=$AN$5,HLOOKUP("kdk mdn",real_rku_03.mar,7,FALSE),IF($D$1=$AN$6,HLOOKUP("kdk mdn",real_rku_04.apr,7,FALSE),IF($D$1=$AN$7,HLOOKUP("kdk mdn",real_rku_05.mei,7,FALSE),IF($D$1=$AN$8,HLOOKUP("kdk mdn",real_rku_06.jun,7,FALSE),IF($D$1=$AN$9,HLOOKUP("kdk mdn",real_rku_07.jul,7,FALSE),IF($D$1=$AN$10,HLOOKUP("kdk mdn",real_rku_08.ags,7,FALSE),IF($D$1=$AN$11,HLOOKUP("kdk mdn",real_rku_09.sep,7,FALSE),IF($D$1=$AN$12,HLOOKUP("kdk mdn",real_rku_10.okt,7,FALSE),IF($D$1=$AN$13,HLOOKUP("kdk mdn",real_rku_11.nov,7,FALSE),IF($D$1=$AN$14,HLOOKUP("kdk mdn",real_rku_12.des,7,FALSE),IF($D$1=$AN$15,HLOOKUP("kdk mdn",real_rku_TW_I,7,FALSE),IF($D$1=$AN$16,HLOOKUP("kdk mdn",real_rku_TW_II,7,FALSE),IF($D$1=$AN$17,HLOOKUP("kdk mdn",real_rku_TW_III,7,FALSE),IF($D$1=$AN$18,HLOOKUP("kdk mdn",real_rku_TW_IV,7,FALSE),IF($D$1=$AN$19,HLOOKUP("kdk mdn",real_rku_SM_I,7,FALSE),IF($D$1=$AN$20,HLOOKUP("kdk mdn",real_rku_SM_II,7,FALSE),IF($D$1=$AN$21,HLOOKUP("kdk mdn",real_rku_2013,7,FALSE),IF($D$1=$AN$22,HLOOKUP("kdk mdn",real_rku_jan_apr,7,FALSE),IF($D$1=$AN$23,HLOOKUP("kdk mdn",real_rku_jan_mei,7,FALSE),IF($D$1=$AN$24,HLOOKUP("kdk mdn",real_rku_jan_jul,7,FALSE),IF($D$1=$AN$25,HLOOKUP("kdk mdn",real_rku_jan_ags,7,FALSE),IF($D$1=$AN$26,HLOOKUP("kdk mdn",real_rku_jan_sep,7,FALSE),IF($D$1=$AN$27,HLOOKUP("kdk mdn",real_rku_jan_okt,7,FALSE),IF($D$1=$AN$28,HLOOKUP("kdk mdn",real_rku_jan_nov,7,FALSE),0)))))))))))))))))))))))))))</f>
        <v>292000</v>
      </c>
      <c r="K16" s="88">
        <f>IF($D$1&lt;&gt;"",IF($D$1=$AN$3,HLOOKUP("kdk mdn",real_rku_01.jan,8,FALSE),IF($D$1=$AN$4,HLOOKUP("kdk mdn",real_rku_02.feb,8,FALSE),IF($D$1=$AN$5,HLOOKUP("kdk mdn",real_rku_03.mar,8,FALSE),IF($D$1=$AN$6,HLOOKUP("kdk mdn",real_rku_04.apr,8,FALSE),IF($D$1=$AN$7,HLOOKUP("kdk mdn",real_rku_05.mei,8,FALSE),IF($D$1=$AN$8,HLOOKUP("kdk mdn",real_rku_06.jun,8,FALSE),IF($D$1=$AN$9,HLOOKUP("kdk mdn",real_rku_07.jul,8,FALSE),IF($D$1=$AN$10,HLOOKUP("kdk mdn",real_rku_08.ags,8,FALSE),IF($D$1=$AN$11,HLOOKUP("kdk mdn",real_rku_09.sep,8,FALSE),IF($D$1=$AN$12,HLOOKUP("kdk mdn",real_rku_10.okt,8,FALSE),IF($D$1=$AN$13,HLOOKUP("kdk mdn",real_rku_11.nov,8,FALSE),IF($D$1=$AN$14,HLOOKUP("kdk mdn",real_rku_12.des,8,FALSE),IF($D$1=$AN$15,HLOOKUP("kdk mdn",real_rku_TW_I,8,FALSE),IF($D$1=$AN$16,HLOOKUP("kdk mdn",real_rku_TW_II,8,FALSE),IF($D$1=$AN$17,HLOOKUP("kdk mdn",real_rku_TW_III,8,FALSE),IF($D$1=$AN$18,HLOOKUP("kdk mdn",real_rku_TW_IV,8,FALSE),IF($D$1=$AN$19,HLOOKUP("kdk mdn",real_rku_SM_I,8,FALSE),IF($D$1=$AN$20,HLOOKUP("kdk mdn",real_rku_SM_II,8,FALSE),IF($D$1=$AN$21,HLOOKUP("kdk mdn",real_rku_2013,8,FALSE),IF($D$1=$AN$22,HLOOKUP("kdk mdn",real_rku_jan_apr,8,FALSE),IF($D$1=$AN$23,HLOOKUP("kdk mdn",real_rku_jan_mei,8,FALSE),IF($D$1=$AN$24,HLOOKUP("kdk mdn",real_rku_jan_jul,8,FALSE),IF($D$1=$AN$25,HLOOKUP("kdk mdn",real_rku_jan_ags,8,FALSE),IF($D$1=$AN$26,HLOOKUP("kdk mdn",real_rku_jan_sep,8,FALSE),IF($D$1=$AN$27,HLOOKUP("kdk mdn",real_rku_jan_okt,8,FALSE),IF($D$1=$AN$28,HLOOKUP("kdk mdn",real_rku_jan_nov,8,FALSE),0)))))))))))))))))))))))))))</f>
        <v>22000</v>
      </c>
      <c r="L16" s="89">
        <f>+SUM(E16:K16)</f>
        <v>19699000</v>
      </c>
      <c r="M16" s="88">
        <f>IF($D$1&lt;&gt;"",IF($D$1=$AN$3,HLOOKUP("kdk mdn",real_rku_01.jan,10,FALSE),IF($D$1=$AN$4,HLOOKUP("kdk mdn",real_rku_02.feb,10,FALSE),IF($D$1=$AN$5,HLOOKUP("kdk mdn",real_rku_03.mar,10,FALSE),IF($D$1=$AN$6,HLOOKUP("kdk mdn",real_rku_04.apr,10,FALSE),IF($D$1=$AN$7,HLOOKUP("kdk mdn",real_rku_05.mei,10,FALSE),IF($D$1=$AN$8,HLOOKUP("kdk mdn",real_rku_06.jun,10,FALSE),IF($D$1=$AN$9,HLOOKUP("kdk mdn",real_rku_07.jul,10,FALSE),IF($D$1=$AN$10,HLOOKUP("kdk mdn",real_rku_08.ags,10,FALSE),IF($D$1=$AN$11,HLOOKUP("kdk mdn",real_rku_09.sep,10,FALSE),IF($D$1=$AN$12,HLOOKUP("kdk mdn",real_rku_10.okt,10,FALSE),IF($D$1=$AN$13,HLOOKUP("kdk mdn",real_rku_11.nov,10,FALSE),IF($D$1=$AN$14,HLOOKUP("kdk mdn",real_rku_12.des,10,FALSE),IF($D$1=$AN$15,HLOOKUP("kdk mdn",real_rku_TW_I,10,FALSE),IF($D$1=$AN$16,HLOOKUP("kdk mdn",real_rku_TW_II,10,FALSE),IF($D$1=$AN$17,HLOOKUP("kdk mdn",real_rku_TW_III,10,FALSE),IF($D$1=$AN$18,HLOOKUP("kdk mdn",real_rku_TW_IV,10,FALSE),IF($D$1=$AN$19,HLOOKUP("kdk mdn",real_rku_SM_I,10,FALSE),IF($D$1=$AN$20,HLOOKUP("kdk mdn",real_rku_SM_II,10,FALSE),IF($D$1=$AN$21,HLOOKUP("kdk mdn",real_rku_2013,10,FALSE),IF($D$1=$AN$22,HLOOKUP("kdk mdn",real_rku_jan_apr,10,FALSE),IF($D$1=$AN$23,HLOOKUP("kdk mdn",real_rku_jan_mei,10,FALSE),IF($D$1=$AN$24,HLOOKUP("kdk mdn",real_rku_jan_jul,10,FALSE),IF($D$1=$AN$25,HLOOKUP("kdk mdn",real_rku_jan_ags,10,FALSE),IF($D$1=$AN$26,HLOOKUP("kdk mdn",real_rku_jan_sep,10,FALSE),IF($D$1=$AN$27,HLOOKUP("kdk mdn",real_rku_jan_okt,10,FALSE),IF($D$1=$AN$28,HLOOKUP("kdk mdn",real_rku_jan_nov,10,FALSE),0)))))))))))))))))))))))))))</f>
        <v>25500</v>
      </c>
      <c r="N16" s="88">
        <f>IF($D$1&lt;&gt;"",IF($D$1=$AN$3,HLOOKUP("kdk mdn",real_rku_01.jan,11,FALSE),IF($D$1=$AN$4,HLOOKUP("kdk mdn",real_rku_02.feb,11,FALSE),IF($D$1=$AN$5,HLOOKUP("kdk mdn",real_rku_03.mar,11,FALSE),IF($D$1=$AN$6,HLOOKUP("kdk mdn",real_rku_04.apr,11,FALSE),IF($D$1=$AN$7,HLOOKUP("kdk mdn",real_rku_05.mei,11,FALSE),IF($D$1=$AN$8,HLOOKUP("kdk mdn",real_rku_06.jun,11,FALSE),IF($D$1=$AN$9,HLOOKUP("kdk mdn",real_rku_07.jul,11,FALSE),IF($D$1=$AN$10,HLOOKUP("kdk mdn",real_rku_08.ags,11,FALSE),IF($D$1=$AN$11,HLOOKUP("kdk mdn",real_rku_09.sep,11,FALSE),IF($D$1=$AN$12,HLOOKUP("kdk mdn",real_rku_10.okt,11,FALSE),IF($D$1=$AN$13,HLOOKUP("kdk mdn",real_rku_11.nov,11,FALSE),IF($D$1=$AN$14,HLOOKUP("kdk mdn",real_rku_12.des,11,FALSE),IF($D$1=$AN$15,HLOOKUP("kdk mdn",real_rku_TW_I,11,FALSE),IF($D$1=$AN$16,HLOOKUP("kdk mdn",real_rku_TW_II,11,FALSE),IF($D$1=$AN$17,HLOOKUP("kdk mdn",real_rku_TW_III,11,FALSE),IF($D$1=$AN$18,HLOOKUP("kdk mdn",real_rku_TW_IV,11,FALSE),IF($D$1=$AN$19,HLOOKUP("kdk mdn",real_rku_SM_I,11,FALSE),IF($D$1=$AN$20,HLOOKUP("kdk mdn",real_rku_SM_II,11,FALSE),IF($D$1=$AN$21,HLOOKUP("kdk mdn",real_rku_2013,11,FALSE),IF($D$1=$AN$22,HLOOKUP("kdk mdn",real_rku_jan_apr,11,FALSE),IF($D$1=$AN$23,HLOOKUP("kdk mdn",real_rku_jan_mei,11,FALSE),IF($D$1=$AN$24,HLOOKUP("kdk mdn",real_rku_jan_jul,11,FALSE),IF($D$1=$AN$25,HLOOKUP("kdk mdn",real_rku_jan_ags,11,FALSE),IF($D$1=$AN$26,HLOOKUP("kdk mdn",real_rku_jan_sep,11,FALSE),IF($D$1=$AN$27,HLOOKUP("kdk mdn",real_rku_jan_okt,11,FALSE),IF($D$1=$AN$28,HLOOKUP("kdk mdn",real_rku_jan_nov,11,FALSE),0)))))))))))))))))))))))))))</f>
        <v>15125</v>
      </c>
      <c r="O16" s="88">
        <f>IF($D$1&lt;&gt;"",IF($D$1=$AN$3,HLOOKUP("kdk mdn",real_rku_01.jan,12,FALSE),IF($D$1=$AN$4,HLOOKUP("kdk mdn",real_rku_02.feb,12,FALSE),IF($D$1=$AN$5,HLOOKUP("kdk mdn",real_rku_03.mar,12,FALSE),IF($D$1=$AN$6,HLOOKUP("kdk mdn",real_rku_04.apr,12,FALSE),IF($D$1=$AN$7,HLOOKUP("kdk mdn",real_rku_05.mei,12,FALSE),IF($D$1=$AN$8,HLOOKUP("kdk mdn",real_rku_06.jun,12,FALSE),IF($D$1=$AN$9,HLOOKUP("kdk mdn",real_rku_07.jul,12,FALSE),IF($D$1=$AN$10,HLOOKUP("kdk mdn",real_rku_08.ags,12,FALSE),IF($D$1=$AN$11,HLOOKUP("kdk mdn",real_rku_09.sep,12,FALSE),IF($D$1=$AN$12,HLOOKUP("kdk mdn",real_rku_10.okt,12,FALSE),IF($D$1=$AN$13,HLOOKUP("kdk mdn",real_rku_11.nov,12,FALSE),IF($D$1=$AN$14,HLOOKUP("kdk mdn",real_rku_12.des,12,FALSE),IF($D$1=$AN$15,HLOOKUP("kdk mdn",real_rku_TW_I,12,FALSE),IF($D$1=$AN$16,HLOOKUP("kdk mdn",real_rku_TW_II,12,FALSE),IF($D$1=$AN$17,HLOOKUP("kdk mdn",real_rku_TW_III,12,FALSE),IF($D$1=$AN$18,HLOOKUP("kdk mdn",real_rku_TW_IV,12,FALSE),IF($D$1=$AN$19,HLOOKUP("kdk mdn",real_rku_SM_I,12,FALSE),IF($D$1=$AN$20,HLOOKUP("kdk mdn",real_rku_SM_II,12,FALSE),IF($D$1=$AN$21,HLOOKUP("kdk mdn",real_rku_2013,12,FALSE),IF($D$1=$AN$22,HLOOKUP("kdk mdn",real_rku_jan_apr,12,FALSE),IF($D$1=$AN$23,HLOOKUP("kdk mdn",real_rku_jan_mei,12,FALSE),IF($D$1=$AN$24,HLOOKUP("kdk mdn",real_rku_jan_jul,12,FALSE),IF($D$1=$AN$25,HLOOKUP("kdk mdn",real_rku_jan_ags,12,FALSE),IF($D$1=$AN$26,HLOOKUP("kdk mdn",real_rku_jan_sep,12,FALSE),IF($D$1=$AN$27,HLOOKUP("kdk mdn",real_rku_jan_okt,12,FALSE),IF($D$1=$AN$28,HLOOKUP("kdk mdn",real_rku_jan_nov,12,FALSE),0)))))))))))))))))))))))))))</f>
        <v>3000</v>
      </c>
      <c r="P16" s="88">
        <f>IF($D$1&lt;&gt;"",IF($D$1=$AN$3,HLOOKUP("kdk mdn",real_rku_01.jan,13,FALSE),IF($D$1=$AN$4,HLOOKUP("kdk mdn",real_rku_02.feb,13,FALSE),IF($D$1=$AN$5,HLOOKUP("kdk mdn",real_rku_03.mar,13,FALSE),IF($D$1=$AN$6,HLOOKUP("kdk mdn",real_rku_04.apr,13,FALSE),IF($D$1=$AN$7,HLOOKUP("kdk mdn",real_rku_05.mei,13,FALSE),IF($D$1=$AN$8,HLOOKUP("kdk mdn",real_rku_06.jun,13,FALSE),IF($D$1=$AN$9,HLOOKUP("kdk mdn",real_rku_07.jul,13,FALSE),IF($D$1=$AN$10,HLOOKUP("kdk mdn",real_rku_08.ags,13,FALSE),IF($D$1=$AN$11,HLOOKUP("kdk mdn",real_rku_09.sep,13,FALSE),IF($D$1=$AN$12,HLOOKUP("kdk mdn",real_rku_10.okt,13,FALSE),IF($D$1=$AN$13,HLOOKUP("kdk mdn",real_rku_11.nov,13,FALSE),IF($D$1=$AN$14,HLOOKUP("kdk mdn",real_rku_12.des,13,FALSE),IF($D$1=$AN$15,HLOOKUP("kdk mdn",real_rku_TW_I,13,FALSE),IF($D$1=$AN$16,HLOOKUP("kdk mdn",real_rku_TW_II,13,FALSE),IF($D$1=$AN$17,HLOOKUP("kdk mdn",real_rku_TW_III,13,FALSE),IF($D$1=$AN$18,HLOOKUP("kdk mdn",real_rku_TW_IV,13,FALSE),IF($D$1=$AN$19,HLOOKUP("kdk mdn",real_rku_SM_I,13,FALSE),IF($D$1=$AN$20,HLOOKUP("kdk mdn",real_rku_SM_II,13,FALSE),IF($D$1=$AN$21,HLOOKUP("kdk mdn",real_rku_2013,13,FALSE),IF($D$1=$AN$22,HLOOKUP("kdk mdn",real_rku_jan_apr,13,FALSE),IF($D$1=$AN$23,HLOOKUP("kdk mdn",real_rku_jan_mei,13,FALSE),IF($D$1=$AN$24,HLOOKUP("kdk mdn",real_rku_jan_jul,13,FALSE),IF($D$1=$AN$25,HLOOKUP("kdk mdn",real_rku_jan_ags,13,FALSE),IF($D$1=$AN$26,HLOOKUP("kdk mdn",real_rku_jan_sep,13,FALSE),IF($D$1=$AN$27,HLOOKUP("kdk mdn",real_rku_jan_okt,13,FALSE),IF($D$1=$AN$28,HLOOKUP("kdk mdn",real_rku_jan_nov,13,FALSE),0)))))))))))))))))))))))))))</f>
        <v>1050</v>
      </c>
      <c r="Q16" s="88">
        <f>IF($D$1&lt;&gt;"",IF($D$1=$AN$3,HLOOKUP("kdk mdn",real_rku_01.jan,14,FALSE),IF($D$1=$AN$4,HLOOKUP("kdk mdn",real_rku_02.feb,14,FALSE),IF($D$1=$AN$5,HLOOKUP("kdk mdn",real_rku_03.mar,14,FALSE),IF($D$1=$AN$6,HLOOKUP("kdk mdn",real_rku_04.apr,14,FALSE),IF($D$1=$AN$7,HLOOKUP("kdk mdn",real_rku_05.mei,14,FALSE),IF($D$1=$AN$8,HLOOKUP("kdk mdn",real_rku_06.jun,14,FALSE),IF($D$1=$AN$9,HLOOKUP("kdk mdn",real_rku_07.jul,14,FALSE),IF($D$1=$AN$10,HLOOKUP("kdk mdn",real_rku_08.ags,14,FALSE),IF($D$1=$AN$11,HLOOKUP("kdk mdn",real_rku_09.sep,14,FALSE),IF($D$1=$AN$12,HLOOKUP("kdk mdn",real_rku_10.okt,14,FALSE),IF($D$1=$AN$13,HLOOKUP("kdk mdn",real_rku_11.nov,14,FALSE),IF($D$1=$AN$14,HLOOKUP("kdk mdn",real_rku_12.des,14,FALSE),IF($D$1=$AN$15,HLOOKUP("kdk mdn",real_rku_TW_I,14,FALSE),IF($D$1=$AN$16,HLOOKUP("kdk mdn",real_rku_TW_II,14,FALSE),IF($D$1=$AN$17,HLOOKUP("kdk mdn",real_rku_TW_III,14,FALSE),IF($D$1=$AN$18,HLOOKUP("kdk mdn",real_rku_TW_IV,14,FALSE),IF($D$1=$AN$19,HLOOKUP("kdk mdn",real_rku_SM_I,14,FALSE),IF($D$1=$AN$20,HLOOKUP("kdk mdn",real_rku_SM_II,14,FALSE),IF($D$1=$AN$21,HLOOKUP("kdk mdn",real_rku_2013,14,FALSE),IF($D$1=$AN$22,HLOOKUP("kdk mdn",real_rku_jan_apr,14,FALSE),IF($D$1=$AN$23,HLOOKUP("kdk mdn",real_rku_jan_mei,14,FALSE),IF($D$1=$AN$24,HLOOKUP("kdk mdn",real_rku_jan_jul,14,FALSE),IF($D$1=$AN$25,HLOOKUP("kdk mdn",real_rku_jan_ags,14,FALSE),IF($D$1=$AN$26,HLOOKUP("kdk mdn",real_rku_jan_sep,14,FALSE),IF($D$1=$AN$27,HLOOKUP("kdk mdn",real_rku_jan_okt,14,FALSE),IF($D$1=$AN$28,HLOOKUP("kdk mdn",real_rku_jan_nov,14,FALSE),0)))))))))))))))))))))))))))</f>
        <v>0</v>
      </c>
      <c r="R16" s="89">
        <f>+SUM(M16:Q16)</f>
        <v>44675</v>
      </c>
      <c r="S16" s="88">
        <f>+R16+L16</f>
        <v>19743675</v>
      </c>
      <c r="T16" s="88"/>
      <c r="U16" s="86"/>
      <c r="V16" s="87"/>
      <c r="W16" s="87" t="s">
        <v>182</v>
      </c>
      <c r="X16" s="88">
        <f t="shared" si="7"/>
        <v>5200</v>
      </c>
      <c r="Y16" s="88">
        <f t="shared" si="7"/>
        <v>6100</v>
      </c>
      <c r="Z16" s="88">
        <f t="shared" si="7"/>
        <v>2200</v>
      </c>
      <c r="AA16" s="88">
        <f t="shared" si="7"/>
        <v>6050</v>
      </c>
      <c r="AB16" s="88">
        <f t="shared" si="7"/>
        <v>7950</v>
      </c>
      <c r="AC16" s="88">
        <f t="shared" si="7"/>
        <v>7300</v>
      </c>
      <c r="AD16" s="88">
        <f t="shared" si="7"/>
        <v>1100</v>
      </c>
      <c r="AE16" s="89">
        <f>+SUM(X16:AD16)</f>
        <v>35900</v>
      </c>
      <c r="AF16" s="88">
        <f t="shared" si="8"/>
        <v>5100</v>
      </c>
      <c r="AG16" s="88">
        <f t="shared" si="8"/>
        <v>6050</v>
      </c>
      <c r="AH16" s="88">
        <f t="shared" si="8"/>
        <v>1500</v>
      </c>
      <c r="AI16" s="88">
        <f t="shared" si="8"/>
        <v>1050</v>
      </c>
      <c r="AJ16" s="88">
        <f t="shared" si="8"/>
        <v>0</v>
      </c>
      <c r="AK16" s="89">
        <f>+SUM(AF16:AJ16)</f>
        <v>13700</v>
      </c>
      <c r="AL16" s="88">
        <f>+AK16+AE16</f>
        <v>49600</v>
      </c>
      <c r="AM16" s="69"/>
      <c r="AN16" s="74" t="s">
        <v>191</v>
      </c>
    </row>
    <row r="17" spans="2:41" ht="15" x14ac:dyDescent="0.25">
      <c r="B17" s="86"/>
      <c r="C17" s="87"/>
      <c r="D17" s="87" t="s">
        <v>184</v>
      </c>
      <c r="E17" s="88">
        <f t="shared" ref="E17:K17" si="9">+E15-E16</f>
        <v>816000</v>
      </c>
      <c r="F17" s="88">
        <f t="shared" si="9"/>
        <v>31000</v>
      </c>
      <c r="G17" s="88">
        <f t="shared" si="9"/>
        <v>-919600</v>
      </c>
      <c r="H17" s="88">
        <f t="shared" si="9"/>
        <v>-588600</v>
      </c>
      <c r="I17" s="88">
        <f t="shared" si="9"/>
        <v>-281300</v>
      </c>
      <c r="J17" s="88">
        <f t="shared" si="9"/>
        <v>-35920</v>
      </c>
      <c r="K17" s="88">
        <f t="shared" si="9"/>
        <v>760</v>
      </c>
      <c r="L17" s="89">
        <f>+SUM(E17:K17)</f>
        <v>-977660</v>
      </c>
      <c r="M17" s="88">
        <f>+M15-M16</f>
        <v>-4945</v>
      </c>
      <c r="N17" s="88">
        <f>+N15-N16</f>
        <v>-2362.5</v>
      </c>
      <c r="O17" s="88">
        <f>+O15-O16</f>
        <v>-2344</v>
      </c>
      <c r="P17" s="88">
        <f>+P15-P16</f>
        <v>-360</v>
      </c>
      <c r="Q17" s="88">
        <f>+Q15-Q16</f>
        <v>0</v>
      </c>
      <c r="R17" s="89">
        <f>+SUM(M17:Q17)</f>
        <v>-10011.5</v>
      </c>
      <c r="S17" s="88">
        <f>+R17+L17</f>
        <v>-987671.5</v>
      </c>
      <c r="T17" s="88"/>
      <c r="U17" s="86"/>
      <c r="V17" s="87"/>
      <c r="W17" s="87" t="s">
        <v>184</v>
      </c>
      <c r="X17" s="88">
        <f t="shared" ref="X17:AD17" si="10">+X15-X16</f>
        <v>408</v>
      </c>
      <c r="Y17" s="88">
        <f t="shared" si="10"/>
        <v>31</v>
      </c>
      <c r="Z17" s="88">
        <f t="shared" si="10"/>
        <v>-2299</v>
      </c>
      <c r="AA17" s="88">
        <f t="shared" si="10"/>
        <v>-2943</v>
      </c>
      <c r="AB17" s="88">
        <f t="shared" si="10"/>
        <v>-2813</v>
      </c>
      <c r="AC17" s="88">
        <f t="shared" si="10"/>
        <v>-898</v>
      </c>
      <c r="AD17" s="88">
        <f t="shared" si="10"/>
        <v>38</v>
      </c>
      <c r="AE17" s="89">
        <f>+SUM(X17:AD17)</f>
        <v>-8476</v>
      </c>
      <c r="AF17" s="88">
        <f>+AF15-AF16</f>
        <v>-989</v>
      </c>
      <c r="AG17" s="88">
        <f>+AG15-AG16</f>
        <v>-945</v>
      </c>
      <c r="AH17" s="88">
        <f>+AH15-AH16</f>
        <v>-1172</v>
      </c>
      <c r="AI17" s="88">
        <f>+AI15-AI16</f>
        <v>-360</v>
      </c>
      <c r="AJ17" s="88">
        <f>+AJ15-AJ16</f>
        <v>0</v>
      </c>
      <c r="AK17" s="89">
        <f>+SUM(AF17:AJ17)</f>
        <v>-3466</v>
      </c>
      <c r="AL17" s="88">
        <f>+AK17+AE17</f>
        <v>-11942</v>
      </c>
      <c r="AM17" s="91">
        <f>+AL17/550</f>
        <v>-21.712727272727271</v>
      </c>
      <c r="AN17" s="74" t="s">
        <v>192</v>
      </c>
    </row>
    <row r="18" spans="2:41" ht="15" x14ac:dyDescent="0.25">
      <c r="B18" s="86"/>
      <c r="C18" s="87"/>
      <c r="D18" s="92" t="s">
        <v>186</v>
      </c>
      <c r="E18" s="93">
        <f t="shared" ref="E18:S18" si="11">IF(E15=0,"-",E16/E15)</f>
        <v>0.92724679029957202</v>
      </c>
      <c r="F18" s="93">
        <f t="shared" si="11"/>
        <v>0.99494372859239932</v>
      </c>
      <c r="G18" s="93">
        <f t="shared" si="11"/>
        <v>-22.222222222222221</v>
      </c>
      <c r="H18" s="93">
        <f t="shared" si="11"/>
        <v>1.9472159639523656</v>
      </c>
      <c r="I18" s="93">
        <f t="shared" si="11"/>
        <v>1.5475958730776718</v>
      </c>
      <c r="J18" s="93">
        <f t="shared" si="11"/>
        <v>1.1402686660418619</v>
      </c>
      <c r="K18" s="93">
        <f t="shared" si="11"/>
        <v>0.96660808435852374</v>
      </c>
      <c r="L18" s="94">
        <f t="shared" si="11"/>
        <v>1.0522216892594227</v>
      </c>
      <c r="M18" s="93">
        <f t="shared" si="11"/>
        <v>1.2405740695694478</v>
      </c>
      <c r="N18" s="93">
        <f t="shared" si="11"/>
        <v>1.1851126346718903</v>
      </c>
      <c r="O18" s="93">
        <f t="shared" si="11"/>
        <v>4.5731707317073171</v>
      </c>
      <c r="P18" s="93">
        <f t="shared" si="11"/>
        <v>1.5217391304347827</v>
      </c>
      <c r="Q18" s="93" t="str">
        <f t="shared" si="11"/>
        <v>-</v>
      </c>
      <c r="R18" s="94">
        <f t="shared" si="11"/>
        <v>1.2888196517951158</v>
      </c>
      <c r="S18" s="102">
        <f t="shared" si="11"/>
        <v>1.0526589526388177</v>
      </c>
      <c r="T18" s="95">
        <f>+S18*$T$6</f>
        <v>0.73686126684717235</v>
      </c>
      <c r="U18" s="86"/>
      <c r="V18" s="87"/>
      <c r="W18" s="92" t="s">
        <v>186</v>
      </c>
      <c r="X18" s="93">
        <f t="shared" ref="X18:AL18" si="12">IF(X15=0,"-",X16/X15)</f>
        <v>0.92724679029957202</v>
      </c>
      <c r="Y18" s="93">
        <f t="shared" si="12"/>
        <v>0.99494372859239932</v>
      </c>
      <c r="Z18" s="93">
        <f t="shared" si="12"/>
        <v>-22.222222222222221</v>
      </c>
      <c r="AA18" s="93">
        <f t="shared" si="12"/>
        <v>1.9472159639523656</v>
      </c>
      <c r="AB18" s="93">
        <f t="shared" si="12"/>
        <v>1.5475958730776718</v>
      </c>
      <c r="AC18" s="93">
        <f t="shared" si="12"/>
        <v>1.1402686660418619</v>
      </c>
      <c r="AD18" s="93">
        <f t="shared" si="12"/>
        <v>0.96660808435852374</v>
      </c>
      <c r="AE18" s="94">
        <f t="shared" si="12"/>
        <v>1.3090723453908986</v>
      </c>
      <c r="AF18" s="93">
        <f t="shared" si="12"/>
        <v>1.2405740695694478</v>
      </c>
      <c r="AG18" s="93">
        <f t="shared" si="12"/>
        <v>1.1851126346718903</v>
      </c>
      <c r="AH18" s="93">
        <f t="shared" si="12"/>
        <v>4.5731707317073171</v>
      </c>
      <c r="AI18" s="93">
        <f t="shared" si="12"/>
        <v>1.5217391304347827</v>
      </c>
      <c r="AJ18" s="93" t="str">
        <f t="shared" si="12"/>
        <v>-</v>
      </c>
      <c r="AK18" s="94">
        <f t="shared" si="12"/>
        <v>1.3386750048856753</v>
      </c>
      <c r="AL18" s="93">
        <f t="shared" si="12"/>
        <v>1.317117212810027</v>
      </c>
      <c r="AM18" s="69"/>
      <c r="AN18" s="74" t="s">
        <v>193</v>
      </c>
    </row>
    <row r="19" spans="2:41" ht="15" x14ac:dyDescent="0.25">
      <c r="B19" s="103"/>
      <c r="C19" s="104"/>
      <c r="D19" s="104"/>
      <c r="E19" s="98">
        <f>+E18*$L$6</f>
        <v>0.2781740370898716</v>
      </c>
      <c r="F19" s="98">
        <f t="shared" ref="F19:K19" si="13">+F18*$L$6</f>
        <v>0.29848311857771981</v>
      </c>
      <c r="G19" s="98">
        <f t="shared" si="13"/>
        <v>-6.6666666666666661</v>
      </c>
      <c r="H19" s="98">
        <f t="shared" si="13"/>
        <v>0.58416478918570969</v>
      </c>
      <c r="I19" s="98">
        <f t="shared" si="13"/>
        <v>0.46427876192330153</v>
      </c>
      <c r="J19" s="98">
        <f t="shared" si="13"/>
        <v>0.34208059981255856</v>
      </c>
      <c r="K19" s="98">
        <f t="shared" si="13"/>
        <v>0.28998242530755713</v>
      </c>
      <c r="L19" s="98"/>
      <c r="M19" s="98">
        <f t="shared" ref="M19:P19" si="14">+M18*$L$6</f>
        <v>0.37217222087083435</v>
      </c>
      <c r="N19" s="98">
        <f t="shared" si="14"/>
        <v>0.35553379040156707</v>
      </c>
      <c r="O19" s="98">
        <f t="shared" si="14"/>
        <v>1.371951219512195</v>
      </c>
      <c r="P19" s="98">
        <f t="shared" si="14"/>
        <v>0.45652173913043481</v>
      </c>
      <c r="Q19" s="98"/>
      <c r="R19" s="105"/>
      <c r="S19" s="98">
        <f>+AVERAGE(E19:Q19)</f>
        <v>-0.16848399680499229</v>
      </c>
      <c r="T19" s="100">
        <f>+S19+T18</f>
        <v>0.56837727004218008</v>
      </c>
      <c r="U19" s="103"/>
      <c r="V19" s="104"/>
      <c r="W19" s="104"/>
      <c r="X19" s="106"/>
      <c r="Y19" s="106"/>
      <c r="Z19" s="106"/>
      <c r="AA19" s="106"/>
      <c r="AB19" s="106"/>
      <c r="AC19" s="106"/>
      <c r="AD19" s="106"/>
      <c r="AE19" s="105">
        <f>+SUM(X19:AD19)</f>
        <v>0</v>
      </c>
      <c r="AF19" s="106"/>
      <c r="AG19" s="106"/>
      <c r="AH19" s="106"/>
      <c r="AI19" s="106"/>
      <c r="AJ19" s="106"/>
      <c r="AK19" s="105">
        <f>+SUM(AF19:AJ19)</f>
        <v>0</v>
      </c>
      <c r="AL19" s="107">
        <f>+AK19+AE19</f>
        <v>0</v>
      </c>
      <c r="AM19" s="69"/>
      <c r="AN19" s="70" t="s">
        <v>194</v>
      </c>
    </row>
    <row r="20" spans="2:41" ht="15" x14ac:dyDescent="0.25">
      <c r="B20" s="81">
        <v>3</v>
      </c>
      <c r="C20" s="83" t="s">
        <v>195</v>
      </c>
      <c r="D20" s="83" t="s">
        <v>180</v>
      </c>
      <c r="E20" s="84">
        <f>IF($D$1&lt;&gt;"",IF($D$1=$AN$3,HLOOKUP("kdk pbr",rku_01.jan,2,FALSE),IF($D$1=$AN$4,HLOOKUP("kdk pbr",rku_02.feb,2,FALSE),IF($D$1=$AN$5,HLOOKUP("kdk pbr",rku_03.mar,2,FALSE),IF($D$1=$AN$6,HLOOKUP("kdk pbr",rku_04.apr,2,FALSE),IF($D$1=$AN$7,HLOOKUP("kdk pbr",rku_05.mei,2,FALSE),IF($D$1=$AN$8,HLOOKUP("kdk pbr",rku_06.jun,2,FALSE),IF($D$1=$AN$9,HLOOKUP("kdk pbr",rku_07.jul,2,FALSE),IF($D$1=$AN$10,HLOOKUP("kdk pbr",rku_08.ags,2,FALSE),IF($D$1=$AN$11,HLOOKUP("kdk pbr",rku_09.sep,2,FALSE),IF($D$1=$AN$12,HLOOKUP("kdk pbr",rku_10.okt,2,FALSE),IF($D$1=$AN$13,HLOOKUP("kdk pbr",rku_11.nov,2,FALSE),IF($D$1=$AN$14,HLOOKUP("kdk pbr",rku_12.des,2,FALSE),IF($D$1=$AN$15,HLOOKUP("kdk pbr",rku_TW_I,2,FALSE),IF($D$1=$AN$16,HLOOKUP("kdk pbr",rku_TW_II,2,FALSE),IF($D$1=$AN$17,HLOOKUP("kdk pbr",rku_TW_III,2,FALSE),IF($D$1=$AN$18,HLOOKUP("kdk pbr",rku_TW_IV,2,FALSE),IF($D$1=$AN$19,HLOOKUP("kdk pbr",rku_SM_I,2,FALSE),IF($D$1=$AN$20,HLOOKUP("kdk pbr",rku_SM_II,2,FALSE),IF($D$1=$AN$21,HLOOKUP("kdk pbr",rku_2013,2,FALSE),IF($D$1=$AN$22,HLOOKUP("kdk pbr",rku_jan_apr,2,FALSE),IF($D$1=$AN$23,HLOOKUP("kdk pbr",rku_jan_mei,2,FALSE),IF($D$1=$AN$24,HLOOKUP("kdk pbr",rku_jan_jul,2,FALSE),IF($D$1=$AN$25,HLOOKUP("kdk pbr",rku_jan_ags,2,FALSE),IF($D$1=$AN$26,HLOOKUP("kdk pbr",rku_jan_sep,2,FALSE),IF($D$1=$AN$27,HLOOKUP("kdk pbr",rku_jan_okt,2,FALSE),IF($D$1=$AN$28,HLOOKUP("kdk pbr",rku_jan_nov,2,FALSE),0)))))))))))))))))))))))))))</f>
        <v>7896000</v>
      </c>
      <c r="F20" s="84">
        <f>IF($D$1&lt;&gt;"",IF($D$1=$AN$3,HLOOKUP("kdk pbr",rku_01.jan,3,FALSE),IF($D$1=$AN$4,HLOOKUP("kdk pbr",rku_02.feb,3,FALSE),IF($D$1=$AN$5,HLOOKUP("kdk pbr",rku_03.mar,3,FALSE),IF($D$1=$AN$6,HLOOKUP("kdk pbr",rku_04.apr,3,FALSE),IF($D$1=$AN$7,HLOOKUP("kdk pbr",rku_05.mei,3,FALSE),IF($D$1=$AN$8,HLOOKUP("kdk pbr",rku_06.jun,3,FALSE),IF($D$1=$AN$9,HLOOKUP("kdk pbr",rku_07.jul,3,FALSE),IF($D$1=$AN$10,HLOOKUP("kdk pbr",rku_08.ags,3,FALSE),IF($D$1=$AN$11,HLOOKUP("kdk pbr",rku_09.sep,3,FALSE),IF($D$1=$AN$12,HLOOKUP("kdk pbr",rku_10.okt,3,FALSE),IF($D$1=$AN$13,HLOOKUP("kdk pbr",rku_11.nov,3,FALSE),IF($D$1=$AN$14,HLOOKUP("kdk pbr",rku_12.des,3,FALSE),IF($D$1=$AN$15,HLOOKUP("kdk pbr",rku_TW_I,3,FALSE),IF($D$1=$AN$16,HLOOKUP("kdk pbr",rku_TW_II,3,FALSE),IF($D$1=$AN$17,HLOOKUP("kdk pbr",rku_TW_III,3,FALSE),IF($D$1=$AN$18,HLOOKUP("kdk pbr",rku_TW_IV,3,FALSE),IF($D$1=$AN$19,HLOOKUP("kdk pbr",rku_SM_I,3,FALSE),IF($D$1=$AN$20,HLOOKUP("kdk pbr",rku_SM_II,3,FALSE),IF($D$1=$AN$21,HLOOKUP("kdk pbr",rku_2013,3,FALSE),IF($D$1=$AN$22,HLOOKUP("kdk pbr",rku_jan_apr,3,FALSE),IF($D$1=$AN$23,HLOOKUP("kdk pbr",rku_jan_mei,3,FALSE),IF($D$1=$AN$24,HLOOKUP("kdk pbr",rku_jan_jul,3,FALSE),IF($D$1=$AN$25,HLOOKUP("kdk pbr",rku_jan_ags,3,FALSE),IF($D$1=$AN$26,HLOOKUP("kdk pbr",rku_jan_sep,3,FALSE),IF($D$1=$AN$27,HLOOKUP("kdk pbr",rku_jan_okt,3,FALSE),IF($D$1=$AN$28,HLOOKUP("kdk pbr",rku_jan_nov,3,FALSE),0)))))))))))))))))))))))))))</f>
        <v>2365000</v>
      </c>
      <c r="G20" s="84">
        <f>IF($D$1&lt;&gt;"",IF($D$1=$AN$3,HLOOKUP("kdk pbr",rku_01.jan,4,FALSE),IF($D$1=$AN$4,HLOOKUP("kdk pbr",rku_02.feb,4,FALSE),IF($D$1=$AN$5,HLOOKUP("kdk pbr",rku_03.mar,4,FALSE),IF($D$1=$AN$6,HLOOKUP("kdk pbr",rku_04.apr,4,FALSE),IF($D$1=$AN$7,HLOOKUP("kdk pbr",rku_05.mei,4,FALSE),IF($D$1=$AN$8,HLOOKUP("kdk pbr",rku_06.jun,4,FALSE),IF($D$1=$AN$9,HLOOKUP("kdk pbr",rku_07.jul,4,FALSE),IF($D$1=$AN$10,HLOOKUP("kdk pbr",rku_08.ags,4,FALSE),IF($D$1=$AN$11,HLOOKUP("kdk pbr",rku_09.sep,4,FALSE),IF($D$1=$AN$12,HLOOKUP("kdk pbr",rku_10.okt,4,FALSE),IF($D$1=$AN$13,HLOOKUP("kdk pbr",rku_11.nov,4,FALSE),IF($D$1=$AN$14,HLOOKUP("kdk pbr",rku_12.des,4,FALSE),IF($D$1=$AN$15,HLOOKUP("kdk pbr",rku_TW_I,4,FALSE),IF($D$1=$AN$16,HLOOKUP("kdk pbr",rku_TW_II,4,FALSE),IF($D$1=$AN$17,HLOOKUP("kdk pbr",rku_TW_III,4,FALSE),IF($D$1=$AN$18,HLOOKUP("kdk pbr",rku_TW_IV,4,FALSE),IF($D$1=$AN$19,HLOOKUP("kdk pbr",rku_SM_I,4,FALSE),IF($D$1=$AN$20,HLOOKUP("kdk pbr",rku_SM_II,4,FALSE),IF($D$1=$AN$21,HLOOKUP("kdk pbr",rku_2013,4,FALSE),IF($D$1=$AN$22,HLOOKUP("kdk pbr",rku_jan_apr,4,FALSE),IF($D$1=$AN$23,HLOOKUP("kdk pbr",rku_jan_mei,4,FALSE),IF($D$1=$AN$24,HLOOKUP("kdk pbr",rku_jan_jul,4,FALSE),IF($D$1=$AN$25,HLOOKUP("kdk pbr",rku_jan_ags,4,FALSE),IF($D$1=$AN$26,HLOOKUP("kdk pbr",rku_jan_sep,4,FALSE),IF($D$1=$AN$27,HLOOKUP("kdk pbr",rku_jan_okt,4,FALSE),IF($D$1=$AN$28,HLOOKUP("kdk pbr",rku_jan_nov,4,FALSE),0)))))))))))))))))))))))))))</f>
        <v>27200</v>
      </c>
      <c r="H20" s="84">
        <f>IF($D$1&lt;&gt;"",IF($D$1=$AN$3,HLOOKUP("kdk pbr",rku_01.jan,5,FALSE),IF($D$1=$AN$4,HLOOKUP("kdk pbr",rku_02.feb,5,FALSE),IF($D$1=$AN$5,HLOOKUP("kdk pbr",rku_03.mar,5,FALSE),IF($D$1=$AN$6,HLOOKUP("kdk pbr",rku_04.apr,5,FALSE),IF($D$1=$AN$7,HLOOKUP("kdk pbr",rku_05.mei,5,FALSE),IF($D$1=$AN$8,HLOOKUP("kdk pbr",rku_06.jun,5,FALSE),IF($D$1=$AN$9,HLOOKUP("kdk pbr",rku_07.jul,5,FALSE),IF($D$1=$AN$10,HLOOKUP("kdk pbr",rku_08.ags,5,FALSE),IF($D$1=$AN$11,HLOOKUP("kdk pbr",rku_09.sep,5,FALSE),IF($D$1=$AN$12,HLOOKUP("kdk pbr",rku_10.okt,5,FALSE),IF($D$1=$AN$13,HLOOKUP("kdk pbr",rku_11.nov,5,FALSE),IF($D$1=$AN$14,HLOOKUP("kdk pbr",rku_12.des,5,FALSE),IF($D$1=$AN$15,HLOOKUP("kdk pbr",rku_TW_I,5,FALSE),IF($D$1=$AN$16,HLOOKUP("kdk pbr",rku_TW_II,5,FALSE),IF($D$1=$AN$17,HLOOKUP("kdk pbr",rku_TW_III,5,FALSE),IF($D$1=$AN$18,HLOOKUP("kdk pbr",rku_TW_IV,5,FALSE),IF($D$1=$AN$19,HLOOKUP("kdk pbr",rku_SM_I,5,FALSE),IF($D$1=$AN$20,HLOOKUP("kdk pbr",rku_SM_II,5,FALSE),IF($D$1=$AN$21,HLOOKUP("kdk pbr",rku_2013,5,FALSE),IF($D$1=$AN$22,HLOOKUP("kdk pbr",rku_jan_apr,5,FALSE),IF($D$1=$AN$23,HLOOKUP("kdk pbr",rku_jan_mei,5,FALSE),IF($D$1=$AN$24,HLOOKUP("kdk pbr",rku_jan_jul,5,FALSE),IF($D$1=$AN$25,HLOOKUP("kdk pbr",rku_jan_ags,5,FALSE),IF($D$1=$AN$26,HLOOKUP("kdk pbr",rku_jan_sep,5,FALSE),IF($D$1=$AN$27,HLOOKUP("kdk pbr",rku_jan_okt,5,FALSE),IF($D$1=$AN$28,HLOOKUP("kdk pbr",rku_jan_nov,5,FALSE),0)))))))))))))))))))))))))))</f>
        <v>296800</v>
      </c>
      <c r="I20" s="84">
        <f>IF($D$1&lt;&gt;"",IF($D$1=$AN$3,HLOOKUP("kdk pbr",rku_01.jan,6,FALSE),IF($D$1=$AN$4,HLOOKUP("kdk pbr",rku_02.feb,6,FALSE),IF($D$1=$AN$5,HLOOKUP("kdk pbr",rku_03.mar,6,FALSE),IF($D$1=$AN$6,HLOOKUP("kdk pbr",rku_04.apr,6,FALSE),IF($D$1=$AN$7,HLOOKUP("kdk pbr",rku_05.mei,6,FALSE),IF($D$1=$AN$8,HLOOKUP("kdk pbr",rku_06.jun,6,FALSE),IF($D$1=$AN$9,HLOOKUP("kdk pbr",rku_07.jul,6,FALSE),IF($D$1=$AN$10,HLOOKUP("kdk pbr",rku_08.ags,6,FALSE),IF($D$1=$AN$11,HLOOKUP("kdk pbr",rku_09.sep,6,FALSE),IF($D$1=$AN$12,HLOOKUP("kdk pbr",rku_10.okt,6,FALSE),IF($D$1=$AN$13,HLOOKUP("kdk pbr",rku_11.nov,6,FALSE),IF($D$1=$AN$14,HLOOKUP("kdk pbr",rku_12.des,6,FALSE),IF($D$1=$AN$15,HLOOKUP("kdk pbr",rku_TW_I,6,FALSE),IF($D$1=$AN$16,HLOOKUP("kdk pbr",rku_TW_II,6,FALSE),IF($D$1=$AN$17,HLOOKUP("kdk pbr",rku_TW_III,6,FALSE),IF($D$1=$AN$18,HLOOKUP("kdk pbr",rku_TW_IV,6,FALSE),IF($D$1=$AN$19,HLOOKUP("kdk pbr",rku_SM_I,6,FALSE),IF($D$1=$AN$20,HLOOKUP("kdk pbr",rku_SM_II,6,FALSE),IF($D$1=$AN$21,HLOOKUP("kdk pbr",rku_2013,6,FALSE),IF($D$1=$AN$22,HLOOKUP("kdk pbr",rku_jan_apr,6,FALSE),IF($D$1=$AN$23,HLOOKUP("kdk pbr",rku_jan_mei,6,FALSE),IF($D$1=$AN$24,HLOOKUP("kdk pbr",rku_jan_jul,6,FALSE),IF($D$1=$AN$25,HLOOKUP("kdk pbr",rku_jan_ags,6,FALSE),IF($D$1=$AN$26,HLOOKUP("kdk pbr",rku_jan_sep,6,FALSE),IF($D$1=$AN$27,HLOOKUP("kdk pbr",rku_jan_okt,6,FALSE),IF($D$1=$AN$28,HLOOKUP("kdk pbr",rku_jan_nov,6,FALSE),0)))))))))))))))))))))))))))</f>
        <v>288000</v>
      </c>
      <c r="J20" s="84">
        <f>IF($D$1&lt;&gt;"",IF($D$1=$AN$3,HLOOKUP("kdk pbr",rku_01.jan,7,FALSE),IF($D$1=$AN$4,HLOOKUP("kdk pbr",rku_02.feb,7,FALSE),IF($D$1=$AN$5,HLOOKUP("kdk pbr",rku_03.mar,7,FALSE),IF($D$1=$AN$6,HLOOKUP("kdk pbr",rku_04.apr,7,FALSE),IF($D$1=$AN$7,HLOOKUP("kdk pbr",rku_05.mei,7,FALSE),IF($D$1=$AN$8,HLOOKUP("kdk pbr",rku_06.jun,7,FALSE),IF($D$1=$AN$9,HLOOKUP("kdk pbr",rku_07.jul,7,FALSE),IF($D$1=$AN$10,HLOOKUP("kdk pbr",rku_08.ags,7,FALSE),IF($D$1=$AN$11,HLOOKUP("kdk pbr",rku_09.sep,7,FALSE),IF($D$1=$AN$12,HLOOKUP("kdk pbr",rku_10.okt,7,FALSE),IF($D$1=$AN$13,HLOOKUP("kdk pbr",rku_11.nov,7,FALSE),IF($D$1=$AN$14,HLOOKUP("kdk pbr",rku_12.des,7,FALSE),IF($D$1=$AN$15,HLOOKUP("kdk pbr",rku_TW_I,7,FALSE),IF($D$1=$AN$16,HLOOKUP("kdk pbr",rku_TW_II,7,FALSE),IF($D$1=$AN$17,HLOOKUP("kdk pbr",rku_TW_III,7,FALSE),IF($D$1=$AN$18,HLOOKUP("kdk pbr",rku_TW_IV,7,FALSE),IF($D$1=$AN$19,HLOOKUP("kdk pbr",rku_SM_I,7,FALSE),IF($D$1=$AN$20,HLOOKUP("kdk pbr",rku_SM_II,7,FALSE),IF($D$1=$AN$21,HLOOKUP("kdk pbr",rku_2013,7,FALSE),IF($D$1=$AN$22,HLOOKUP("kdk pbr",rku_jan_apr,7,FALSE),IF($D$1=$AN$23,HLOOKUP("kdk pbr",rku_jan_mei,7,FALSE),IF($D$1=$AN$24,HLOOKUP("kdk pbr",rku_jan_jul,7,FALSE),IF($D$1=$AN$25,HLOOKUP("kdk pbr",rku_jan_ags,7,FALSE),IF($D$1=$AN$26,HLOOKUP("kdk pbr",rku_jan_sep,7,FALSE),IF($D$1=$AN$27,HLOOKUP("kdk pbr",rku_jan_okt,7,FALSE),IF($D$1=$AN$28,HLOOKUP("kdk pbr",rku_jan_nov,7,FALSE),0)))))))))))))))))))))))))))</f>
        <v>150720</v>
      </c>
      <c r="K20" s="84">
        <f>IF($D$1&lt;&gt;"",IF($D$1=$AN$3,HLOOKUP("kdk pbr",rku_01.jan,8,FALSE),IF($D$1=$AN$4,HLOOKUP("kdk pbr",rku_02.feb,8,FALSE),IF($D$1=$AN$5,HLOOKUP("kdk pbr",rku_03.mar,8,FALSE),IF($D$1=$AN$6,HLOOKUP("kdk pbr",rku_04.apr,8,FALSE),IF($D$1=$AN$7,HLOOKUP("kdk pbr",rku_05.mei,8,FALSE),IF($D$1=$AN$8,HLOOKUP("kdk pbr",rku_06.jun,8,FALSE),IF($D$1=$AN$9,HLOOKUP("kdk pbr",rku_07.jul,8,FALSE),IF($D$1=$AN$10,HLOOKUP("kdk pbr",rku_08.ags,8,FALSE),IF($D$1=$AN$11,HLOOKUP("kdk pbr",rku_09.sep,8,FALSE),IF($D$1=$AN$12,HLOOKUP("kdk pbr",rku_10.okt,8,FALSE),IF($D$1=$AN$13,HLOOKUP("kdk pbr",rku_11.nov,8,FALSE),IF($D$1=$AN$14,HLOOKUP("kdk pbr",rku_12.des,8,FALSE),IF($D$1=$AN$15,HLOOKUP("kdk pbr",rku_TW_I,8,FALSE),IF($D$1=$AN$16,HLOOKUP("kdk pbr",rku_TW_II,8,FALSE),IF($D$1=$AN$17,HLOOKUP("kdk pbr",rku_TW_III,8,FALSE),IF($D$1=$AN$18,HLOOKUP("kdk pbr",rku_TW_IV,8,FALSE),IF($D$1=$AN$19,HLOOKUP("kdk pbr",rku_SM_I,8,FALSE),IF($D$1=$AN$20,HLOOKUP("kdk pbr",rku_SM_II,8,FALSE),IF($D$1=$AN$21,HLOOKUP("kdk pbr",rku_2013,8,FALSE),IF($D$1=$AN$22,HLOOKUP("kdk pbr",rku_jan_apr,8,FALSE),IF($D$1=$AN$23,HLOOKUP("kdk pbr",rku_jan_mei,8,FALSE),IF($D$1=$AN$24,HLOOKUP("kdk pbr",rku_jan_jul,8,FALSE),IF($D$1=$AN$25,HLOOKUP("kdk pbr",rku_jan_ags,8,FALSE),IF($D$1=$AN$26,HLOOKUP("kdk pbr",rku_jan_sep,8,FALSE),IF($D$1=$AN$27,HLOOKUP("kdk pbr",rku_jan_okt,8,FALSE),IF($D$1=$AN$28,HLOOKUP("kdk pbr",rku_jan_nov,8,FALSE),0)))))))))))))))))))))))))))</f>
        <v>5540</v>
      </c>
      <c r="L20" s="85">
        <f>+SUM(E20:K20)</f>
        <v>11029260</v>
      </c>
      <c r="M20" s="84">
        <f>IF($D$1&lt;&gt;"",IF($D$1=$AN$3,HLOOKUP("kdk pbr",rku_01.jan,10,FALSE),IF($D$1=$AN$4,HLOOKUP("kdk pbr",rku_02.feb,10,FALSE),IF($D$1=$AN$5,HLOOKUP("kdk pbr",rku_03.mar,10,FALSE),IF($D$1=$AN$6,HLOOKUP("kdk pbr",rku_04.apr,10,FALSE),IF($D$1=$AN$7,HLOOKUP("kdk pbr",rku_05.mei,10,FALSE),IF($D$1=$AN$8,HLOOKUP("kdk pbr",rku_06.jun,10,FALSE),IF($D$1=$AN$9,HLOOKUP("kdk pbr",rku_07.jul,10,FALSE),IF($D$1=$AN$10,HLOOKUP("kdk pbr",rku_08.ags,10,FALSE),IF($D$1=$AN$11,HLOOKUP("kdk pbr",rku_09.sep,10,FALSE),IF($D$1=$AN$12,HLOOKUP("kdk pbr",rku_10.okt,10,FALSE),IF($D$1=$AN$13,HLOOKUP("kdk pbr",rku_11.nov,10,FALSE),IF($D$1=$AN$14,HLOOKUP("kdk pbr",rku_12.des,10,FALSE),IF($D$1=$AN$15,HLOOKUP("kdk pbr",rku_TW_I,10,FALSE),IF($D$1=$AN$16,HLOOKUP("kdk pbr",rku_TW_II,10,FALSE),IF($D$1=$AN$17,HLOOKUP("kdk pbr",rku_TW_III,10,FALSE),IF($D$1=$AN$18,HLOOKUP("kdk pbr",rku_TW_IV,10,FALSE),IF($D$1=$AN$19,HLOOKUP("kdk pbr",rku_SM_I,10,FALSE),IF($D$1=$AN$20,HLOOKUP("kdk pbr",rku_SM_II,10,FALSE),IF($D$1=$AN$21,HLOOKUP("kdk pbr",rku_2013,10,FALSE),IF($D$1=$AN$22,HLOOKUP("kdk pbr",rku_jan_apr,10,FALSE),IF($D$1=$AN$23,HLOOKUP("kdk pbr",rku_jan_mei,10,FALSE),IF($D$1=$AN$24,HLOOKUP("kdk pbr",rku_jan_jul,10,FALSE),IF($D$1=$AN$25,HLOOKUP("kdk pbr",rku_jan_ags,10,FALSE),IF($D$1=$AN$26,HLOOKUP("kdk pbr",rku_jan_sep,10,FALSE),IF($D$1=$AN$27,HLOOKUP("kdk pbr",rku_jan_okt,10,FALSE),IF($D$1=$AN$28,HLOOKUP("kdk pbr",rku_jan_nov,10,FALSE),0)))))))))))))))))))))))))))</f>
        <v>17905</v>
      </c>
      <c r="N20" s="84">
        <f>IF($D$1&lt;&gt;"",IF($D$1=$AN$3,HLOOKUP("kdk pbr",rku_01.jan,11,FALSE),IF($D$1=$AN$4,HLOOKUP("kdk pbr",rku_02.feb,11,FALSE),IF($D$1=$AN$5,HLOOKUP("kdk pbr",rku_03.mar,11,FALSE),IF($D$1=$AN$6,HLOOKUP("kdk pbr",rku_04.apr,11,FALSE),IF($D$1=$AN$7,HLOOKUP("kdk pbr",rku_05.mei,11,FALSE),IF($D$1=$AN$8,HLOOKUP("kdk pbr",rku_06.jun,11,FALSE),IF($D$1=$AN$9,HLOOKUP("kdk pbr",rku_07.jul,11,FALSE),IF($D$1=$AN$10,HLOOKUP("kdk pbr",rku_08.ags,11,FALSE),IF($D$1=$AN$11,HLOOKUP("kdk pbr",rku_09.sep,11,FALSE),IF($D$1=$AN$12,HLOOKUP("kdk pbr",rku_10.okt,11,FALSE),IF($D$1=$AN$13,HLOOKUP("kdk pbr",rku_11.nov,11,FALSE),IF($D$1=$AN$14,HLOOKUP("kdk pbr",rku_12.des,11,FALSE),IF($D$1=$AN$15,HLOOKUP("kdk pbr",rku_TW_I,11,FALSE),IF($D$1=$AN$16,HLOOKUP("kdk pbr",rku_TW_II,11,FALSE),IF($D$1=$AN$17,HLOOKUP("kdk pbr",rku_TW_III,11,FALSE),IF($D$1=$AN$18,HLOOKUP("kdk pbr",rku_TW_IV,11,FALSE),IF($D$1=$AN$19,HLOOKUP("kdk pbr",rku_SM_I,11,FALSE),IF($D$1=$AN$20,HLOOKUP("kdk pbr",rku_SM_II,11,FALSE),IF($D$1=$AN$21,HLOOKUP("kdk pbr",rku_2013,11,FALSE),IF($D$1=$AN$22,HLOOKUP("kdk pbr",rku_jan_apr,11,FALSE),IF($D$1=$AN$23,HLOOKUP("kdk pbr",rku_jan_mei,11,FALSE),IF($D$1=$AN$24,HLOOKUP("kdk pbr",rku_jan_jul,11,FALSE),IF($D$1=$AN$25,HLOOKUP("kdk pbr",rku_jan_ags,11,FALSE),IF($D$1=$AN$26,HLOOKUP("kdk pbr",rku_jan_sep,11,FALSE),IF($D$1=$AN$27,HLOOKUP("kdk pbr",rku_jan_okt,11,FALSE),IF($D$1=$AN$28,HLOOKUP("kdk pbr",rku_jan_nov,11,FALSE),0)))))))))))))))))))))))))))</f>
        <v>8022.5</v>
      </c>
      <c r="O20" s="84">
        <f>IF($D$1&lt;&gt;"",IF($D$1=$AN$3,HLOOKUP("kdk pbr",rku_01.jan,12,FALSE),IF($D$1=$AN$4,HLOOKUP("kdk pbr",rku_02.feb,12,FALSE),IF($D$1=$AN$5,HLOOKUP("kdk pbr",rku_03.mar,12,FALSE),IF($D$1=$AN$6,HLOOKUP("kdk pbr",rku_04.apr,12,FALSE),IF($D$1=$AN$7,HLOOKUP("kdk pbr",rku_05.mei,12,FALSE),IF($D$1=$AN$8,HLOOKUP("kdk pbr",rku_06.jun,12,FALSE),IF($D$1=$AN$9,HLOOKUP("kdk pbr",rku_07.jul,12,FALSE),IF($D$1=$AN$10,HLOOKUP("kdk pbr",rku_08.ags,12,FALSE),IF($D$1=$AN$11,HLOOKUP("kdk pbr",rku_09.sep,12,FALSE),IF($D$1=$AN$12,HLOOKUP("kdk pbr",rku_10.okt,12,FALSE),IF($D$1=$AN$13,HLOOKUP("kdk pbr",rku_11.nov,12,FALSE),IF($D$1=$AN$14,HLOOKUP("kdk pbr",rku_12.des,12,FALSE),IF($D$1=$AN$15,HLOOKUP("kdk pbr",rku_TW_I,12,FALSE),IF($D$1=$AN$16,HLOOKUP("kdk pbr",rku_TW_II,12,FALSE),IF($D$1=$AN$17,HLOOKUP("kdk pbr",rku_TW_III,12,FALSE),IF($D$1=$AN$18,HLOOKUP("kdk pbr",rku_TW_IV,12,FALSE),IF($D$1=$AN$19,HLOOKUP("kdk pbr",rku_SM_I,12,FALSE),IF($D$1=$AN$20,HLOOKUP("kdk pbr",rku_SM_II,12,FALSE),IF($D$1=$AN$21,HLOOKUP("kdk pbr",rku_2013,12,FALSE),IF($D$1=$AN$22,HLOOKUP("kdk pbr",rku_jan_apr,12,FALSE),IF($D$1=$AN$23,HLOOKUP("kdk pbr",rku_jan_mei,12,FALSE),IF($D$1=$AN$24,HLOOKUP("kdk pbr",rku_jan_jul,12,FALSE),IF($D$1=$AN$25,HLOOKUP("kdk pbr",rku_jan_ags,12,FALSE),IF($D$1=$AN$26,HLOOKUP("kdk pbr",rku_jan_sep,12,FALSE),IF($D$1=$AN$27,HLOOKUP("kdk pbr",rku_jan_okt,12,FALSE),IF($D$1=$AN$28,HLOOKUP("kdk pbr",rku_jan_nov,12,FALSE),0)))))))))))))))))))))))))))</f>
        <v>2332</v>
      </c>
      <c r="P20" s="84">
        <f>IF($D$1&lt;&gt;"",IF($D$1=$AN$3,HLOOKUP("kdk pbr",rku_01.jan,13,FALSE),IF($D$1=$AN$4,HLOOKUP("kdk pbr",rku_02.feb,13,FALSE),IF($D$1=$AN$5,HLOOKUP("kdk pbr",rku_03.mar,13,FALSE),IF($D$1=$AN$6,HLOOKUP("kdk pbr",rku_04.apr,13,FALSE),IF($D$1=$AN$7,HLOOKUP("kdk pbr",rku_05.mei,13,FALSE),IF($D$1=$AN$8,HLOOKUP("kdk pbr",rku_06.jun,13,FALSE),IF($D$1=$AN$9,HLOOKUP("kdk pbr",rku_07.jul,13,FALSE),IF($D$1=$AN$10,HLOOKUP("kdk pbr",rku_08.ags,13,FALSE),IF($D$1=$AN$11,HLOOKUP("kdk pbr",rku_09.sep,13,FALSE),IF($D$1=$AN$12,HLOOKUP("kdk pbr",rku_10.okt,13,FALSE),IF($D$1=$AN$13,HLOOKUP("kdk pbr",rku_11.nov,13,FALSE),IF($D$1=$AN$14,HLOOKUP("kdk pbr",rku_12.des,13,FALSE),IF($D$1=$AN$15,HLOOKUP("kdk pbr",rku_TW_I,13,FALSE),IF($D$1=$AN$16,HLOOKUP("kdk pbr",rku_TW_II,13,FALSE),IF($D$1=$AN$17,HLOOKUP("kdk pbr",rku_TW_III,13,FALSE),IF($D$1=$AN$18,HLOOKUP("kdk pbr",rku_TW_IV,13,FALSE),IF($D$1=$AN$19,HLOOKUP("kdk pbr",rku_SM_I,13,FALSE),IF($D$1=$AN$20,HLOOKUP("kdk pbr",rku_SM_II,13,FALSE),IF($D$1=$AN$21,HLOOKUP("kdk pbr",rku_2013,13,FALSE),IF($D$1=$AN$22,HLOOKUP("kdk pbr",rku_jan_apr,13,FALSE),IF($D$1=$AN$23,HLOOKUP("kdk pbr",rku_jan_mei,13,FALSE),IF($D$1=$AN$24,HLOOKUP("kdk pbr",rku_jan_jul,13,FALSE),IF($D$1=$AN$25,HLOOKUP("kdk pbr",rku_jan_ags,13,FALSE),IF($D$1=$AN$26,HLOOKUP("kdk pbr",rku_jan_sep,13,FALSE),IF($D$1=$AN$27,HLOOKUP("kdk pbr",rku_jan_okt,13,FALSE),IF($D$1=$AN$28,HLOOKUP("kdk pbr",rku_jan_nov,13,FALSE),0)))))))))))))))))))))))))))</f>
        <v>1259</v>
      </c>
      <c r="Q20" s="84">
        <f>IF($D$1&lt;&gt;"",IF($D$1=$AN$3,HLOOKUP("kdk pbr",rku_01.jan,14,FALSE),IF($D$1=$AN$4,HLOOKUP("kdk pbr",rku_02.feb,14,FALSE),IF($D$1=$AN$5,HLOOKUP("kdk pbr",rku_03.mar,14,FALSE),IF($D$1=$AN$6,HLOOKUP("kdk pbr",rku_04.apr,14,FALSE),IF($D$1=$AN$7,HLOOKUP("kdk pbr",rku_05.mei,14,FALSE),IF($D$1=$AN$8,HLOOKUP("kdk pbr",rku_06.jun,14,FALSE),IF($D$1=$AN$9,HLOOKUP("kdk pbr",rku_07.jul,14,FALSE),IF($D$1=$AN$10,HLOOKUP("kdk pbr",rku_08.ags,14,FALSE),IF($D$1=$AN$11,HLOOKUP("kdk pbr",rku_09.sep,14,FALSE),IF($D$1=$AN$12,HLOOKUP("kdk pbr",rku_10.okt,14,FALSE),IF($D$1=$AN$13,HLOOKUP("kdk pbr",rku_11.nov,14,FALSE),IF($D$1=$AN$14,HLOOKUP("kdk pbr",rku_12.des,14,FALSE),IF($D$1=$AN$15,HLOOKUP("kdk pbr",rku_TW_I,14,FALSE),IF($D$1=$AN$16,HLOOKUP("kdk pbr",rku_TW_II,14,FALSE),IF($D$1=$AN$17,HLOOKUP("kdk pbr",rku_TW_III,14,FALSE),IF($D$1=$AN$18,HLOOKUP("kdk pbr",rku_TW_IV,14,FALSE),IF($D$1=$AN$19,HLOOKUP("kdk pbr",rku_SM_I,14,FALSE),IF($D$1=$AN$20,HLOOKUP("kdk pbr",rku_SM_II,14,FALSE),IF($D$1=$AN$21,HLOOKUP("kdk pbr",rku_2013,14,FALSE),IF($D$1=$AN$22,HLOOKUP("kdk pbr",rku_jan_apr,14,FALSE),IF($D$1=$AN$23,HLOOKUP("kdk pbr",rku_jan_mei,14,FALSE),IF($D$1=$AN$24,HLOOKUP("kdk pbr",rku_jan_jul,14,FALSE),IF($D$1=$AN$25,HLOOKUP("kdk pbr",rku_jan_ags,14,FALSE),IF($D$1=$AN$26,HLOOKUP("kdk pbr",rku_jan_sep,14,FALSE),IF($D$1=$AN$27,HLOOKUP("kdk pbr",rku_jan_okt,14,FALSE),IF($D$1=$AN$28,HLOOKUP("kdk pbr",rku_jan_nov,14,FALSE),0)))))))))))))))))))))))))))</f>
        <v>0</v>
      </c>
      <c r="R20" s="85">
        <f>+SUM(M20:Q20)</f>
        <v>29518.5</v>
      </c>
      <c r="S20" s="84">
        <f>+R20+L20</f>
        <v>11058778.5</v>
      </c>
      <c r="U20" s="81">
        <v>3</v>
      </c>
      <c r="V20" s="83" t="s">
        <v>195</v>
      </c>
      <c r="W20" s="83" t="s">
        <v>180</v>
      </c>
      <c r="X20" s="84">
        <f t="shared" ref="X20:AD21" si="15">E20/X$100</f>
        <v>3948</v>
      </c>
      <c r="Y20" s="84">
        <f t="shared" si="15"/>
        <v>2365</v>
      </c>
      <c r="Z20" s="84">
        <f t="shared" si="15"/>
        <v>68</v>
      </c>
      <c r="AA20" s="84">
        <f t="shared" si="15"/>
        <v>1484</v>
      </c>
      <c r="AB20" s="84">
        <f t="shared" si="15"/>
        <v>2880</v>
      </c>
      <c r="AC20" s="84">
        <f t="shared" si="15"/>
        <v>3768</v>
      </c>
      <c r="AD20" s="84">
        <f t="shared" si="15"/>
        <v>277</v>
      </c>
      <c r="AE20" s="85">
        <f>+SUM(X20:AD20)</f>
        <v>14790</v>
      </c>
      <c r="AF20" s="84">
        <f t="shared" ref="AF20:AJ21" si="16">M20/AF$100</f>
        <v>3581</v>
      </c>
      <c r="AG20" s="84">
        <f t="shared" si="16"/>
        <v>3209</v>
      </c>
      <c r="AH20" s="84">
        <f t="shared" si="16"/>
        <v>1166</v>
      </c>
      <c r="AI20" s="84">
        <f t="shared" si="16"/>
        <v>1259</v>
      </c>
      <c r="AJ20" s="84">
        <f t="shared" si="16"/>
        <v>0</v>
      </c>
      <c r="AK20" s="85">
        <f>+SUM(AF20:AJ20)</f>
        <v>9215</v>
      </c>
      <c r="AL20" s="84">
        <f>+AK20+AE20</f>
        <v>24005</v>
      </c>
      <c r="AM20" s="69"/>
      <c r="AN20" s="70" t="s">
        <v>196</v>
      </c>
    </row>
    <row r="21" spans="2:41" ht="15" x14ac:dyDescent="0.25">
      <c r="B21" s="86"/>
      <c r="C21" s="87"/>
      <c r="D21" s="87" t="s">
        <v>182</v>
      </c>
      <c r="E21" s="88">
        <f>IF($D$1&lt;&gt;"",IF($D$1=$AN$3,HLOOKUP("kdk pbr",real_rku_01.jan,2,FALSE),IF($D$1=$AN$4,HLOOKUP("kdk pbr",real_rku_02.feb,2,FALSE),IF($D$1=$AN$5,HLOOKUP("kdk pbr",real_rku_03.mar,2,FALSE),IF($D$1=$AN$6,HLOOKUP("kdk pbr",real_rku_04.apr,2,FALSE),IF($D$1=$AN$7,HLOOKUP("kdk pbr",real_rku_05.mei,2,FALSE),IF($D$1=$AN$8,HLOOKUP("kdk pbr",real_rku_06.jun,2,FALSE),IF($D$1=$AN$9,HLOOKUP("kdk pbr",real_rku_07.jul,2,FALSE),IF($D$1=$AN$10,HLOOKUP("kdk pbr",real_rku_08.ags,2,FALSE),IF($D$1=$AN$11,HLOOKUP("kdk pbr",real_rku_09.sep,2,FALSE),IF($D$1=$AN$12,HLOOKUP("kdk pbr",real_rku_10.okt,2,FALSE),IF($D$1=$AN$13,HLOOKUP("kdk pbr",real_rku_11.nov,2,FALSE),IF($D$1=$AN$14,HLOOKUP("kdk pbr",real_rku_12.des,2,FALSE),IF($D$1=$AN$15,HLOOKUP("kdk pbr",real_rku_TW_I,2,FALSE),IF($D$1=$AN$16,HLOOKUP("kdk pbr",real_rku_TW_II,2,FALSE),IF($D$1=$AN$17,HLOOKUP("kdk pbr",real_rku_TW_III,2,FALSE),IF($D$1=$AN$18,HLOOKUP("kdk pbr",real_rku_TW_IV,2,FALSE),IF($D$1=$AN$19,HLOOKUP("kdk pbr",real_rku_SM_I,2,FALSE),IF($D$1=$AN$20,HLOOKUP("kdk pbr",real_rku_SM_II,2,FALSE),IF($D$1=$AN$21,HLOOKUP("kdk pbr",real_rku_2013,2,FALSE),IF($D$1=$AN$22,HLOOKUP("kdk pbr",real_rku_jan_apr,2,FALSE),IF($D$1=$AN$23,HLOOKUP("kdk pbr",real_rku_jan_mei,2,FALSE),IF($D$1=$AN$24,HLOOKUP("kdk pbr",real_rku_jan_jul,2,FALSE),IF($D$1=$AN$25,HLOOKUP("kdk pbr",real_rku_jan_ags,2,FALSE),IF($D$1=$AN$26,HLOOKUP("kdk pbr",real_rku_jan_sep,2,FALSE),IF($D$1=$AN$27,HLOOKUP("kdk pbr",real_rku_jan_okt,2,FALSE),IF($D$1=$AN$28,HLOOKUP("kdk pbr",real_rku_jan_nov,2,FALSE),0)))))))))))))))))))))))))))</f>
        <v>9220000</v>
      </c>
      <c r="F21" s="88">
        <f>IF($D$1&lt;&gt;"",IF($D$1=$AN$3,HLOOKUP("kdk pbr",real_rku_01.jan,3,FALSE),IF($D$1=$AN$4,HLOOKUP("kdk pbr",real_rku_02.feb,3,FALSE),IF($D$1=$AN$5,HLOOKUP("kdk pbr",real_rku_03.mar,3,FALSE),IF($D$1=$AN$6,HLOOKUP("kdk pbr",real_rku_04.apr,3,FALSE),IF($D$1=$AN$7,HLOOKUP("kdk pbr",real_rku_05.mei,3,FALSE),IF($D$1=$AN$8,HLOOKUP("kdk pbr",real_rku_06.jun,3,FALSE),IF($D$1=$AN$9,HLOOKUP("kdk pbr",real_rku_07.jul,3,FALSE),IF($D$1=$AN$10,HLOOKUP("kdk pbr",real_rku_08.ags,3,FALSE),IF($D$1=$AN$11,HLOOKUP("kdk pbr",real_rku_09.sep,3,FALSE),IF($D$1=$AN$12,HLOOKUP("kdk pbr",real_rku_10.okt,3,FALSE),IF($D$1=$AN$13,HLOOKUP("kdk pbr",real_rku_11.nov,3,FALSE),IF($D$1=$AN$14,HLOOKUP("kdk pbr",real_rku_12.des,3,FALSE),IF($D$1=$AN$15,HLOOKUP("kdk pbr",real_rku_TW_I,3,FALSE),IF($D$1=$AN$16,HLOOKUP("kdk pbr",real_rku_TW_II,3,FALSE),IF($D$1=$AN$17,HLOOKUP("kdk pbr",real_rku_TW_III,3,FALSE),IF($D$1=$AN$18,HLOOKUP("kdk pbr",real_rku_TW_IV,3,FALSE),IF($D$1=$AN$19,HLOOKUP("kdk pbr",real_rku_SM_I,3,FALSE),IF($D$1=$AN$20,HLOOKUP("kdk pbr",real_rku_SM_II,3,FALSE),IF($D$1=$AN$21,HLOOKUP("kdk pbr",real_rku_2013,3,FALSE),IF($D$1=$AN$22,HLOOKUP("kdk pbr",real_rku_jan_apr,3,FALSE),IF($D$1=$AN$23,HLOOKUP("kdk pbr",real_rku_jan_mei,3,FALSE),IF($D$1=$AN$24,HLOOKUP("kdk pbr",real_rku_jan_jul,3,FALSE),IF($D$1=$AN$25,HLOOKUP("kdk pbr",real_rku_jan_ags,3,FALSE),IF($D$1=$AN$26,HLOOKUP("kdk pbr",real_rku_jan_sep,3,FALSE),IF($D$1=$AN$27,HLOOKUP("kdk pbr",real_rku_jan_okt,3,FALSE),IF($D$1=$AN$28,HLOOKUP("kdk pbr",real_rku_jan_nov,3,FALSE),0)))))))))))))))))))))))))))</f>
        <v>2780000</v>
      </c>
      <c r="G21" s="88">
        <f>IF($D$1&lt;&gt;"",IF($D$1=$AN$3,HLOOKUP("kdk pbr",real_rku_01.jan,4,FALSE),IF($D$1=$AN$4,HLOOKUP("kdk pbr",real_rku_02.feb,4,FALSE),IF($D$1=$AN$5,HLOOKUP("kdk pbr",real_rku_03.mar,4,FALSE),IF($D$1=$AN$6,HLOOKUP("kdk pbr",real_rku_04.apr,4,FALSE),IF($D$1=$AN$7,HLOOKUP("kdk pbr",real_rku_05.mei,4,FALSE),IF($D$1=$AN$8,HLOOKUP("kdk pbr",real_rku_06.jun,4,FALSE),IF($D$1=$AN$9,HLOOKUP("kdk pbr",real_rku_07.jul,4,FALSE),IF($D$1=$AN$10,HLOOKUP("kdk pbr",real_rku_08.ags,4,FALSE),IF($D$1=$AN$11,HLOOKUP("kdk pbr",real_rku_09.sep,4,FALSE),IF($D$1=$AN$12,HLOOKUP("kdk pbr",real_rku_10.okt,4,FALSE),IF($D$1=$AN$13,HLOOKUP("kdk pbr",real_rku_11.nov,4,FALSE),IF($D$1=$AN$14,HLOOKUP("kdk pbr",real_rku_12.des,4,FALSE),IF($D$1=$AN$15,HLOOKUP("kdk pbr",real_rku_TW_I,4,FALSE),IF($D$1=$AN$16,HLOOKUP("kdk pbr",real_rku_TW_II,4,FALSE),IF($D$1=$AN$17,HLOOKUP("kdk pbr",real_rku_TW_III,4,FALSE),IF($D$1=$AN$18,HLOOKUP("kdk pbr",real_rku_TW_IV,4,FALSE),IF($D$1=$AN$19,HLOOKUP("kdk pbr",real_rku_SM_I,4,FALSE),IF($D$1=$AN$20,HLOOKUP("kdk pbr",real_rku_SM_II,4,FALSE),IF($D$1=$AN$21,HLOOKUP("kdk pbr",real_rku_2013,4,FALSE),IF($D$1=$AN$22,HLOOKUP("kdk pbr",real_rku_jan_apr,4,FALSE),IF($D$1=$AN$23,HLOOKUP("kdk pbr",real_rku_jan_mei,4,FALSE),IF($D$1=$AN$24,HLOOKUP("kdk pbr",real_rku_jan_jul,4,FALSE),IF($D$1=$AN$25,HLOOKUP("kdk pbr",real_rku_jan_ags,4,FALSE),IF($D$1=$AN$26,HLOOKUP("kdk pbr",real_rku_jan_sep,4,FALSE),IF($D$1=$AN$27,HLOOKUP("kdk pbr",real_rku_jan_okt,4,FALSE),IF($D$1=$AN$28,HLOOKUP("kdk pbr",real_rku_jan_nov,4,FALSE),0)))))))))))))))))))))))))))</f>
        <v>320000</v>
      </c>
      <c r="H21" s="88">
        <f>IF($D$1&lt;&gt;"",IF($D$1=$AN$3,HLOOKUP("kdk pbr",real_rku_01.jan,5,FALSE),IF($D$1=$AN$4,HLOOKUP("kdk pbr",real_rku_02.feb,5,FALSE),IF($D$1=$AN$5,HLOOKUP("kdk pbr",real_rku_03.mar,5,FALSE),IF($D$1=$AN$6,HLOOKUP("kdk pbr",real_rku_04.apr,5,FALSE),IF($D$1=$AN$7,HLOOKUP("kdk pbr",real_rku_05.mei,5,FALSE),IF($D$1=$AN$8,HLOOKUP("kdk pbr",real_rku_06.jun,5,FALSE),IF($D$1=$AN$9,HLOOKUP("kdk pbr",real_rku_07.jul,5,FALSE),IF($D$1=$AN$10,HLOOKUP("kdk pbr",real_rku_08.ags,5,FALSE),IF($D$1=$AN$11,HLOOKUP("kdk pbr",real_rku_09.sep,5,FALSE),IF($D$1=$AN$12,HLOOKUP("kdk pbr",real_rku_10.okt,5,FALSE),IF($D$1=$AN$13,HLOOKUP("kdk pbr",real_rku_11.nov,5,FALSE),IF($D$1=$AN$14,HLOOKUP("kdk pbr",real_rku_12.des,5,FALSE),IF($D$1=$AN$15,HLOOKUP("kdk pbr",real_rku_TW_I,5,FALSE),IF($D$1=$AN$16,HLOOKUP("kdk pbr",real_rku_TW_II,5,FALSE),IF($D$1=$AN$17,HLOOKUP("kdk pbr",real_rku_TW_III,5,FALSE),IF($D$1=$AN$18,HLOOKUP("kdk pbr",real_rku_TW_IV,5,FALSE),IF($D$1=$AN$19,HLOOKUP("kdk pbr",real_rku_SM_I,5,FALSE),IF($D$1=$AN$20,HLOOKUP("kdk pbr",real_rku_SM_II,5,FALSE),IF($D$1=$AN$21,HLOOKUP("kdk pbr",real_rku_2013,5,FALSE),IF($D$1=$AN$22,HLOOKUP("kdk pbr",real_rku_jan_apr,5,FALSE),IF($D$1=$AN$23,HLOOKUP("kdk pbr",real_rku_jan_mei,5,FALSE),IF($D$1=$AN$24,HLOOKUP("kdk pbr",real_rku_jan_jul,5,FALSE),IF($D$1=$AN$25,HLOOKUP("kdk pbr",real_rku_jan_ags,5,FALSE),IF($D$1=$AN$26,HLOOKUP("kdk pbr",real_rku_jan_sep,5,FALSE),IF($D$1=$AN$27,HLOOKUP("kdk pbr",real_rku_jan_okt,5,FALSE),IF($D$1=$AN$28,HLOOKUP("kdk pbr",real_rku_jan_nov,5,FALSE),0)))))))))))))))))))))))))))</f>
        <v>200000</v>
      </c>
      <c r="I21" s="88">
        <f>IF($D$1&lt;&gt;"",IF($D$1=$AN$3,HLOOKUP("kdk pbr",real_rku_01.jan,6,FALSE),IF($D$1=$AN$4,HLOOKUP("kdk pbr",real_rku_02.feb,6,FALSE),IF($D$1=$AN$5,HLOOKUP("kdk pbr",real_rku_03.mar,6,FALSE),IF($D$1=$AN$6,HLOOKUP("kdk pbr",real_rku_04.apr,6,FALSE),IF($D$1=$AN$7,HLOOKUP("kdk pbr",real_rku_05.mei,6,FALSE),IF($D$1=$AN$8,HLOOKUP("kdk pbr",real_rku_06.jun,6,FALSE),IF($D$1=$AN$9,HLOOKUP("kdk pbr",real_rku_07.jul,6,FALSE),IF($D$1=$AN$10,HLOOKUP("kdk pbr",real_rku_08.ags,6,FALSE),IF($D$1=$AN$11,HLOOKUP("kdk pbr",real_rku_09.sep,6,FALSE),IF($D$1=$AN$12,HLOOKUP("kdk pbr",real_rku_10.okt,6,FALSE),IF($D$1=$AN$13,HLOOKUP("kdk pbr",real_rku_11.nov,6,FALSE),IF($D$1=$AN$14,HLOOKUP("kdk pbr",real_rku_12.des,6,FALSE),IF($D$1=$AN$15,HLOOKUP("kdk pbr",real_rku_TW_I,6,FALSE),IF($D$1=$AN$16,HLOOKUP("kdk pbr",real_rku_TW_II,6,FALSE),IF($D$1=$AN$17,HLOOKUP("kdk pbr",real_rku_TW_III,6,FALSE),IF($D$1=$AN$18,HLOOKUP("kdk pbr",real_rku_TW_IV,6,FALSE),IF($D$1=$AN$19,HLOOKUP("kdk pbr",real_rku_SM_I,6,FALSE),IF($D$1=$AN$20,HLOOKUP("kdk pbr",real_rku_SM_II,6,FALSE),IF($D$1=$AN$21,HLOOKUP("kdk pbr",real_rku_2013,6,FALSE),IF($D$1=$AN$22,HLOOKUP("kdk pbr",real_rku_jan_apr,6,FALSE),IF($D$1=$AN$23,HLOOKUP("kdk pbr",real_rku_jan_mei,6,FALSE),IF($D$1=$AN$24,HLOOKUP("kdk pbr",real_rku_jan_jul,6,FALSE),IF($D$1=$AN$25,HLOOKUP("kdk pbr",real_rku_jan_ags,6,FALSE),IF($D$1=$AN$26,HLOOKUP("kdk pbr",real_rku_jan_sep,6,FALSE),IF($D$1=$AN$27,HLOOKUP("kdk pbr",real_rku_jan_okt,6,FALSE),IF($D$1=$AN$28,HLOOKUP("kdk pbr",real_rku_jan_nov,6,FALSE),0)))))))))))))))))))))))))))</f>
        <v>350000</v>
      </c>
      <c r="J21" s="88">
        <f>IF($D$1&lt;&gt;"",IF($D$1=$AN$3,HLOOKUP("kdk pbr",real_rku_01.jan,7,FALSE),IF($D$1=$AN$4,HLOOKUP("kdk pbr",real_rku_02.feb,7,FALSE),IF($D$1=$AN$5,HLOOKUP("kdk pbr",real_rku_03.mar,7,FALSE),IF($D$1=$AN$6,HLOOKUP("kdk pbr",real_rku_04.apr,7,FALSE),IF($D$1=$AN$7,HLOOKUP("kdk pbr",real_rku_05.mei,7,FALSE),IF($D$1=$AN$8,HLOOKUP("kdk pbr",real_rku_06.jun,7,FALSE),IF($D$1=$AN$9,HLOOKUP("kdk pbr",real_rku_07.jul,7,FALSE),IF($D$1=$AN$10,HLOOKUP("kdk pbr",real_rku_08.ags,7,FALSE),IF($D$1=$AN$11,HLOOKUP("kdk pbr",real_rku_09.sep,7,FALSE),IF($D$1=$AN$12,HLOOKUP("kdk pbr",real_rku_10.okt,7,FALSE),IF($D$1=$AN$13,HLOOKUP("kdk pbr",real_rku_11.nov,7,FALSE),IF($D$1=$AN$14,HLOOKUP("kdk pbr",real_rku_12.des,7,FALSE),IF($D$1=$AN$15,HLOOKUP("kdk pbr",real_rku_TW_I,7,FALSE),IF($D$1=$AN$16,HLOOKUP("kdk pbr",real_rku_TW_II,7,FALSE),IF($D$1=$AN$17,HLOOKUP("kdk pbr",real_rku_TW_III,7,FALSE),IF($D$1=$AN$18,HLOOKUP("kdk pbr",real_rku_TW_IV,7,FALSE),IF($D$1=$AN$19,HLOOKUP("kdk pbr",real_rku_SM_I,7,FALSE),IF($D$1=$AN$20,HLOOKUP("kdk pbr",real_rku_SM_II,7,FALSE),IF($D$1=$AN$21,HLOOKUP("kdk pbr",real_rku_2013,7,FALSE),IF($D$1=$AN$22,HLOOKUP("kdk pbr",real_rku_jan_apr,7,FALSE),IF($D$1=$AN$23,HLOOKUP("kdk pbr",real_rku_jan_mei,7,FALSE),IF($D$1=$AN$24,HLOOKUP("kdk pbr",real_rku_jan_jul,7,FALSE),IF($D$1=$AN$25,HLOOKUP("kdk pbr",real_rku_jan_ags,7,FALSE),IF($D$1=$AN$26,HLOOKUP("kdk pbr",real_rku_jan_sep,7,FALSE),IF($D$1=$AN$27,HLOOKUP("kdk pbr",real_rku_jan_okt,7,FALSE),IF($D$1=$AN$28,HLOOKUP("kdk pbr",real_rku_jan_nov,7,FALSE),0)))))))))))))))))))))))))))</f>
        <v>208000</v>
      </c>
      <c r="K21" s="88">
        <f>IF($D$1&lt;&gt;"",IF($D$1=$AN$3,HLOOKUP("kdk pbr",real_rku_01.jan,8,FALSE),IF($D$1=$AN$4,HLOOKUP("kdk pbr",real_rku_02.feb,8,FALSE),IF($D$1=$AN$5,HLOOKUP("kdk pbr",real_rku_03.mar,8,FALSE),IF($D$1=$AN$6,HLOOKUP("kdk pbr",real_rku_04.apr,8,FALSE),IF($D$1=$AN$7,HLOOKUP("kdk pbr",real_rku_05.mei,8,FALSE),IF($D$1=$AN$8,HLOOKUP("kdk pbr",real_rku_06.jun,8,FALSE),IF($D$1=$AN$9,HLOOKUP("kdk pbr",real_rku_07.jul,8,FALSE),IF($D$1=$AN$10,HLOOKUP("kdk pbr",real_rku_08.ags,8,FALSE),IF($D$1=$AN$11,HLOOKUP("kdk pbr",real_rku_09.sep,8,FALSE),IF($D$1=$AN$12,HLOOKUP("kdk pbr",real_rku_10.okt,8,FALSE),IF($D$1=$AN$13,HLOOKUP("kdk pbr",real_rku_11.nov,8,FALSE),IF($D$1=$AN$14,HLOOKUP("kdk pbr",real_rku_12.des,8,FALSE),IF($D$1=$AN$15,HLOOKUP("kdk pbr",real_rku_TW_I,8,FALSE),IF($D$1=$AN$16,HLOOKUP("kdk pbr",real_rku_TW_II,8,FALSE),IF($D$1=$AN$17,HLOOKUP("kdk pbr",real_rku_TW_III,8,FALSE),IF($D$1=$AN$18,HLOOKUP("kdk pbr",real_rku_TW_IV,8,FALSE),IF($D$1=$AN$19,HLOOKUP("kdk pbr",real_rku_SM_I,8,FALSE),IF($D$1=$AN$20,HLOOKUP("kdk pbr",real_rku_SM_II,8,FALSE),IF($D$1=$AN$21,HLOOKUP("kdk pbr",real_rku_2013,8,FALSE),IF($D$1=$AN$22,HLOOKUP("kdk pbr",real_rku_jan_apr,8,FALSE),IF($D$1=$AN$23,HLOOKUP("kdk pbr",real_rku_jan_mei,8,FALSE),IF($D$1=$AN$24,HLOOKUP("kdk pbr",real_rku_jan_jul,8,FALSE),IF($D$1=$AN$25,HLOOKUP("kdk pbr",real_rku_jan_ags,8,FALSE),IF($D$1=$AN$26,HLOOKUP("kdk pbr",real_rku_jan_sep,8,FALSE),IF($D$1=$AN$27,HLOOKUP("kdk pbr",real_rku_jan_okt,8,FALSE),IF($D$1=$AN$28,HLOOKUP("kdk pbr",real_rku_jan_nov,8,FALSE),0)))))))))))))))))))))))))))</f>
        <v>5000</v>
      </c>
      <c r="L21" s="89">
        <f>+SUM(E21:K21)</f>
        <v>13083000</v>
      </c>
      <c r="M21" s="88">
        <f>IF($D$1&lt;&gt;"",IF($D$1=$AN$3,HLOOKUP("kdk pbr",real_rku_01.jan,10,FALSE),IF($D$1=$AN$4,HLOOKUP("kdk pbr",real_rku_02.feb,10,FALSE),IF($D$1=$AN$5,HLOOKUP("kdk pbr",real_rku_03.mar,10,FALSE),IF($D$1=$AN$6,HLOOKUP("kdk pbr",real_rku_04.apr,10,FALSE),IF($D$1=$AN$7,HLOOKUP("kdk pbr",real_rku_05.mei,10,FALSE),IF($D$1=$AN$8,HLOOKUP("kdk pbr",real_rku_06.jun,10,FALSE),IF($D$1=$AN$9,HLOOKUP("kdk pbr",real_rku_07.jul,10,FALSE),IF($D$1=$AN$10,HLOOKUP("kdk pbr",real_rku_08.ags,10,FALSE),IF($D$1=$AN$11,HLOOKUP("kdk pbr",real_rku_09.sep,10,FALSE),IF($D$1=$AN$12,HLOOKUP("kdk pbr",real_rku_10.okt,10,FALSE),IF($D$1=$AN$13,HLOOKUP("kdk pbr",real_rku_11.nov,10,FALSE),IF($D$1=$AN$14,HLOOKUP("kdk pbr",real_rku_12.des,10,FALSE),IF($D$1=$AN$15,HLOOKUP("kdk pbr",real_rku_TW_I,10,FALSE),IF($D$1=$AN$16,HLOOKUP("kdk pbr",real_rku_TW_II,10,FALSE),IF($D$1=$AN$17,HLOOKUP("kdk pbr",real_rku_TW_III,10,FALSE),IF($D$1=$AN$18,HLOOKUP("kdk pbr",real_rku_TW_IV,10,FALSE),IF($D$1=$AN$19,HLOOKUP("kdk pbr",real_rku_SM_I,10,FALSE),IF($D$1=$AN$20,HLOOKUP("kdk pbr",real_rku_SM_II,10,FALSE),IF($D$1=$AN$21,HLOOKUP("kdk pbr",real_rku_2013,10,FALSE),IF($D$1=$AN$22,HLOOKUP("kdk pbr",real_rku_jan_apr,10,FALSE),IF($D$1=$AN$23,HLOOKUP("kdk pbr",real_rku_jan_mei,10,FALSE),IF($D$1=$AN$24,HLOOKUP("kdk pbr",real_rku_jan_jul,10,FALSE),IF($D$1=$AN$25,HLOOKUP("kdk pbr",real_rku_jan_ags,10,FALSE),IF($D$1=$AN$26,HLOOKUP("kdk pbr",real_rku_jan_sep,10,FALSE),IF($D$1=$AN$27,HLOOKUP("kdk pbr",real_rku_jan_okt,10,FALSE),IF($D$1=$AN$28,HLOOKUP("kdk pbr",real_rku_jan_nov,10,FALSE),0)))))))))))))))))))))))))))</f>
        <v>19500</v>
      </c>
      <c r="N21" s="88">
        <f>IF($D$1&lt;&gt;"",IF($D$1=$AN$3,HLOOKUP("kdk pbr",real_rku_01.jan,11,FALSE),IF($D$1=$AN$4,HLOOKUP("kdk pbr",real_rku_02.feb,11,FALSE),IF($D$1=$AN$5,HLOOKUP("kdk pbr",real_rku_03.mar,11,FALSE),IF($D$1=$AN$6,HLOOKUP("kdk pbr",real_rku_04.apr,11,FALSE),IF($D$1=$AN$7,HLOOKUP("kdk pbr",real_rku_05.mei,11,FALSE),IF($D$1=$AN$8,HLOOKUP("kdk pbr",real_rku_06.jun,11,FALSE),IF($D$1=$AN$9,HLOOKUP("kdk pbr",real_rku_07.jul,11,FALSE),IF($D$1=$AN$10,HLOOKUP("kdk pbr",real_rku_08.ags,11,FALSE),IF($D$1=$AN$11,HLOOKUP("kdk pbr",real_rku_09.sep,11,FALSE),IF($D$1=$AN$12,HLOOKUP("kdk pbr",real_rku_10.okt,11,FALSE),IF($D$1=$AN$13,HLOOKUP("kdk pbr",real_rku_11.nov,11,FALSE),IF($D$1=$AN$14,HLOOKUP("kdk pbr",real_rku_12.des,11,FALSE),IF($D$1=$AN$15,HLOOKUP("kdk pbr",real_rku_TW_I,11,FALSE),IF($D$1=$AN$16,HLOOKUP("kdk pbr",real_rku_TW_II,11,FALSE),IF($D$1=$AN$17,HLOOKUP("kdk pbr",real_rku_TW_III,11,FALSE),IF($D$1=$AN$18,HLOOKUP("kdk pbr",real_rku_TW_IV,11,FALSE),IF($D$1=$AN$19,HLOOKUP("kdk pbr",real_rku_SM_I,11,FALSE),IF($D$1=$AN$20,HLOOKUP("kdk pbr",real_rku_SM_II,11,FALSE),IF($D$1=$AN$21,HLOOKUP("kdk pbr",real_rku_2013,11,FALSE),IF($D$1=$AN$22,HLOOKUP("kdk pbr",real_rku_jan_apr,11,FALSE),IF($D$1=$AN$23,HLOOKUP("kdk pbr",real_rku_jan_mei,11,FALSE),IF($D$1=$AN$24,HLOOKUP("kdk pbr",real_rku_jan_jul,11,FALSE),IF($D$1=$AN$25,HLOOKUP("kdk pbr",real_rku_jan_ags,11,FALSE),IF($D$1=$AN$26,HLOOKUP("kdk pbr",real_rku_jan_sep,11,FALSE),IF($D$1=$AN$27,HLOOKUP("kdk pbr",real_rku_jan_okt,11,FALSE),IF($D$1=$AN$28,HLOOKUP("kdk pbr",real_rku_jan_nov,11,FALSE),0)))))))))))))))))))))))))))</f>
        <v>7525</v>
      </c>
      <c r="O21" s="88">
        <f>IF($D$1&lt;&gt;"",IF($D$1=$AN$3,HLOOKUP("kdk pbr",real_rku_01.jan,12,FALSE),IF($D$1=$AN$4,HLOOKUP("kdk pbr",real_rku_02.feb,12,FALSE),IF($D$1=$AN$5,HLOOKUP("kdk pbr",real_rku_03.mar,12,FALSE),IF($D$1=$AN$6,HLOOKUP("kdk pbr",real_rku_04.apr,12,FALSE),IF($D$1=$AN$7,HLOOKUP("kdk pbr",real_rku_05.mei,12,FALSE),IF($D$1=$AN$8,HLOOKUP("kdk pbr",real_rku_06.jun,12,FALSE),IF($D$1=$AN$9,HLOOKUP("kdk pbr",real_rku_07.jul,12,FALSE),IF($D$1=$AN$10,HLOOKUP("kdk pbr",real_rku_08.ags,12,FALSE),IF($D$1=$AN$11,HLOOKUP("kdk pbr",real_rku_09.sep,12,FALSE),IF($D$1=$AN$12,HLOOKUP("kdk pbr",real_rku_10.okt,12,FALSE),IF($D$1=$AN$13,HLOOKUP("kdk pbr",real_rku_11.nov,12,FALSE),IF($D$1=$AN$14,HLOOKUP("kdk pbr",real_rku_12.des,12,FALSE),IF($D$1=$AN$15,HLOOKUP("kdk pbr",real_rku_TW_I,12,FALSE),IF($D$1=$AN$16,HLOOKUP("kdk pbr",real_rku_TW_II,12,FALSE),IF($D$1=$AN$17,HLOOKUP("kdk pbr",real_rku_TW_III,12,FALSE),IF($D$1=$AN$18,HLOOKUP("kdk pbr",real_rku_TW_IV,12,FALSE),IF($D$1=$AN$19,HLOOKUP("kdk pbr",real_rku_SM_I,12,FALSE),IF($D$1=$AN$20,HLOOKUP("kdk pbr",real_rku_SM_II,12,FALSE),IF($D$1=$AN$21,HLOOKUP("kdk pbr",real_rku_2013,12,FALSE),IF($D$1=$AN$22,HLOOKUP("kdk pbr",real_rku_jan_apr,12,FALSE),IF($D$1=$AN$23,HLOOKUP("kdk pbr",real_rku_jan_mei,12,FALSE),IF($D$1=$AN$24,HLOOKUP("kdk pbr",real_rku_jan_jul,12,FALSE),IF($D$1=$AN$25,HLOOKUP("kdk pbr",real_rku_jan_ags,12,FALSE),IF($D$1=$AN$26,HLOOKUP("kdk pbr",real_rku_jan_sep,12,FALSE),IF($D$1=$AN$27,HLOOKUP("kdk pbr",real_rku_jan_okt,12,FALSE),IF($D$1=$AN$28,HLOOKUP("kdk pbr",real_rku_jan_nov,12,FALSE),0)))))))))))))))))))))))))))</f>
        <v>1700</v>
      </c>
      <c r="P21" s="88">
        <f>IF($D$1&lt;&gt;"",IF($D$1=$AN$3,HLOOKUP("kdk pbr",real_rku_01.jan,13,FALSE),IF($D$1=$AN$4,HLOOKUP("kdk pbr",real_rku_02.feb,13,FALSE),IF($D$1=$AN$5,HLOOKUP("kdk pbr",real_rku_03.mar,13,FALSE),IF($D$1=$AN$6,HLOOKUP("kdk pbr",real_rku_04.apr,13,FALSE),IF($D$1=$AN$7,HLOOKUP("kdk pbr",real_rku_05.mei,13,FALSE),IF($D$1=$AN$8,HLOOKUP("kdk pbr",real_rku_06.jun,13,FALSE),IF($D$1=$AN$9,HLOOKUP("kdk pbr",real_rku_07.jul,13,FALSE),IF($D$1=$AN$10,HLOOKUP("kdk pbr",real_rku_08.ags,13,FALSE),IF($D$1=$AN$11,HLOOKUP("kdk pbr",real_rku_09.sep,13,FALSE),IF($D$1=$AN$12,HLOOKUP("kdk pbr",real_rku_10.okt,13,FALSE),IF($D$1=$AN$13,HLOOKUP("kdk pbr",real_rku_11.nov,13,FALSE),IF($D$1=$AN$14,HLOOKUP("kdk pbr",real_rku_12.des,13,FALSE),IF($D$1=$AN$15,HLOOKUP("kdk pbr",real_rku_TW_I,13,FALSE),IF($D$1=$AN$16,HLOOKUP("kdk pbr",real_rku_TW_II,13,FALSE),IF($D$1=$AN$17,HLOOKUP("kdk pbr",real_rku_TW_III,13,FALSE),IF($D$1=$AN$18,HLOOKUP("kdk pbr",real_rku_TW_IV,13,FALSE),IF($D$1=$AN$19,HLOOKUP("kdk pbr",real_rku_SM_I,13,FALSE),IF($D$1=$AN$20,HLOOKUP("kdk pbr",real_rku_SM_II,13,FALSE),IF($D$1=$AN$21,HLOOKUP("kdk pbr",real_rku_2013,13,FALSE),IF($D$1=$AN$22,HLOOKUP("kdk pbr",real_rku_jan_apr,13,FALSE),IF($D$1=$AN$23,HLOOKUP("kdk pbr",real_rku_jan_mei,13,FALSE),IF($D$1=$AN$24,HLOOKUP("kdk pbr",real_rku_jan_jul,13,FALSE),IF($D$1=$AN$25,HLOOKUP("kdk pbr",real_rku_jan_ags,13,FALSE),IF($D$1=$AN$26,HLOOKUP("kdk pbr",real_rku_jan_sep,13,FALSE),IF($D$1=$AN$27,HLOOKUP("kdk pbr",real_rku_jan_okt,13,FALSE),IF($D$1=$AN$28,HLOOKUP("kdk pbr",real_rku_jan_nov,13,FALSE),0)))))))))))))))))))))))))))</f>
        <v>1000</v>
      </c>
      <c r="Q21" s="88">
        <f>IF($D$1&lt;&gt;"",IF($D$1=$AN$3,HLOOKUP("kdk pbr",real_rku_01.jan,14,FALSE),IF($D$1=$AN$4,HLOOKUP("kdk pbr",real_rku_02.feb,14,FALSE),IF($D$1=$AN$5,HLOOKUP("kdk pbr",real_rku_03.mar,14,FALSE),IF($D$1=$AN$6,HLOOKUP("kdk pbr",real_rku_04.apr,14,FALSE),IF($D$1=$AN$7,HLOOKUP("kdk pbr",real_rku_05.mei,14,FALSE),IF($D$1=$AN$8,HLOOKUP("kdk pbr",real_rku_06.jun,14,FALSE),IF($D$1=$AN$9,HLOOKUP("kdk pbr",real_rku_07.jul,14,FALSE),IF($D$1=$AN$10,HLOOKUP("kdk pbr",real_rku_08.ags,14,FALSE),IF($D$1=$AN$11,HLOOKUP("kdk pbr",real_rku_09.sep,14,FALSE),IF($D$1=$AN$12,HLOOKUP("kdk pbr",real_rku_10.okt,14,FALSE),IF($D$1=$AN$13,HLOOKUP("kdk pbr",real_rku_11.nov,14,FALSE),IF($D$1=$AN$14,HLOOKUP("kdk pbr",real_rku_12.des,14,FALSE),IF($D$1=$AN$15,HLOOKUP("kdk pbr",real_rku_TW_I,14,FALSE),IF($D$1=$AN$16,HLOOKUP("kdk pbr",real_rku_TW_II,14,FALSE),IF($D$1=$AN$17,HLOOKUP("kdk pbr",real_rku_TW_III,14,FALSE),IF($D$1=$AN$18,HLOOKUP("kdk pbr",real_rku_TW_IV,14,FALSE),IF($D$1=$AN$19,HLOOKUP("kdk pbr",real_rku_SM_I,14,FALSE),IF($D$1=$AN$20,HLOOKUP("kdk pbr",real_rku_SM_II,14,FALSE),IF($D$1=$AN$21,HLOOKUP("kdk pbr",real_rku_2013,14,FALSE),IF($D$1=$AN$22,HLOOKUP("kdk pbr",real_rku_jan_apr,14,FALSE),IF($D$1=$AN$23,HLOOKUP("kdk pbr",real_rku_jan_mei,14,FALSE),IF($D$1=$AN$24,HLOOKUP("kdk pbr",real_rku_jan_jul,14,FALSE),IF($D$1=$AN$25,HLOOKUP("kdk pbr",real_rku_jan_ags,14,FALSE),IF($D$1=$AN$26,HLOOKUP("kdk pbr",real_rku_jan_sep,14,FALSE),IF($D$1=$AN$27,HLOOKUP("kdk pbr",real_rku_jan_okt,14,FALSE),IF($D$1=$AN$28,HLOOKUP("kdk pbr",real_rku_jan_nov,14,FALSE),0)))))))))))))))))))))))))))</f>
        <v>0</v>
      </c>
      <c r="R21" s="89">
        <f>+SUM(M21:Q21)</f>
        <v>29725</v>
      </c>
      <c r="S21" s="88">
        <f>+R21+L21</f>
        <v>13112725</v>
      </c>
      <c r="T21" s="76"/>
      <c r="U21" s="86"/>
      <c r="V21" s="87"/>
      <c r="W21" s="87" t="s">
        <v>182</v>
      </c>
      <c r="X21" s="88">
        <f t="shared" si="15"/>
        <v>4610</v>
      </c>
      <c r="Y21" s="88">
        <f t="shared" si="15"/>
        <v>2780</v>
      </c>
      <c r="Z21" s="88">
        <f t="shared" si="15"/>
        <v>800</v>
      </c>
      <c r="AA21" s="88">
        <f t="shared" si="15"/>
        <v>1000</v>
      </c>
      <c r="AB21" s="88">
        <f t="shared" si="15"/>
        <v>3500</v>
      </c>
      <c r="AC21" s="88">
        <f t="shared" si="15"/>
        <v>5200</v>
      </c>
      <c r="AD21" s="88">
        <f t="shared" si="15"/>
        <v>250</v>
      </c>
      <c r="AE21" s="89">
        <f>+SUM(X21:AD21)</f>
        <v>18140</v>
      </c>
      <c r="AF21" s="88">
        <f t="shared" si="16"/>
        <v>3900</v>
      </c>
      <c r="AG21" s="88">
        <f t="shared" si="16"/>
        <v>3010</v>
      </c>
      <c r="AH21" s="88">
        <f t="shared" si="16"/>
        <v>850</v>
      </c>
      <c r="AI21" s="88">
        <f t="shared" si="16"/>
        <v>1000</v>
      </c>
      <c r="AJ21" s="88">
        <f t="shared" si="16"/>
        <v>0</v>
      </c>
      <c r="AK21" s="89">
        <f>+SUM(AF21:AJ21)</f>
        <v>8760</v>
      </c>
      <c r="AL21" s="88">
        <f>+AK21+AE21</f>
        <v>26900</v>
      </c>
      <c r="AM21" s="69"/>
      <c r="AN21" s="70" t="s">
        <v>158</v>
      </c>
    </row>
    <row r="22" spans="2:41" ht="15" x14ac:dyDescent="0.25">
      <c r="B22" s="86"/>
      <c r="C22" s="87"/>
      <c r="D22" s="87" t="s">
        <v>184</v>
      </c>
      <c r="E22" s="88">
        <f t="shared" ref="E22:K22" si="17">+E20-E21</f>
        <v>-1324000</v>
      </c>
      <c r="F22" s="88">
        <f t="shared" si="17"/>
        <v>-415000</v>
      </c>
      <c r="G22" s="88">
        <f t="shared" si="17"/>
        <v>-292800</v>
      </c>
      <c r="H22" s="88">
        <f t="shared" si="17"/>
        <v>96800</v>
      </c>
      <c r="I22" s="88">
        <f t="shared" si="17"/>
        <v>-62000</v>
      </c>
      <c r="J22" s="88">
        <f t="shared" si="17"/>
        <v>-57280</v>
      </c>
      <c r="K22" s="88">
        <f t="shared" si="17"/>
        <v>540</v>
      </c>
      <c r="L22" s="89">
        <f>+SUM(E22:K22)</f>
        <v>-2053740</v>
      </c>
      <c r="M22" s="88">
        <f>+M20-M21</f>
        <v>-1595</v>
      </c>
      <c r="N22" s="88">
        <f>+N20-N21</f>
        <v>497.5</v>
      </c>
      <c r="O22" s="88">
        <f>+O20-O21</f>
        <v>632</v>
      </c>
      <c r="P22" s="88">
        <f>+P20-P21</f>
        <v>259</v>
      </c>
      <c r="Q22" s="88">
        <f>+Q20-Q21</f>
        <v>0</v>
      </c>
      <c r="R22" s="89">
        <f>+SUM(M22:Q22)</f>
        <v>-206.5</v>
      </c>
      <c r="S22" s="88">
        <f>+R22+L22</f>
        <v>-2053946.5</v>
      </c>
      <c r="T22" s="88"/>
      <c r="U22" s="86"/>
      <c r="V22" s="87"/>
      <c r="W22" s="87" t="s">
        <v>184</v>
      </c>
      <c r="X22" s="88">
        <f t="shared" ref="X22:AD22" si="18">+X20-X21</f>
        <v>-662</v>
      </c>
      <c r="Y22" s="88">
        <f t="shared" si="18"/>
        <v>-415</v>
      </c>
      <c r="Z22" s="88">
        <f t="shared" si="18"/>
        <v>-732</v>
      </c>
      <c r="AA22" s="88">
        <f t="shared" si="18"/>
        <v>484</v>
      </c>
      <c r="AB22" s="88">
        <f t="shared" si="18"/>
        <v>-620</v>
      </c>
      <c r="AC22" s="88">
        <f t="shared" si="18"/>
        <v>-1432</v>
      </c>
      <c r="AD22" s="88">
        <f t="shared" si="18"/>
        <v>27</v>
      </c>
      <c r="AE22" s="89">
        <f>+SUM(X22:AD22)</f>
        <v>-3350</v>
      </c>
      <c r="AF22" s="88">
        <f>+AF20-AF21</f>
        <v>-319</v>
      </c>
      <c r="AG22" s="88">
        <f>+AG20-AG21</f>
        <v>199</v>
      </c>
      <c r="AH22" s="88">
        <f>+AH20-AH21</f>
        <v>316</v>
      </c>
      <c r="AI22" s="88">
        <f>+AI20-AI21</f>
        <v>259</v>
      </c>
      <c r="AJ22" s="88">
        <f>+AJ20-AJ21</f>
        <v>0</v>
      </c>
      <c r="AK22" s="89">
        <f>+SUM(AF22:AJ22)</f>
        <v>455</v>
      </c>
      <c r="AL22" s="88">
        <f>+AK22+AE22</f>
        <v>-2895</v>
      </c>
      <c r="AM22" s="91">
        <f>+AL22/550</f>
        <v>-5.2636363636363637</v>
      </c>
      <c r="AN22" s="70" t="s">
        <v>197</v>
      </c>
    </row>
    <row r="23" spans="2:41" ht="15" x14ac:dyDescent="0.25">
      <c r="B23" s="86"/>
      <c r="C23" s="108"/>
      <c r="D23" s="109" t="s">
        <v>186</v>
      </c>
      <c r="E23" s="110">
        <f t="shared" ref="E23:S23" si="19">IF(E20=0,"-",E21/E20)</f>
        <v>1.1676798378926039</v>
      </c>
      <c r="F23" s="110">
        <f t="shared" si="19"/>
        <v>1.1754756871035941</v>
      </c>
      <c r="G23" s="110">
        <f t="shared" si="19"/>
        <v>11.764705882352942</v>
      </c>
      <c r="H23" s="110">
        <f t="shared" si="19"/>
        <v>0.67385444743935308</v>
      </c>
      <c r="I23" s="110">
        <f t="shared" si="19"/>
        <v>1.2152777777777777</v>
      </c>
      <c r="J23" s="110">
        <f t="shared" si="19"/>
        <v>1.3800424628450105</v>
      </c>
      <c r="K23" s="110">
        <f t="shared" si="19"/>
        <v>0.90252707581227432</v>
      </c>
      <c r="L23" s="111">
        <f t="shared" si="19"/>
        <v>1.1862083222265138</v>
      </c>
      <c r="M23" s="110">
        <f t="shared" si="19"/>
        <v>1.0890812622172577</v>
      </c>
      <c r="N23" s="110">
        <f t="shared" si="19"/>
        <v>0.93798691181053284</v>
      </c>
      <c r="O23" s="110">
        <f t="shared" si="19"/>
        <v>0.72898799313893659</v>
      </c>
      <c r="P23" s="110">
        <f t="shared" si="19"/>
        <v>0.79428117553613975</v>
      </c>
      <c r="Q23" s="110" t="str">
        <f t="shared" si="19"/>
        <v>-</v>
      </c>
      <c r="R23" s="111">
        <f t="shared" si="19"/>
        <v>1.0069956129207107</v>
      </c>
      <c r="S23" s="110">
        <f t="shared" si="19"/>
        <v>1.1857299610440701</v>
      </c>
      <c r="T23" s="95">
        <f>+S23*$T$6</f>
        <v>0.83001097273084901</v>
      </c>
      <c r="U23" s="86"/>
      <c r="V23" s="108"/>
      <c r="W23" s="109" t="s">
        <v>186</v>
      </c>
      <c r="X23" s="110">
        <f t="shared" ref="X23:AL23" si="20">IF(X20=0,"-",X21/X20)</f>
        <v>1.1676798378926039</v>
      </c>
      <c r="Y23" s="110">
        <f t="shared" si="20"/>
        <v>1.1754756871035941</v>
      </c>
      <c r="Z23" s="110">
        <f t="shared" si="20"/>
        <v>11.764705882352942</v>
      </c>
      <c r="AA23" s="110">
        <f t="shared" si="20"/>
        <v>0.67385444743935308</v>
      </c>
      <c r="AB23" s="110">
        <f t="shared" si="20"/>
        <v>1.2152777777777777</v>
      </c>
      <c r="AC23" s="110">
        <f t="shared" si="20"/>
        <v>1.3800424628450105</v>
      </c>
      <c r="AD23" s="110">
        <f t="shared" si="20"/>
        <v>0.90252707581227432</v>
      </c>
      <c r="AE23" s="111">
        <f t="shared" si="20"/>
        <v>1.2265043948613927</v>
      </c>
      <c r="AF23" s="110">
        <f t="shared" si="20"/>
        <v>1.0890812622172577</v>
      </c>
      <c r="AG23" s="110">
        <f t="shared" si="20"/>
        <v>0.93798691181053284</v>
      </c>
      <c r="AH23" s="110">
        <f t="shared" si="20"/>
        <v>0.72898799313893659</v>
      </c>
      <c r="AI23" s="110">
        <f t="shared" si="20"/>
        <v>0.79428117553613975</v>
      </c>
      <c r="AJ23" s="110" t="str">
        <f t="shared" si="20"/>
        <v>-</v>
      </c>
      <c r="AK23" s="111">
        <f t="shared" si="20"/>
        <v>0.95062398263700487</v>
      </c>
      <c r="AL23" s="110">
        <f t="shared" si="20"/>
        <v>1.1205998750260362</v>
      </c>
      <c r="AM23" s="69"/>
      <c r="AN23" s="70" t="s">
        <v>198</v>
      </c>
    </row>
    <row r="24" spans="2:41" ht="15" x14ac:dyDescent="0.25">
      <c r="B24" s="103"/>
      <c r="C24" s="104"/>
      <c r="D24" s="104"/>
      <c r="E24" s="98">
        <f>+E23*$L$6</f>
        <v>0.35030395136778114</v>
      </c>
      <c r="F24" s="98">
        <f t="shared" ref="F24:K24" si="21">+F23*$L$6</f>
        <v>0.35264270613107823</v>
      </c>
      <c r="G24" s="98">
        <f t="shared" si="21"/>
        <v>3.5294117647058827</v>
      </c>
      <c r="H24" s="98">
        <f t="shared" si="21"/>
        <v>0.20215633423180593</v>
      </c>
      <c r="I24" s="98">
        <f t="shared" si="21"/>
        <v>0.36458333333333331</v>
      </c>
      <c r="J24" s="98">
        <f t="shared" si="21"/>
        <v>0.41401273885350315</v>
      </c>
      <c r="K24" s="98">
        <f t="shared" si="21"/>
        <v>0.27075812274368227</v>
      </c>
      <c r="L24" s="98"/>
      <c r="M24" s="98">
        <f t="shared" ref="M24:P24" si="22">+M23*$L$6</f>
        <v>0.32672437866517728</v>
      </c>
      <c r="N24" s="98">
        <f t="shared" si="22"/>
        <v>0.28139607354315982</v>
      </c>
      <c r="O24" s="98">
        <f t="shared" si="22"/>
        <v>0.21869639794168097</v>
      </c>
      <c r="P24" s="98">
        <f t="shared" si="22"/>
        <v>0.23828435266084191</v>
      </c>
      <c r="Q24" s="98"/>
      <c r="R24" s="105"/>
      <c r="S24" s="98">
        <f>+AVERAGE(E24:Q24)</f>
        <v>0.59536092310708433</v>
      </c>
      <c r="T24" s="100">
        <f>+S24+T23</f>
        <v>1.4253718958379333</v>
      </c>
      <c r="U24" s="103"/>
      <c r="V24" s="104"/>
      <c r="W24" s="104"/>
      <c r="X24" s="106"/>
      <c r="Y24" s="106"/>
      <c r="Z24" s="106"/>
      <c r="AA24" s="106"/>
      <c r="AB24" s="106"/>
      <c r="AC24" s="106"/>
      <c r="AD24" s="106"/>
      <c r="AE24" s="105">
        <f>+SUM(X24:AD24)</f>
        <v>0</v>
      </c>
      <c r="AF24" s="106"/>
      <c r="AG24" s="106"/>
      <c r="AH24" s="106"/>
      <c r="AI24" s="106"/>
      <c r="AJ24" s="106"/>
      <c r="AK24" s="105">
        <f>+SUM(AF24:AJ24)</f>
        <v>0</v>
      </c>
      <c r="AL24" s="107">
        <f>+AK24+AE24</f>
        <v>0</v>
      </c>
      <c r="AM24" s="69"/>
      <c r="AN24" s="70" t="s">
        <v>199</v>
      </c>
    </row>
    <row r="25" spans="2:41" ht="15" x14ac:dyDescent="0.25">
      <c r="B25" s="81">
        <v>4</v>
      </c>
      <c r="C25" s="81" t="s">
        <v>200</v>
      </c>
      <c r="D25" s="83" t="s">
        <v>180</v>
      </c>
      <c r="E25" s="84">
        <f>IF($D$1&lt;&gt;"",IF($D$1=$AN$3,HLOOKUP("kdk pg",rku_01.jan,2,FALSE),IF($D$1=$AN$4,HLOOKUP("kdk pg",rku_02.feb,2,FALSE),IF($D$1=$AN$5,HLOOKUP("kdk pg",rku_03.mar,2,FALSE),IF($D$1=$AN$6,HLOOKUP("kdk pg",rku_04.apr,2,FALSE),IF($D$1=$AN$7,HLOOKUP("kdk pg",rku_05.mei,2,FALSE),IF($D$1=$AN$8,HLOOKUP("kdk pg",rku_06.jun,2,FALSE),IF($D$1=$AN$9,HLOOKUP("kdk pg",rku_07.jul,2,FALSE),IF($D$1=$AN$10,HLOOKUP("kdk pg",rku_08.ags,2,FALSE),IF($D$1=$AN$11,HLOOKUP("kdk pg",rku_09.sep,2,FALSE),IF($D$1=$AN$12,HLOOKUP("kdk pg",rku_10.okt,2,FALSE),IF($D$1=$AN$13,HLOOKUP("kdk pg",rku_11.nov,2,FALSE),IF($D$1=$AN$14,HLOOKUP("kdk pg",rku_12.des,2,FALSE),IF($D$1=$AN$15,HLOOKUP("kdk pg",rku_TW_I,2,FALSE),IF($D$1=$AN$16,HLOOKUP("kdk pg",rku_TW_II,2,FALSE),IF($D$1=$AN$17,HLOOKUP("kdk pg",rku_TW_III,2,FALSE),IF($D$1=$AN$18,HLOOKUP("kdk pg",rku_TW_IV,2,FALSE),IF($D$1=$AN$19,HLOOKUP("kdk pg",rku_SM_I,2,FALSE),IF($D$1=$AN$20,HLOOKUP("kdk pg",rku_SM_II,2,FALSE),IF($D$1=$AN$21,HLOOKUP("kdk pg",rku_2013,2,FALSE),IF($D$1=$AN$22,HLOOKUP("kdk pg",rku_jan_apr,2,FALSE),IF($D$1=$AN$23,HLOOKUP("kdk pg",rku_jan_mei,2,FALSE),IF($D$1=$AN$24,HLOOKUP("kdk pg",rku_jan_jul,2,FALSE),IF($D$1=$AN$25,HLOOKUP("kdk pg",rku_jan_ags,2,FALSE),IF($D$1=$AN$26,HLOOKUP("kdk pg",rku_jan_sep,2,FALSE),IF($D$1=$AN$27,HLOOKUP("kdk pg",rku_jan_okt,2,FALSE),IF($D$1=$AN$28,HLOOKUP("kdk pg",rku_jan_nov,2,FALSE),0)))))))))))))))))))))))))))</f>
        <v>11388000</v>
      </c>
      <c r="F25" s="84">
        <f>IF($D$1&lt;&gt;"",IF($D$1=$AN$3,HLOOKUP("kdk pg",rku_01.jan,3,FALSE),IF($D$1=$AN$4,HLOOKUP("kdk pg",rku_02.feb,3,FALSE),IF($D$1=$AN$5,HLOOKUP("kdk pg",rku_03.mar,3,FALSE),IF($D$1=$AN$6,HLOOKUP("kdk pg",rku_04.apr,3,FALSE),IF($D$1=$AN$7,HLOOKUP("kdk pg",rku_05.mei,3,FALSE),IF($D$1=$AN$8,HLOOKUP("kdk pg",rku_06.jun,3,FALSE),IF($D$1=$AN$9,HLOOKUP("kdk pg",rku_07.jul,3,FALSE),IF($D$1=$AN$10,HLOOKUP("kdk pg",rku_08.ags,3,FALSE),IF($D$1=$AN$11,HLOOKUP("kdk pg",rku_09.sep,3,FALSE),IF($D$1=$AN$12,HLOOKUP("kdk pg",rku_10.okt,3,FALSE),IF($D$1=$AN$13,HLOOKUP("kdk pg",rku_11.nov,3,FALSE),IF($D$1=$AN$14,HLOOKUP("kdk pg",rku_12.des,3,FALSE),IF($D$1=$AN$15,HLOOKUP("kdk pg",rku_TW_I,3,FALSE),IF($D$1=$AN$16,HLOOKUP("kdk pg",rku_TW_II,3,FALSE),IF($D$1=$AN$17,HLOOKUP("kdk pg",rku_TW_III,3,FALSE),IF($D$1=$AN$18,HLOOKUP("kdk pg",rku_TW_IV,3,FALSE),IF($D$1=$AN$19,HLOOKUP("kdk pg",rku_SM_I,3,FALSE),IF($D$1=$AN$20,HLOOKUP("kdk pg",rku_SM_II,3,FALSE),IF($D$1=$AN$21,HLOOKUP("kdk pg",rku_2013,3,FALSE),IF($D$1=$AN$22,HLOOKUP("kdk pg",rku_jan_apr,3,FALSE),IF($D$1=$AN$23,HLOOKUP("kdk pg",rku_jan_mei,3,FALSE),IF($D$1=$AN$24,HLOOKUP("kdk pg",rku_jan_jul,3,FALSE),IF($D$1=$AN$25,HLOOKUP("kdk pg",rku_jan_ags,3,FALSE),IF($D$1=$AN$26,HLOOKUP("kdk pg",rku_jan_sep,3,FALSE),IF($D$1=$AN$27,HLOOKUP("kdk pg",rku_jan_okt,3,FALSE),IF($D$1=$AN$28,HLOOKUP("kdk pg",rku_jan_nov,3,FALSE),0)))))))))))))))))))))))))))</f>
        <v>3202000</v>
      </c>
      <c r="G25" s="84">
        <f>IF($D$1&lt;&gt;"",IF($D$1=$AN$3,HLOOKUP("kdk pg",rku_01.jan,4,FALSE),IF($D$1=$AN$4,HLOOKUP("kdk pg",rku_02.feb,4,FALSE),IF($D$1=$AN$5,HLOOKUP("kdk pg",rku_03.mar,4,FALSE),IF($D$1=$AN$6,HLOOKUP("kdk pg",rku_04.apr,4,FALSE),IF($D$1=$AN$7,HLOOKUP("kdk pg",rku_05.mei,4,FALSE),IF($D$1=$AN$8,HLOOKUP("kdk pg",rku_06.jun,4,FALSE),IF($D$1=$AN$9,HLOOKUP("kdk pg",rku_07.jul,4,FALSE),IF($D$1=$AN$10,HLOOKUP("kdk pg",rku_08.ags,4,FALSE),IF($D$1=$AN$11,HLOOKUP("kdk pg",rku_09.sep,4,FALSE),IF($D$1=$AN$12,HLOOKUP("kdk pg",rku_10.okt,4,FALSE),IF($D$1=$AN$13,HLOOKUP("kdk pg",rku_11.nov,4,FALSE),IF($D$1=$AN$14,HLOOKUP("kdk pg",rku_12.des,4,FALSE),IF($D$1=$AN$15,HLOOKUP("kdk pg",rku_TW_I,4,FALSE),IF($D$1=$AN$16,HLOOKUP("kdk pg",rku_TW_II,4,FALSE),IF($D$1=$AN$17,HLOOKUP("kdk pg",rku_TW_III,4,FALSE),IF($D$1=$AN$18,HLOOKUP("kdk pg",rku_TW_IV,4,FALSE),IF($D$1=$AN$19,HLOOKUP("kdk pg",rku_SM_I,4,FALSE),IF($D$1=$AN$20,HLOOKUP("kdk pg",rku_SM_II,4,FALSE),IF($D$1=$AN$21,HLOOKUP("kdk pg",rku_2013,4,FALSE),IF($D$1=$AN$22,HLOOKUP("kdk pg",rku_jan_apr,4,FALSE),IF($D$1=$AN$23,HLOOKUP("kdk pg",rku_jan_mei,4,FALSE),IF($D$1=$AN$24,HLOOKUP("kdk pg",rku_jan_jul,4,FALSE),IF($D$1=$AN$25,HLOOKUP("kdk pg",rku_jan_ags,4,FALSE),IF($D$1=$AN$26,HLOOKUP("kdk pg",rku_jan_sep,4,FALSE),IF($D$1=$AN$27,HLOOKUP("kdk pg",rku_jan_okt,4,FALSE),IF($D$1=$AN$28,HLOOKUP("kdk pg",rku_jan_nov,4,FALSE),0)))))))))))))))))))))))))))</f>
        <v>138000</v>
      </c>
      <c r="H25" s="84">
        <f>IF($D$1&lt;&gt;"",IF($D$1=$AN$3,HLOOKUP("kdk pg",rku_01.jan,5,FALSE),IF($D$1=$AN$4,HLOOKUP("kdk pg",rku_02.feb,5,FALSE),IF($D$1=$AN$5,HLOOKUP("kdk pg",rku_03.mar,5,FALSE),IF($D$1=$AN$6,HLOOKUP("kdk pg",rku_04.apr,5,FALSE),IF($D$1=$AN$7,HLOOKUP("kdk pg",rku_05.mei,5,FALSE),IF($D$1=$AN$8,HLOOKUP("kdk pg",rku_06.jun,5,FALSE),IF($D$1=$AN$9,HLOOKUP("kdk pg",rku_07.jul,5,FALSE),IF($D$1=$AN$10,HLOOKUP("kdk pg",rku_08.ags,5,FALSE),IF($D$1=$AN$11,HLOOKUP("kdk pg",rku_09.sep,5,FALSE),IF($D$1=$AN$12,HLOOKUP("kdk pg",rku_10.okt,5,FALSE),IF($D$1=$AN$13,HLOOKUP("kdk pg",rku_11.nov,5,FALSE),IF($D$1=$AN$14,HLOOKUP("kdk pg",rku_12.des,5,FALSE),IF($D$1=$AN$15,HLOOKUP("kdk pg",rku_TW_I,5,FALSE),IF($D$1=$AN$16,HLOOKUP("kdk pg",rku_TW_II,5,FALSE),IF($D$1=$AN$17,HLOOKUP("kdk pg",rku_TW_III,5,FALSE),IF($D$1=$AN$18,HLOOKUP("kdk pg",rku_TW_IV,5,FALSE),IF($D$1=$AN$19,HLOOKUP("kdk pg",rku_SM_I,5,FALSE),IF($D$1=$AN$20,HLOOKUP("kdk pg",rku_SM_II,5,FALSE),IF($D$1=$AN$21,HLOOKUP("kdk pg",rku_2013,5,FALSE),IF($D$1=$AN$22,HLOOKUP("kdk pg",rku_jan_apr,5,FALSE),IF($D$1=$AN$23,HLOOKUP("kdk pg",rku_jan_mei,5,FALSE),IF($D$1=$AN$24,HLOOKUP("kdk pg",rku_jan_jul,5,FALSE),IF($D$1=$AN$25,HLOOKUP("kdk pg",rku_jan_ags,5,FALSE),IF($D$1=$AN$26,HLOOKUP("kdk pg",rku_jan_sep,5,FALSE),IF($D$1=$AN$27,HLOOKUP("kdk pg",rku_jan_okt,5,FALSE),IF($D$1=$AN$28,HLOOKUP("kdk pg",rku_jan_nov,5,FALSE),0)))))))))))))))))))))))))))</f>
        <v>440400</v>
      </c>
      <c r="I25" s="84">
        <f>IF($D$1&lt;&gt;"",IF($D$1=$AN$3,HLOOKUP("kdk pg",rku_01.jan,6,FALSE),IF($D$1=$AN$4,HLOOKUP("kdk pg",rku_02.feb,6,FALSE),IF($D$1=$AN$5,HLOOKUP("kdk pg",rku_03.mar,6,FALSE),IF($D$1=$AN$6,HLOOKUP("kdk pg",rku_04.apr,6,FALSE),IF($D$1=$AN$7,HLOOKUP("kdk pg",rku_05.mei,6,FALSE),IF($D$1=$AN$8,HLOOKUP("kdk pg",rku_06.jun,6,FALSE),IF($D$1=$AN$9,HLOOKUP("kdk pg",rku_07.jul,6,FALSE),IF($D$1=$AN$10,HLOOKUP("kdk pg",rku_08.ags,6,FALSE),IF($D$1=$AN$11,HLOOKUP("kdk pg",rku_09.sep,6,FALSE),IF($D$1=$AN$12,HLOOKUP("kdk pg",rku_10.okt,6,FALSE),IF($D$1=$AN$13,HLOOKUP("kdk pg",rku_11.nov,6,FALSE),IF($D$1=$AN$14,HLOOKUP("kdk pg",rku_12.des,6,FALSE),IF($D$1=$AN$15,HLOOKUP("kdk pg",rku_TW_I,6,FALSE),IF($D$1=$AN$16,HLOOKUP("kdk pg",rku_TW_II,6,FALSE),IF($D$1=$AN$17,HLOOKUP("kdk pg",rku_TW_III,6,FALSE),IF($D$1=$AN$18,HLOOKUP("kdk pg",rku_TW_IV,6,FALSE),IF($D$1=$AN$19,HLOOKUP("kdk pg",rku_SM_I,6,FALSE),IF($D$1=$AN$20,HLOOKUP("kdk pg",rku_SM_II,6,FALSE),IF($D$1=$AN$21,HLOOKUP("kdk pg",rku_2013,6,FALSE),IF($D$1=$AN$22,HLOOKUP("kdk pg",rku_jan_apr,6,FALSE),IF($D$1=$AN$23,HLOOKUP("kdk pg",rku_jan_mei,6,FALSE),IF($D$1=$AN$24,HLOOKUP("kdk pg",rku_jan_jul,6,FALSE),IF($D$1=$AN$25,HLOOKUP("kdk pg",rku_jan_ags,6,FALSE),IF($D$1=$AN$26,HLOOKUP("kdk pg",rku_jan_sep,6,FALSE),IF($D$1=$AN$27,HLOOKUP("kdk pg",rku_jan_okt,6,FALSE),IF($D$1=$AN$28,HLOOKUP("kdk pg",rku_jan_nov,6,FALSE),0)))))))))))))))))))))))))))</f>
        <v>142600</v>
      </c>
      <c r="J25" s="84">
        <f>IF($D$1&lt;&gt;"",IF($D$1=$AN$3,HLOOKUP("kdk pg",rku_01.jan,7,FALSE),IF($D$1=$AN$4,HLOOKUP("kdk pg",rku_02.feb,7,FALSE),IF($D$1=$AN$5,HLOOKUP("kdk pg",rku_03.mar,7,FALSE),IF($D$1=$AN$6,HLOOKUP("kdk pg",rku_04.apr,7,FALSE),IF($D$1=$AN$7,HLOOKUP("kdk pg",rku_05.mei,7,FALSE),IF($D$1=$AN$8,HLOOKUP("kdk pg",rku_06.jun,7,FALSE),IF($D$1=$AN$9,HLOOKUP("kdk pg",rku_07.jul,7,FALSE),IF($D$1=$AN$10,HLOOKUP("kdk pg",rku_08.ags,7,FALSE),IF($D$1=$AN$11,HLOOKUP("kdk pg",rku_09.sep,7,FALSE),IF($D$1=$AN$12,HLOOKUP("kdk pg",rku_10.okt,7,FALSE),IF($D$1=$AN$13,HLOOKUP("kdk pg",rku_11.nov,7,FALSE),IF($D$1=$AN$14,HLOOKUP("kdk pg",rku_12.des,7,FALSE),IF($D$1=$AN$15,HLOOKUP("kdk pg",rku_TW_I,7,FALSE),IF($D$1=$AN$16,HLOOKUP("kdk pg",rku_TW_II,7,FALSE),IF($D$1=$AN$17,HLOOKUP("kdk pg",rku_TW_III,7,FALSE),IF($D$1=$AN$18,HLOOKUP("kdk pg",rku_TW_IV,7,FALSE),IF($D$1=$AN$19,HLOOKUP("kdk pg",rku_SM_I,7,FALSE),IF($D$1=$AN$20,HLOOKUP("kdk pg",rku_SM_II,7,FALSE),IF($D$1=$AN$21,HLOOKUP("kdk pg",rku_2013,7,FALSE),IF($D$1=$AN$22,HLOOKUP("kdk pg",rku_jan_apr,7,FALSE),IF($D$1=$AN$23,HLOOKUP("kdk pg",rku_jan_mei,7,FALSE),IF($D$1=$AN$24,HLOOKUP("kdk pg",rku_jan_jul,7,FALSE),IF($D$1=$AN$25,HLOOKUP("kdk pg",rku_jan_ags,7,FALSE),IF($D$1=$AN$26,HLOOKUP("kdk pg",rku_jan_sep,7,FALSE),IF($D$1=$AN$27,HLOOKUP("kdk pg",rku_jan_okt,7,FALSE),IF($D$1=$AN$28,HLOOKUP("kdk pg",rku_jan_nov,7,FALSE),0)))))))))))))))))))))))))))</f>
        <v>90200</v>
      </c>
      <c r="K25" s="84">
        <f>IF($D$1&lt;&gt;"",IF($D$1=$AN$3,HLOOKUP("kdk pg",rku_01.jan,8,FALSE),IF($D$1=$AN$4,HLOOKUP("kdk pg",rku_02.feb,8,FALSE),IF($D$1=$AN$5,HLOOKUP("kdk pg",rku_03.mar,8,FALSE),IF($D$1=$AN$6,HLOOKUP("kdk pg",rku_04.apr,8,FALSE),IF($D$1=$AN$7,HLOOKUP("kdk pg",rku_05.mei,8,FALSE),IF($D$1=$AN$8,HLOOKUP("kdk pg",rku_06.jun,8,FALSE),IF($D$1=$AN$9,HLOOKUP("kdk pg",rku_07.jul,8,FALSE),IF($D$1=$AN$10,HLOOKUP("kdk pg",rku_08.ags,8,FALSE),IF($D$1=$AN$11,HLOOKUP("kdk pg",rku_09.sep,8,FALSE),IF($D$1=$AN$12,HLOOKUP("kdk pg",rku_10.okt,8,FALSE),IF($D$1=$AN$13,HLOOKUP("kdk pg",rku_11.nov,8,FALSE),IF($D$1=$AN$14,HLOOKUP("kdk pg",rku_12.des,8,FALSE),IF($D$1=$AN$15,HLOOKUP("kdk pg",rku_TW_I,8,FALSE),IF($D$1=$AN$16,HLOOKUP("kdk pg",rku_TW_II,8,FALSE),IF($D$1=$AN$17,HLOOKUP("kdk pg",rku_TW_III,8,FALSE),IF($D$1=$AN$18,HLOOKUP("kdk pg",rku_TW_IV,8,FALSE),IF($D$1=$AN$19,HLOOKUP("kdk pg",rku_SM_I,8,FALSE),IF($D$1=$AN$20,HLOOKUP("kdk pg",rku_SM_II,8,FALSE),IF($D$1=$AN$21,HLOOKUP("kdk pg",rku_2013,8,FALSE),IF($D$1=$AN$22,HLOOKUP("kdk pg",rku_jan_apr,8,FALSE),IF($D$1=$AN$23,HLOOKUP("kdk pg",rku_jan_mei,8,FALSE),IF($D$1=$AN$24,HLOOKUP("kdk pg",rku_jan_jul,8,FALSE),IF($D$1=$AN$25,HLOOKUP("kdk pg",rku_jan_ags,8,FALSE),IF($D$1=$AN$26,HLOOKUP("kdk pg",rku_jan_sep,8,FALSE),IF($D$1=$AN$27,HLOOKUP("kdk pg",rku_jan_okt,8,FALSE),IF($D$1=$AN$28,HLOOKUP("kdk pg",rku_jan_nov,8,FALSE),0)))))))))))))))))))))))))))</f>
        <v>10640</v>
      </c>
      <c r="L25" s="85">
        <f>+SUM(E25:K25)</f>
        <v>15411840</v>
      </c>
      <c r="M25" s="84">
        <f>IF($D$1&lt;&gt;"",IF($D$1=$AN$3,HLOOKUP("kdk pg",rku_01.jan,10,FALSE),IF($D$1=$AN$4,HLOOKUP("kdk pg",rku_02.feb,10,FALSE),IF($D$1=$AN$5,HLOOKUP("kdk pg",rku_03.mar,10,FALSE),IF($D$1=$AN$6,HLOOKUP("kdk pg",rku_04.apr,10,FALSE),IF($D$1=$AN$7,HLOOKUP("kdk pg",rku_05.mei,10,FALSE),IF($D$1=$AN$8,HLOOKUP("kdk pg",rku_06.jun,10,FALSE),IF($D$1=$AN$9,HLOOKUP("kdk pg",rku_07.jul,10,FALSE),IF($D$1=$AN$10,HLOOKUP("kdk pg",rku_08.ags,10,FALSE),IF($D$1=$AN$11,HLOOKUP("kdk pg",rku_09.sep,10,FALSE),IF($D$1=$AN$12,HLOOKUP("kdk pg",rku_10.okt,10,FALSE),IF($D$1=$AN$13,HLOOKUP("kdk pg",rku_11.nov,10,FALSE),IF($D$1=$AN$14,HLOOKUP("kdk pg",rku_12.des,10,FALSE),IF($D$1=$AN$15,HLOOKUP("kdk pg",rku_TW_I,10,FALSE),IF($D$1=$AN$16,HLOOKUP("kdk pg",rku_TW_II,10,FALSE),IF($D$1=$AN$17,HLOOKUP("kdk pg",rku_TW_III,10,FALSE),IF($D$1=$AN$18,HLOOKUP("kdk pg",rku_TW_IV,10,FALSE),IF($D$1=$AN$19,HLOOKUP("kdk pg",rku_SM_I,10,FALSE),IF($D$1=$AN$20,HLOOKUP("kdk pg",rku_SM_II,10,FALSE),IF($D$1=$AN$21,HLOOKUP("kdk pg",rku_2013,10,FALSE),IF($D$1=$AN$22,HLOOKUP("kdk pg",rku_jan_apr,10,FALSE),IF($D$1=$AN$23,HLOOKUP("kdk pg",rku_jan_mei,10,FALSE),IF($D$1=$AN$24,HLOOKUP("kdk pg",rku_jan_jul,10,FALSE),IF($D$1=$AN$25,HLOOKUP("kdk pg",rku_jan_ags,10,FALSE),IF($D$1=$AN$26,HLOOKUP("kdk pg",rku_jan_sep,10,FALSE),IF($D$1=$AN$27,HLOOKUP("kdk pg",rku_jan_okt,10,FALSE),IF($D$1=$AN$28,HLOOKUP("kdk pg",rku_jan_nov,10,FALSE),0)))))))))))))))))))))))))))</f>
        <v>23240</v>
      </c>
      <c r="N25" s="84">
        <f>IF($D$1&lt;&gt;"",IF($D$1=$AN$3,HLOOKUP("kdk pg",rku_01.jan,11,FALSE),IF($D$1=$AN$4,HLOOKUP("kdk pg",rku_02.feb,11,FALSE),IF($D$1=$AN$5,HLOOKUP("kdk pg",rku_03.mar,11,FALSE),IF($D$1=$AN$6,HLOOKUP("kdk pg",rku_04.apr,11,FALSE),IF($D$1=$AN$7,HLOOKUP("kdk pg",rku_05.mei,11,FALSE),IF($D$1=$AN$8,HLOOKUP("kdk pg",rku_06.jun,11,FALSE),IF($D$1=$AN$9,HLOOKUP("kdk pg",rku_07.jul,11,FALSE),IF($D$1=$AN$10,HLOOKUP("kdk pg",rku_08.ags,11,FALSE),IF($D$1=$AN$11,HLOOKUP("kdk pg",rku_09.sep,11,FALSE),IF($D$1=$AN$12,HLOOKUP("kdk pg",rku_10.okt,11,FALSE),IF($D$1=$AN$13,HLOOKUP("kdk pg",rku_11.nov,11,FALSE),IF($D$1=$AN$14,HLOOKUP("kdk pg",rku_12.des,11,FALSE),IF($D$1=$AN$15,HLOOKUP("kdk pg",rku_TW_I,11,FALSE),IF($D$1=$AN$16,HLOOKUP("kdk pg",rku_TW_II,11,FALSE),IF($D$1=$AN$17,HLOOKUP("kdk pg",rku_TW_III,11,FALSE),IF($D$1=$AN$18,HLOOKUP("kdk pg",rku_TW_IV,11,FALSE),IF($D$1=$AN$19,HLOOKUP("kdk pg",rku_SM_I,11,FALSE),IF($D$1=$AN$20,HLOOKUP("kdk pg",rku_SM_II,11,FALSE),IF($D$1=$AN$21,HLOOKUP("kdk pg",rku_2013,11,FALSE),IF($D$1=$AN$22,HLOOKUP("kdk pg",rku_jan_apr,11,FALSE),IF($D$1=$AN$23,HLOOKUP("kdk pg",rku_jan_mei,11,FALSE),IF($D$1=$AN$24,HLOOKUP("kdk pg",rku_jan_jul,11,FALSE),IF($D$1=$AN$25,HLOOKUP("kdk pg",rku_jan_ags,11,FALSE),IF($D$1=$AN$26,HLOOKUP("kdk pg",rku_jan_sep,11,FALSE),IF($D$1=$AN$27,HLOOKUP("kdk pg",rku_jan_okt,11,FALSE),IF($D$1=$AN$28,HLOOKUP("kdk pg",rku_jan_nov,11,FALSE),0)))))))))))))))))))))))))))</f>
        <v>9310</v>
      </c>
      <c r="O25" s="84">
        <f>IF($D$1&lt;&gt;"",IF($D$1=$AN$3,HLOOKUP("kdk pg",rku_01.jan,12,FALSE),IF($D$1=$AN$4,HLOOKUP("kdk pg",rku_02.feb,12,FALSE),IF($D$1=$AN$5,HLOOKUP("kdk pg",rku_03.mar,12,FALSE),IF($D$1=$AN$6,HLOOKUP("kdk pg",rku_04.apr,12,FALSE),IF($D$1=$AN$7,HLOOKUP("kdk pg",rku_05.mei,12,FALSE),IF($D$1=$AN$8,HLOOKUP("kdk pg",rku_06.jun,12,FALSE),IF($D$1=$AN$9,HLOOKUP("kdk pg",rku_07.jul,12,FALSE),IF($D$1=$AN$10,HLOOKUP("kdk pg",rku_08.ags,12,FALSE),IF($D$1=$AN$11,HLOOKUP("kdk pg",rku_09.sep,12,FALSE),IF($D$1=$AN$12,HLOOKUP("kdk pg",rku_10.okt,12,FALSE),IF($D$1=$AN$13,HLOOKUP("kdk pg",rku_11.nov,12,FALSE),IF($D$1=$AN$14,HLOOKUP("kdk pg",rku_12.des,12,FALSE),IF($D$1=$AN$15,HLOOKUP("kdk pg",rku_TW_I,12,FALSE),IF($D$1=$AN$16,HLOOKUP("kdk pg",rku_TW_II,12,FALSE),IF($D$1=$AN$17,HLOOKUP("kdk pg",rku_TW_III,12,FALSE),IF($D$1=$AN$18,HLOOKUP("kdk pg",rku_TW_IV,12,FALSE),IF($D$1=$AN$19,HLOOKUP("kdk pg",rku_SM_I,12,FALSE),IF($D$1=$AN$20,HLOOKUP("kdk pg",rku_SM_II,12,FALSE),IF($D$1=$AN$21,HLOOKUP("kdk pg",rku_2013,12,FALSE),IF($D$1=$AN$22,HLOOKUP("kdk pg",rku_jan_apr,12,FALSE),IF($D$1=$AN$23,HLOOKUP("kdk pg",rku_jan_mei,12,FALSE),IF($D$1=$AN$24,HLOOKUP("kdk pg",rku_jan_jul,12,FALSE),IF($D$1=$AN$25,HLOOKUP("kdk pg",rku_jan_ags,12,FALSE),IF($D$1=$AN$26,HLOOKUP("kdk pg",rku_jan_sep,12,FALSE),IF($D$1=$AN$27,HLOOKUP("kdk pg",rku_jan_okt,12,FALSE),IF($D$1=$AN$28,HLOOKUP("kdk pg",rku_jan_nov,12,FALSE),0)))))))))))))))))))))))))))</f>
        <v>3456</v>
      </c>
      <c r="P25" s="84">
        <f>IF($D$1&lt;&gt;"",IF($D$1=$AN$3,HLOOKUP("kdk pg",rku_01.jan,13,FALSE),IF($D$1=$AN$4,HLOOKUP("kdk pg",rku_02.feb,13,FALSE),IF($D$1=$AN$5,HLOOKUP("kdk pg",rku_03.mar,13,FALSE),IF($D$1=$AN$6,HLOOKUP("kdk pg",rku_04.apr,13,FALSE),IF($D$1=$AN$7,HLOOKUP("kdk pg",rku_05.mei,13,FALSE),IF($D$1=$AN$8,HLOOKUP("kdk pg",rku_06.jun,13,FALSE),IF($D$1=$AN$9,HLOOKUP("kdk pg",rku_07.jul,13,FALSE),IF($D$1=$AN$10,HLOOKUP("kdk pg",rku_08.ags,13,FALSE),IF($D$1=$AN$11,HLOOKUP("kdk pg",rku_09.sep,13,FALSE),IF($D$1=$AN$12,HLOOKUP("kdk pg",rku_10.okt,13,FALSE),IF($D$1=$AN$13,HLOOKUP("kdk pg",rku_11.nov,13,FALSE),IF($D$1=$AN$14,HLOOKUP("kdk pg",rku_12.des,13,FALSE),IF($D$1=$AN$15,HLOOKUP("kdk pg",rku_TW_I,13,FALSE),IF($D$1=$AN$16,HLOOKUP("kdk pg",rku_TW_II,13,FALSE),IF($D$1=$AN$17,HLOOKUP("kdk pg",rku_TW_III,13,FALSE),IF($D$1=$AN$18,HLOOKUP("kdk pg",rku_TW_IV,13,FALSE),IF($D$1=$AN$19,HLOOKUP("kdk pg",rku_SM_I,13,FALSE),IF($D$1=$AN$20,HLOOKUP("kdk pg",rku_SM_II,13,FALSE),IF($D$1=$AN$21,HLOOKUP("kdk pg",rku_2013,13,FALSE),IF($D$1=$AN$22,HLOOKUP("kdk pg",rku_jan_apr,13,FALSE),IF($D$1=$AN$23,HLOOKUP("kdk pg",rku_jan_mei,13,FALSE),IF($D$1=$AN$24,HLOOKUP("kdk pg",rku_jan_jul,13,FALSE),IF($D$1=$AN$25,HLOOKUP("kdk pg",rku_jan_ags,13,FALSE),IF($D$1=$AN$26,HLOOKUP("kdk pg",rku_jan_sep,13,FALSE),IF($D$1=$AN$27,HLOOKUP("kdk pg",rku_jan_okt,13,FALSE),IF($D$1=$AN$28,HLOOKUP("kdk pg",rku_jan_nov,13,FALSE),0)))))))))))))))))))))))))))</f>
        <v>1996</v>
      </c>
      <c r="Q25" s="84">
        <f>IF($D$1&lt;&gt;"",IF($D$1=$AN$3,HLOOKUP("kdk pg",rku_01.jan,14,FALSE),IF($D$1=$AN$4,HLOOKUP("kdk pg",rku_02.feb,14,FALSE),IF($D$1=$AN$5,HLOOKUP("kdk pg",rku_03.mar,14,FALSE),IF($D$1=$AN$6,HLOOKUP("kdk pg",rku_04.apr,14,FALSE),IF($D$1=$AN$7,HLOOKUP("kdk pg",rku_05.mei,14,FALSE),IF($D$1=$AN$8,HLOOKUP("kdk pg",rku_06.jun,14,FALSE),IF($D$1=$AN$9,HLOOKUP("kdk pg",rku_07.jul,14,FALSE),IF($D$1=$AN$10,HLOOKUP("kdk pg",rku_08.ags,14,FALSE),IF($D$1=$AN$11,HLOOKUP("kdk pg",rku_09.sep,14,FALSE),IF($D$1=$AN$12,HLOOKUP("kdk pg",rku_10.okt,14,FALSE),IF($D$1=$AN$13,HLOOKUP("kdk pg",rku_11.nov,14,FALSE),IF($D$1=$AN$14,HLOOKUP("kdk pg",rku_12.des,14,FALSE),IF($D$1=$AN$15,HLOOKUP("kdk pg",rku_TW_I,14,FALSE),IF($D$1=$AN$16,HLOOKUP("kdk pg",rku_TW_II,14,FALSE),IF($D$1=$AN$17,HLOOKUP("kdk pg",rku_TW_III,14,FALSE),IF($D$1=$AN$18,HLOOKUP("kdk pg",rku_TW_IV,14,FALSE),IF($D$1=$AN$19,HLOOKUP("kdk pg",rku_SM_I,14,FALSE),IF($D$1=$AN$20,HLOOKUP("kdk pg",rku_SM_II,14,FALSE),IF($D$1=$AN$21,HLOOKUP("kdk pg",rku_2013,14,FALSE),IF($D$1=$AN$22,HLOOKUP("kdk pg",rku_jan_apr,14,FALSE),IF($D$1=$AN$23,HLOOKUP("kdk pg",rku_jan_mei,14,FALSE),IF($D$1=$AN$24,HLOOKUP("kdk pg",rku_jan_jul,14,FALSE),IF($D$1=$AN$25,HLOOKUP("kdk pg",rku_jan_ags,14,FALSE),IF($D$1=$AN$26,HLOOKUP("kdk pg",rku_jan_sep,14,FALSE),IF($D$1=$AN$27,HLOOKUP("kdk pg",rku_jan_okt,14,FALSE),IF($D$1=$AN$28,HLOOKUP("kdk pg",rku_jan_nov,14,FALSE),0)))))))))))))))))))))))))))</f>
        <v>3</v>
      </c>
      <c r="R25" s="85">
        <f>+SUM(M25:Q25)</f>
        <v>38005</v>
      </c>
      <c r="S25" s="84">
        <f>+R25+L25</f>
        <v>15449845</v>
      </c>
      <c r="U25" s="81">
        <v>4</v>
      </c>
      <c r="V25" s="81" t="s">
        <v>200</v>
      </c>
      <c r="W25" s="83" t="s">
        <v>180</v>
      </c>
      <c r="X25" s="84">
        <f t="shared" ref="X25:AD26" si="23">E25/X$100</f>
        <v>5694</v>
      </c>
      <c r="Y25" s="84">
        <f t="shared" si="23"/>
        <v>3202</v>
      </c>
      <c r="Z25" s="84">
        <f t="shared" si="23"/>
        <v>345</v>
      </c>
      <c r="AA25" s="84">
        <f t="shared" si="23"/>
        <v>2202</v>
      </c>
      <c r="AB25" s="84">
        <f t="shared" si="23"/>
        <v>1426</v>
      </c>
      <c r="AC25" s="84">
        <f t="shared" si="23"/>
        <v>2255</v>
      </c>
      <c r="AD25" s="84">
        <f t="shared" si="23"/>
        <v>532</v>
      </c>
      <c r="AE25" s="85">
        <f>+SUM(X25:AD25)</f>
        <v>15656</v>
      </c>
      <c r="AF25" s="84">
        <f t="shared" ref="AF25:AJ26" si="24">M25/AF$100</f>
        <v>4648</v>
      </c>
      <c r="AG25" s="84">
        <f t="shared" si="24"/>
        <v>3724</v>
      </c>
      <c r="AH25" s="84">
        <f t="shared" si="24"/>
        <v>1728</v>
      </c>
      <c r="AI25" s="84">
        <f t="shared" si="24"/>
        <v>1996</v>
      </c>
      <c r="AJ25" s="84">
        <f t="shared" si="24"/>
        <v>3</v>
      </c>
      <c r="AK25" s="85">
        <f>+SUM(AF25:AJ25)</f>
        <v>12099</v>
      </c>
      <c r="AL25" s="84">
        <f>+AK25+AE25</f>
        <v>27755</v>
      </c>
      <c r="AM25" s="69"/>
      <c r="AN25" s="70" t="s">
        <v>201</v>
      </c>
    </row>
    <row r="26" spans="2:41" ht="15" x14ac:dyDescent="0.25">
      <c r="B26" s="86"/>
      <c r="C26" s="86"/>
      <c r="D26" s="87" t="s">
        <v>182</v>
      </c>
      <c r="E26" s="88">
        <f>IF($D$1&lt;&gt;"",IF($D$1=$AN$3,HLOOKUP("kdk pg",real_rku_01.jan,2,FALSE),IF($D$1=$AN$4,HLOOKUP("kdk pg",real_rku_02.feb,2,FALSE),IF($D$1=$AN$5,HLOOKUP("kdk pg",real_rku_03.mar,2,FALSE),IF($D$1=$AN$6,HLOOKUP("kdk pg",real_rku_04.apr,2,FALSE),IF($D$1=$AN$7,HLOOKUP("kdk pg",real_rku_05.mei,2,FALSE),IF($D$1=$AN$8,HLOOKUP("kdk pg",real_rku_06.jun,2,FALSE),IF($D$1=$AN$9,HLOOKUP("kdk pg",real_rku_07.jul,2,FALSE),IF($D$1=$AN$10,HLOOKUP("kdk pg",real_rku_08.ags,2,FALSE),IF($D$1=$AN$11,HLOOKUP("kdk pg",real_rku_09.sep,2,FALSE),IF($D$1=$AN$12,HLOOKUP("kdk pg",real_rku_10.okt,2,FALSE),IF($D$1=$AN$13,HLOOKUP("kdk pg",real_rku_11.nov,2,FALSE),IF($D$1=$AN$14,HLOOKUP("kdk pg",real_rku_12.des,2,FALSE),IF($D$1=$AN$15,HLOOKUP("kdk pg",real_rku_TW_I,2,FALSE),IF($D$1=$AN$16,HLOOKUP("kdk pg",real_rku_TW_II,2,FALSE),IF($D$1=$AN$17,HLOOKUP("kdk pg",real_rku_TW_III,2,FALSE),IF($D$1=$AN$18,HLOOKUP("kdk pg",real_rku_TW_IV,2,FALSE),IF($D$1=$AN$19,HLOOKUP("kdk pg",real_rku_SM_I,2,FALSE),IF($D$1=$AN$20,HLOOKUP("kdk pg",real_rku_SM_II,2,FALSE),IF($D$1=$AN$21,HLOOKUP("kdk pg",real_rku_2013,2,FALSE),IF($D$1=$AN$22,HLOOKUP("kdk pg",real_rku_jan_apr,2,FALSE),IF($D$1=$AN$23,HLOOKUP("kdk pg",real_rku_jan_mei,2,FALSE),IF($D$1=$AN$24,HLOOKUP("kdk pg",real_rku_jan_jul,2,FALSE),IF($D$1=$AN$25,HLOOKUP("kdk pg",real_rku_jan_ags,2,FALSE),IF($D$1=$AN$26,HLOOKUP("kdk pg",real_rku_jan_sep,2,FALSE),IF($D$1=$AN$27,HLOOKUP("kdk pg",real_rku_jan_okt,2,FALSE),IF($D$1=$AN$28,HLOOKUP("kdk pg",real_rku_jan_nov,2,FALSE),0)))))))))))))))))))))))))))</f>
        <v>8220000</v>
      </c>
      <c r="F26" s="88">
        <f>IF($D$1&lt;&gt;"",IF($D$1=$AN$3,HLOOKUP("kdk pg",real_rku_01.jan,3,FALSE),IF($D$1=$AN$4,HLOOKUP("kdk pg",real_rku_02.feb,3,FALSE),IF($D$1=$AN$5,HLOOKUP("kdk pg",real_rku_03.mar,3,FALSE),IF($D$1=$AN$6,HLOOKUP("kdk pg",real_rku_04.apr,3,FALSE),IF($D$1=$AN$7,HLOOKUP("kdk pg",real_rku_05.mei,3,FALSE),IF($D$1=$AN$8,HLOOKUP("kdk pg",real_rku_06.jun,3,FALSE),IF($D$1=$AN$9,HLOOKUP("kdk pg",real_rku_07.jul,3,FALSE),IF($D$1=$AN$10,HLOOKUP("kdk pg",real_rku_08.ags,3,FALSE),IF($D$1=$AN$11,HLOOKUP("kdk pg",real_rku_09.sep,3,FALSE),IF($D$1=$AN$12,HLOOKUP("kdk pg",real_rku_10.okt,3,FALSE),IF($D$1=$AN$13,HLOOKUP("kdk pg",real_rku_11.nov,3,FALSE),IF($D$1=$AN$14,HLOOKUP("kdk pg",real_rku_12.des,3,FALSE),IF($D$1=$AN$15,HLOOKUP("kdk pg",real_rku_TW_I,3,FALSE),IF($D$1=$AN$16,HLOOKUP("kdk pg",real_rku_TW_II,3,FALSE),IF($D$1=$AN$17,HLOOKUP("kdk pg",real_rku_TW_III,3,FALSE),IF($D$1=$AN$18,HLOOKUP("kdk pg",real_rku_TW_IV,3,FALSE),IF($D$1=$AN$19,HLOOKUP("kdk pg",real_rku_SM_I,3,FALSE),IF($D$1=$AN$20,HLOOKUP("kdk pg",real_rku_SM_II,3,FALSE),IF($D$1=$AN$21,HLOOKUP("kdk pg",real_rku_2013,3,FALSE),IF($D$1=$AN$22,HLOOKUP("kdk pg",real_rku_jan_apr,3,FALSE),IF($D$1=$AN$23,HLOOKUP("kdk pg",real_rku_jan_mei,3,FALSE),IF($D$1=$AN$24,HLOOKUP("kdk pg",real_rku_jan_jul,3,FALSE),IF($D$1=$AN$25,HLOOKUP("kdk pg",real_rku_jan_ags,3,FALSE),IF($D$1=$AN$26,HLOOKUP("kdk pg",real_rku_jan_sep,3,FALSE),IF($D$1=$AN$27,HLOOKUP("kdk pg",real_rku_jan_okt,3,FALSE),IF($D$1=$AN$28,HLOOKUP("kdk pg",real_rku_jan_nov,3,FALSE),0)))))))))))))))))))))))))))</f>
        <v>6180000</v>
      </c>
      <c r="G26" s="88">
        <f>IF($D$1&lt;&gt;"",IF($D$1=$AN$3,HLOOKUP("kdk pg",real_rku_01.jan,4,FALSE),IF($D$1=$AN$4,HLOOKUP("kdk pg",real_rku_02.feb,4,FALSE),IF($D$1=$AN$5,HLOOKUP("kdk pg",real_rku_03.mar,4,FALSE),IF($D$1=$AN$6,HLOOKUP("kdk pg",real_rku_04.apr,4,FALSE),IF($D$1=$AN$7,HLOOKUP("kdk pg",real_rku_05.mei,4,FALSE),IF($D$1=$AN$8,HLOOKUP("kdk pg",real_rku_06.jun,4,FALSE),IF($D$1=$AN$9,HLOOKUP("kdk pg",real_rku_07.jul,4,FALSE),IF($D$1=$AN$10,HLOOKUP("kdk pg",real_rku_08.ags,4,FALSE),IF($D$1=$AN$11,HLOOKUP("kdk pg",real_rku_09.sep,4,FALSE),IF($D$1=$AN$12,HLOOKUP("kdk pg",real_rku_10.okt,4,FALSE),IF($D$1=$AN$13,HLOOKUP("kdk pg",real_rku_11.nov,4,FALSE),IF($D$1=$AN$14,HLOOKUP("kdk pg",real_rku_12.des,4,FALSE),IF($D$1=$AN$15,HLOOKUP("kdk pg",real_rku_TW_I,4,FALSE),IF($D$1=$AN$16,HLOOKUP("kdk pg",real_rku_TW_II,4,FALSE),IF($D$1=$AN$17,HLOOKUP("kdk pg",real_rku_TW_III,4,FALSE),IF($D$1=$AN$18,HLOOKUP("kdk pg",real_rku_TW_IV,4,FALSE),IF($D$1=$AN$19,HLOOKUP("kdk pg",real_rku_SM_I,4,FALSE),IF($D$1=$AN$20,HLOOKUP("kdk pg",real_rku_SM_II,4,FALSE),IF($D$1=$AN$21,HLOOKUP("kdk pg",real_rku_2013,4,FALSE),IF($D$1=$AN$22,HLOOKUP("kdk pg",real_rku_jan_apr,4,FALSE),IF($D$1=$AN$23,HLOOKUP("kdk pg",real_rku_jan_mei,4,FALSE),IF($D$1=$AN$24,HLOOKUP("kdk pg",real_rku_jan_jul,4,FALSE),IF($D$1=$AN$25,HLOOKUP("kdk pg",real_rku_jan_ags,4,FALSE),IF($D$1=$AN$26,HLOOKUP("kdk pg",real_rku_jan_sep,4,FALSE),IF($D$1=$AN$27,HLOOKUP("kdk pg",real_rku_jan_okt,4,FALSE),IF($D$1=$AN$28,HLOOKUP("kdk pg",real_rku_jan_nov,4,FALSE),0)))))))))))))))))))))))))))</f>
        <v>520000</v>
      </c>
      <c r="H26" s="88">
        <f>IF($D$1&lt;&gt;"",IF($D$1=$AN$3,HLOOKUP("kdk pg",real_rku_01.jan,5,FALSE),IF($D$1=$AN$4,HLOOKUP("kdk pg",real_rku_02.feb,5,FALSE),IF($D$1=$AN$5,HLOOKUP("kdk pg",real_rku_03.mar,5,FALSE),IF($D$1=$AN$6,HLOOKUP("kdk pg",real_rku_04.apr,5,FALSE),IF($D$1=$AN$7,HLOOKUP("kdk pg",real_rku_05.mei,5,FALSE),IF($D$1=$AN$8,HLOOKUP("kdk pg",real_rku_06.jun,5,FALSE),IF($D$1=$AN$9,HLOOKUP("kdk pg",real_rku_07.jul,5,FALSE),IF($D$1=$AN$10,HLOOKUP("kdk pg",real_rku_08.ags,5,FALSE),IF($D$1=$AN$11,HLOOKUP("kdk pg",real_rku_09.sep,5,FALSE),IF($D$1=$AN$12,HLOOKUP("kdk pg",real_rku_10.okt,5,FALSE),IF($D$1=$AN$13,HLOOKUP("kdk pg",real_rku_11.nov,5,FALSE),IF($D$1=$AN$14,HLOOKUP("kdk pg",real_rku_12.des,5,FALSE),IF($D$1=$AN$15,HLOOKUP("kdk pg",real_rku_TW_I,5,FALSE),IF($D$1=$AN$16,HLOOKUP("kdk pg",real_rku_TW_II,5,FALSE),IF($D$1=$AN$17,HLOOKUP("kdk pg",real_rku_TW_III,5,FALSE),IF($D$1=$AN$18,HLOOKUP("kdk pg",real_rku_TW_IV,5,FALSE),IF($D$1=$AN$19,HLOOKUP("kdk pg",real_rku_SM_I,5,FALSE),IF($D$1=$AN$20,HLOOKUP("kdk pg",real_rku_SM_II,5,FALSE),IF($D$1=$AN$21,HLOOKUP("kdk pg",real_rku_2013,5,FALSE),IF($D$1=$AN$22,HLOOKUP("kdk pg",real_rku_jan_apr,5,FALSE),IF($D$1=$AN$23,HLOOKUP("kdk pg",real_rku_jan_mei,5,FALSE),IF($D$1=$AN$24,HLOOKUP("kdk pg",real_rku_jan_jul,5,FALSE),IF($D$1=$AN$25,HLOOKUP("kdk pg",real_rku_jan_ags,5,FALSE),IF($D$1=$AN$26,HLOOKUP("kdk pg",real_rku_jan_sep,5,FALSE),IF($D$1=$AN$27,HLOOKUP("kdk pg",real_rku_jan_okt,5,FALSE),IF($D$1=$AN$28,HLOOKUP("kdk pg",real_rku_jan_nov,5,FALSE),0)))))))))))))))))))))))))))</f>
        <v>630000</v>
      </c>
      <c r="I26" s="88">
        <f>IF($D$1&lt;&gt;"",IF($D$1=$AN$3,HLOOKUP("kdk pg",real_rku_01.jan,6,FALSE),IF($D$1=$AN$4,HLOOKUP("kdk pg",real_rku_02.feb,6,FALSE),IF($D$1=$AN$5,HLOOKUP("kdk pg",real_rku_03.mar,6,FALSE),IF($D$1=$AN$6,HLOOKUP("kdk pg",real_rku_04.apr,6,FALSE),IF($D$1=$AN$7,HLOOKUP("kdk pg",real_rku_05.mei,6,FALSE),IF($D$1=$AN$8,HLOOKUP("kdk pg",real_rku_06.jun,6,FALSE),IF($D$1=$AN$9,HLOOKUP("kdk pg",real_rku_07.jul,6,FALSE),IF($D$1=$AN$10,HLOOKUP("kdk pg",real_rku_08.ags,6,FALSE),IF($D$1=$AN$11,HLOOKUP("kdk pg",real_rku_09.sep,6,FALSE),IF($D$1=$AN$12,HLOOKUP("kdk pg",real_rku_10.okt,6,FALSE),IF($D$1=$AN$13,HLOOKUP("kdk pg",real_rku_11.nov,6,FALSE),IF($D$1=$AN$14,HLOOKUP("kdk pg",real_rku_12.des,6,FALSE),IF($D$1=$AN$15,HLOOKUP("kdk pg",real_rku_TW_I,6,FALSE),IF($D$1=$AN$16,HLOOKUP("kdk pg",real_rku_TW_II,6,FALSE),IF($D$1=$AN$17,HLOOKUP("kdk pg",real_rku_TW_III,6,FALSE),IF($D$1=$AN$18,HLOOKUP("kdk pg",real_rku_TW_IV,6,FALSE),IF($D$1=$AN$19,HLOOKUP("kdk pg",real_rku_SM_I,6,FALSE),IF($D$1=$AN$20,HLOOKUP("kdk pg",real_rku_SM_II,6,FALSE),IF($D$1=$AN$21,HLOOKUP("kdk pg",real_rku_2013,6,FALSE),IF($D$1=$AN$22,HLOOKUP("kdk pg",real_rku_jan_apr,6,FALSE),IF($D$1=$AN$23,HLOOKUP("kdk pg",real_rku_jan_mei,6,FALSE),IF($D$1=$AN$24,HLOOKUP("kdk pg",real_rku_jan_jul,6,FALSE),IF($D$1=$AN$25,HLOOKUP("kdk pg",real_rku_jan_ags,6,FALSE),IF($D$1=$AN$26,HLOOKUP("kdk pg",real_rku_jan_sep,6,FALSE),IF($D$1=$AN$27,HLOOKUP("kdk pg",real_rku_jan_okt,6,FALSE),IF($D$1=$AN$28,HLOOKUP("kdk pg",real_rku_jan_nov,6,FALSE),0)))))))))))))))))))))))))))</f>
        <v>368000</v>
      </c>
      <c r="J26" s="88">
        <f>IF($D$1&lt;&gt;"",IF($D$1=$AN$3,HLOOKUP("kdk pg",real_rku_01.jan,7,FALSE),IF($D$1=$AN$4,HLOOKUP("kdk pg",real_rku_02.feb,7,FALSE),IF($D$1=$AN$5,HLOOKUP("kdk pg",real_rku_03.mar,7,FALSE),IF($D$1=$AN$6,HLOOKUP("kdk pg",real_rku_04.apr,7,FALSE),IF($D$1=$AN$7,HLOOKUP("kdk pg",real_rku_05.mei,7,FALSE),IF($D$1=$AN$8,HLOOKUP("kdk pg",real_rku_06.jun,7,FALSE),IF($D$1=$AN$9,HLOOKUP("kdk pg",real_rku_07.jul,7,FALSE),IF($D$1=$AN$10,HLOOKUP("kdk pg",real_rku_08.ags,7,FALSE),IF($D$1=$AN$11,HLOOKUP("kdk pg",real_rku_09.sep,7,FALSE),IF($D$1=$AN$12,HLOOKUP("kdk pg",real_rku_10.okt,7,FALSE),IF($D$1=$AN$13,HLOOKUP("kdk pg",real_rku_11.nov,7,FALSE),IF($D$1=$AN$14,HLOOKUP("kdk pg",real_rku_12.des,7,FALSE),IF($D$1=$AN$15,HLOOKUP("kdk pg",real_rku_TW_I,7,FALSE),IF($D$1=$AN$16,HLOOKUP("kdk pg",real_rku_TW_II,7,FALSE),IF($D$1=$AN$17,HLOOKUP("kdk pg",real_rku_TW_III,7,FALSE),IF($D$1=$AN$18,HLOOKUP("kdk pg",real_rku_TW_IV,7,FALSE),IF($D$1=$AN$19,HLOOKUP("kdk pg",real_rku_SM_I,7,FALSE),IF($D$1=$AN$20,HLOOKUP("kdk pg",real_rku_SM_II,7,FALSE),IF($D$1=$AN$21,HLOOKUP("kdk pg",real_rku_2013,7,FALSE),IF($D$1=$AN$22,HLOOKUP("kdk pg",real_rku_jan_apr,7,FALSE),IF($D$1=$AN$23,HLOOKUP("kdk pg",real_rku_jan_mei,7,FALSE),IF($D$1=$AN$24,HLOOKUP("kdk pg",real_rku_jan_jul,7,FALSE),IF($D$1=$AN$25,HLOOKUP("kdk pg",real_rku_jan_ags,7,FALSE),IF($D$1=$AN$26,HLOOKUP("kdk pg",real_rku_jan_sep,7,FALSE),IF($D$1=$AN$27,HLOOKUP("kdk pg",real_rku_jan_okt,7,FALSE),IF($D$1=$AN$28,HLOOKUP("kdk pg",real_rku_jan_nov,7,FALSE),0)))))))))))))))))))))))))))</f>
        <v>176000</v>
      </c>
      <c r="K26" s="88">
        <f>IF($D$1&lt;&gt;"",IF($D$1=$AN$3,HLOOKUP("kdk pg",real_rku_01.jan,8,FALSE),IF($D$1=$AN$4,HLOOKUP("kdk pg",real_rku_02.feb,8,FALSE),IF($D$1=$AN$5,HLOOKUP("kdk pg",real_rku_03.mar,8,FALSE),IF($D$1=$AN$6,HLOOKUP("kdk pg",real_rku_04.apr,8,FALSE),IF($D$1=$AN$7,HLOOKUP("kdk pg",real_rku_05.mei,8,FALSE),IF($D$1=$AN$8,HLOOKUP("kdk pg",real_rku_06.jun,8,FALSE),IF($D$1=$AN$9,HLOOKUP("kdk pg",real_rku_07.jul,8,FALSE),IF($D$1=$AN$10,HLOOKUP("kdk pg",real_rku_08.ags,8,FALSE),IF($D$1=$AN$11,HLOOKUP("kdk pg",real_rku_09.sep,8,FALSE),IF($D$1=$AN$12,HLOOKUP("kdk pg",real_rku_10.okt,8,FALSE),IF($D$1=$AN$13,HLOOKUP("kdk pg",real_rku_11.nov,8,FALSE),IF($D$1=$AN$14,HLOOKUP("kdk pg",real_rku_12.des,8,FALSE),IF($D$1=$AN$15,HLOOKUP("kdk pg",real_rku_TW_I,8,FALSE),IF($D$1=$AN$16,HLOOKUP("kdk pg",real_rku_TW_II,8,FALSE),IF($D$1=$AN$17,HLOOKUP("kdk pg",real_rku_TW_III,8,FALSE),IF($D$1=$AN$18,HLOOKUP("kdk pg",real_rku_TW_IV,8,FALSE),IF($D$1=$AN$19,HLOOKUP("kdk pg",real_rku_SM_I,8,FALSE),IF($D$1=$AN$20,HLOOKUP("kdk pg",real_rku_SM_II,8,FALSE),IF($D$1=$AN$21,HLOOKUP("kdk pg",real_rku_2013,8,FALSE),IF($D$1=$AN$22,HLOOKUP("kdk pg",real_rku_jan_apr,8,FALSE),IF($D$1=$AN$23,HLOOKUP("kdk pg",real_rku_jan_mei,8,FALSE),IF($D$1=$AN$24,HLOOKUP("kdk pg",real_rku_jan_jul,8,FALSE),IF($D$1=$AN$25,HLOOKUP("kdk pg",real_rku_jan_ags,8,FALSE),IF($D$1=$AN$26,HLOOKUP("kdk pg",real_rku_jan_sep,8,FALSE),IF($D$1=$AN$27,HLOOKUP("kdk pg",real_rku_jan_okt,8,FALSE),IF($D$1=$AN$28,HLOOKUP("kdk pg",real_rku_jan_nov,8,FALSE),0)))))))))))))))))))))))))))</f>
        <v>9000</v>
      </c>
      <c r="L26" s="89">
        <f>+SUM(E26:K26)</f>
        <v>16103000</v>
      </c>
      <c r="M26" s="88">
        <f>IF($D$1&lt;&gt;"",IF($D$1=$AN$3,HLOOKUP("kdk pg",real_rku_01.jan,10,FALSE),IF($D$1=$AN$4,HLOOKUP("kdk pg",real_rku_02.feb,10,FALSE),IF($D$1=$AN$5,HLOOKUP("kdk pg",real_rku_03.mar,10,FALSE),IF($D$1=$AN$6,HLOOKUP("kdk pg",real_rku_04.apr,10,FALSE),IF($D$1=$AN$7,HLOOKUP("kdk pg",real_rku_05.mei,10,FALSE),IF($D$1=$AN$8,HLOOKUP("kdk pg",real_rku_06.jun,10,FALSE),IF($D$1=$AN$9,HLOOKUP("kdk pg",real_rku_07.jul,10,FALSE),IF($D$1=$AN$10,HLOOKUP("kdk pg",real_rku_08.ags,10,FALSE),IF($D$1=$AN$11,HLOOKUP("kdk pg",real_rku_09.sep,10,FALSE),IF($D$1=$AN$12,HLOOKUP("kdk pg",real_rku_10.okt,10,FALSE),IF($D$1=$AN$13,HLOOKUP("kdk pg",real_rku_11.nov,10,FALSE),IF($D$1=$AN$14,HLOOKUP("kdk pg",real_rku_12.des,10,FALSE),IF($D$1=$AN$15,HLOOKUP("kdk pg",real_rku_TW_I,10,FALSE),IF($D$1=$AN$16,HLOOKUP("kdk pg",real_rku_TW_II,10,FALSE),IF($D$1=$AN$17,HLOOKUP("kdk pg",real_rku_TW_III,10,FALSE),IF($D$1=$AN$18,HLOOKUP("kdk pg",real_rku_TW_IV,10,FALSE),IF($D$1=$AN$19,HLOOKUP("kdk pg",real_rku_SM_I,10,FALSE),IF($D$1=$AN$20,HLOOKUP("kdk pg",real_rku_SM_II,10,FALSE),IF($D$1=$AN$21,HLOOKUP("kdk pg",real_rku_2013,10,FALSE),IF($D$1=$AN$22,HLOOKUP("kdk pg",real_rku_jan_apr,10,FALSE),IF($D$1=$AN$23,HLOOKUP("kdk pg",real_rku_jan_mei,10,FALSE),IF($D$1=$AN$24,HLOOKUP("kdk pg",real_rku_jan_jul,10,FALSE),IF($D$1=$AN$25,HLOOKUP("kdk pg",real_rku_jan_ags,10,FALSE),IF($D$1=$AN$26,HLOOKUP("kdk pg",real_rku_jan_sep,10,FALSE),IF($D$1=$AN$27,HLOOKUP("kdk pg",real_rku_jan_okt,10,FALSE),IF($D$1=$AN$28,HLOOKUP("kdk pg",real_rku_jan_nov,10,FALSE),0)))))))))))))))))))))))))))</f>
        <v>21750</v>
      </c>
      <c r="N26" s="88">
        <f>IF($D$1&lt;&gt;"",IF($D$1=$AN$3,HLOOKUP("kdk pg",real_rku_01.jan,11,FALSE),IF($D$1=$AN$4,HLOOKUP("kdk pg",real_rku_02.feb,11,FALSE),IF($D$1=$AN$5,HLOOKUP("kdk pg",real_rku_03.mar,11,FALSE),IF($D$1=$AN$6,HLOOKUP("kdk pg",real_rku_04.apr,11,FALSE),IF($D$1=$AN$7,HLOOKUP("kdk pg",real_rku_05.mei,11,FALSE),IF($D$1=$AN$8,HLOOKUP("kdk pg",real_rku_06.jun,11,FALSE),IF($D$1=$AN$9,HLOOKUP("kdk pg",real_rku_07.jul,11,FALSE),IF($D$1=$AN$10,HLOOKUP("kdk pg",real_rku_08.ags,11,FALSE),IF($D$1=$AN$11,HLOOKUP("kdk pg",real_rku_09.sep,11,FALSE),IF($D$1=$AN$12,HLOOKUP("kdk pg",real_rku_10.okt,11,FALSE),IF($D$1=$AN$13,HLOOKUP("kdk pg",real_rku_11.nov,11,FALSE),IF($D$1=$AN$14,HLOOKUP("kdk pg",real_rku_12.des,11,FALSE),IF($D$1=$AN$15,HLOOKUP("kdk pg",real_rku_TW_I,11,FALSE),IF($D$1=$AN$16,HLOOKUP("kdk pg",real_rku_TW_II,11,FALSE),IF($D$1=$AN$17,HLOOKUP("kdk pg",real_rku_TW_III,11,FALSE),IF($D$1=$AN$18,HLOOKUP("kdk pg",real_rku_TW_IV,11,FALSE),IF($D$1=$AN$19,HLOOKUP("kdk pg",real_rku_SM_I,11,FALSE),IF($D$1=$AN$20,HLOOKUP("kdk pg",real_rku_SM_II,11,FALSE),IF($D$1=$AN$21,HLOOKUP("kdk pg",real_rku_2013,11,FALSE),IF($D$1=$AN$22,HLOOKUP("kdk pg",real_rku_jan_apr,11,FALSE),IF($D$1=$AN$23,HLOOKUP("kdk pg",real_rku_jan_mei,11,FALSE),IF($D$1=$AN$24,HLOOKUP("kdk pg",real_rku_jan_jul,11,FALSE),IF($D$1=$AN$25,HLOOKUP("kdk pg",real_rku_jan_ags,11,FALSE),IF($D$1=$AN$26,HLOOKUP("kdk pg",real_rku_jan_sep,11,FALSE),IF($D$1=$AN$27,HLOOKUP("kdk pg",real_rku_jan_okt,11,FALSE),IF($D$1=$AN$28,HLOOKUP("kdk pg",real_rku_jan_nov,11,FALSE),0)))))))))))))))))))))))))))</f>
        <v>7625</v>
      </c>
      <c r="O26" s="88">
        <f>IF($D$1&lt;&gt;"",IF($D$1=$AN$3,HLOOKUP("kdk pg",real_rku_01.jan,12,FALSE),IF($D$1=$AN$4,HLOOKUP("kdk pg",real_rku_02.feb,12,FALSE),IF($D$1=$AN$5,HLOOKUP("kdk pg",real_rku_03.mar,12,FALSE),IF($D$1=$AN$6,HLOOKUP("kdk pg",real_rku_04.apr,12,FALSE),IF($D$1=$AN$7,HLOOKUP("kdk pg",real_rku_05.mei,12,FALSE),IF($D$1=$AN$8,HLOOKUP("kdk pg",real_rku_06.jun,12,FALSE),IF($D$1=$AN$9,HLOOKUP("kdk pg",real_rku_07.jul,12,FALSE),IF($D$1=$AN$10,HLOOKUP("kdk pg",real_rku_08.ags,12,FALSE),IF($D$1=$AN$11,HLOOKUP("kdk pg",real_rku_09.sep,12,FALSE),IF($D$1=$AN$12,HLOOKUP("kdk pg",real_rku_10.okt,12,FALSE),IF($D$1=$AN$13,HLOOKUP("kdk pg",real_rku_11.nov,12,FALSE),IF($D$1=$AN$14,HLOOKUP("kdk pg",real_rku_12.des,12,FALSE),IF($D$1=$AN$15,HLOOKUP("kdk pg",real_rku_TW_I,12,FALSE),IF($D$1=$AN$16,HLOOKUP("kdk pg",real_rku_TW_II,12,FALSE),IF($D$1=$AN$17,HLOOKUP("kdk pg",real_rku_TW_III,12,FALSE),IF($D$1=$AN$18,HLOOKUP("kdk pg",real_rku_TW_IV,12,FALSE),IF($D$1=$AN$19,HLOOKUP("kdk pg",real_rku_SM_I,12,FALSE),IF($D$1=$AN$20,HLOOKUP("kdk pg",real_rku_SM_II,12,FALSE),IF($D$1=$AN$21,HLOOKUP("kdk pg",real_rku_2013,12,FALSE),IF($D$1=$AN$22,HLOOKUP("kdk pg",real_rku_jan_apr,12,FALSE),IF($D$1=$AN$23,HLOOKUP("kdk pg",real_rku_jan_mei,12,FALSE),IF($D$1=$AN$24,HLOOKUP("kdk pg",real_rku_jan_jul,12,FALSE),IF($D$1=$AN$25,HLOOKUP("kdk pg",real_rku_jan_ags,12,FALSE),IF($D$1=$AN$26,HLOOKUP("kdk pg",real_rku_jan_sep,12,FALSE),IF($D$1=$AN$27,HLOOKUP("kdk pg",real_rku_jan_okt,12,FALSE),IF($D$1=$AN$28,HLOOKUP("kdk pg",real_rku_jan_nov,12,FALSE),0)))))))))))))))))))))))))))</f>
        <v>3300</v>
      </c>
      <c r="P26" s="88">
        <f>IF($D$1&lt;&gt;"",IF($D$1=$AN$3,HLOOKUP("kdk pg",real_rku_01.jan,13,FALSE),IF($D$1=$AN$4,HLOOKUP("kdk pg",real_rku_02.feb,13,FALSE),IF($D$1=$AN$5,HLOOKUP("kdk pg",real_rku_03.mar,13,FALSE),IF($D$1=$AN$6,HLOOKUP("kdk pg",real_rku_04.apr,13,FALSE),IF($D$1=$AN$7,HLOOKUP("kdk pg",real_rku_05.mei,13,FALSE),IF($D$1=$AN$8,HLOOKUP("kdk pg",real_rku_06.jun,13,FALSE),IF($D$1=$AN$9,HLOOKUP("kdk pg",real_rku_07.jul,13,FALSE),IF($D$1=$AN$10,HLOOKUP("kdk pg",real_rku_08.ags,13,FALSE),IF($D$1=$AN$11,HLOOKUP("kdk pg",real_rku_09.sep,13,FALSE),IF($D$1=$AN$12,HLOOKUP("kdk pg",real_rku_10.okt,13,FALSE),IF($D$1=$AN$13,HLOOKUP("kdk pg",real_rku_11.nov,13,FALSE),IF($D$1=$AN$14,HLOOKUP("kdk pg",real_rku_12.des,13,FALSE),IF($D$1=$AN$15,HLOOKUP("kdk pg",real_rku_TW_I,13,FALSE),IF($D$1=$AN$16,HLOOKUP("kdk pg",real_rku_TW_II,13,FALSE),IF($D$1=$AN$17,HLOOKUP("kdk pg",real_rku_TW_III,13,FALSE),IF($D$1=$AN$18,HLOOKUP("kdk pg",real_rku_TW_IV,13,FALSE),IF($D$1=$AN$19,HLOOKUP("kdk pg",real_rku_SM_I,13,FALSE),IF($D$1=$AN$20,HLOOKUP("kdk pg",real_rku_SM_II,13,FALSE),IF($D$1=$AN$21,HLOOKUP("kdk pg",real_rku_2013,13,FALSE),IF($D$1=$AN$22,HLOOKUP("kdk pg",real_rku_jan_apr,13,FALSE),IF($D$1=$AN$23,HLOOKUP("kdk pg",real_rku_jan_mei,13,FALSE),IF($D$1=$AN$24,HLOOKUP("kdk pg",real_rku_jan_jul,13,FALSE),IF($D$1=$AN$25,HLOOKUP("kdk pg",real_rku_jan_ags,13,FALSE),IF($D$1=$AN$26,HLOOKUP("kdk pg",real_rku_jan_sep,13,FALSE),IF($D$1=$AN$27,HLOOKUP("kdk pg",real_rku_jan_okt,13,FALSE),IF($D$1=$AN$28,HLOOKUP("kdk pg",real_rku_jan_nov,13,FALSE),0)))))))))))))))))))))))))))</f>
        <v>1450</v>
      </c>
      <c r="Q26" s="88">
        <f>IF($D$1&lt;&gt;"",IF($D$1=$AN$3,HLOOKUP("kdk pg",real_rku_01.jan,14,FALSE),IF($D$1=$AN$4,HLOOKUP("kdk pg",real_rku_02.feb,14,FALSE),IF($D$1=$AN$5,HLOOKUP("kdk pg",real_rku_03.mar,14,FALSE),IF($D$1=$AN$6,HLOOKUP("kdk pg",real_rku_04.apr,14,FALSE),IF($D$1=$AN$7,HLOOKUP("kdk pg",real_rku_05.mei,14,FALSE),IF($D$1=$AN$8,HLOOKUP("kdk pg",real_rku_06.jun,14,FALSE),IF($D$1=$AN$9,HLOOKUP("kdk pg",real_rku_07.jul,14,FALSE),IF($D$1=$AN$10,HLOOKUP("kdk pg",real_rku_08.ags,14,FALSE),IF($D$1=$AN$11,HLOOKUP("kdk pg",real_rku_09.sep,14,FALSE),IF($D$1=$AN$12,HLOOKUP("kdk pg",real_rku_10.okt,14,FALSE),IF($D$1=$AN$13,HLOOKUP("kdk pg",real_rku_11.nov,14,FALSE),IF($D$1=$AN$14,HLOOKUP("kdk pg",real_rku_12.des,14,FALSE),IF($D$1=$AN$15,HLOOKUP("kdk pg",real_rku_TW_I,14,FALSE),IF($D$1=$AN$16,HLOOKUP("kdk pg",real_rku_TW_II,14,FALSE),IF($D$1=$AN$17,HLOOKUP("kdk pg",real_rku_TW_III,14,FALSE),IF($D$1=$AN$18,HLOOKUP("kdk pg",real_rku_TW_IV,14,FALSE),IF($D$1=$AN$19,HLOOKUP("kdk pg",real_rku_SM_I,14,FALSE),IF($D$1=$AN$20,HLOOKUP("kdk pg",real_rku_SM_II,14,FALSE),IF($D$1=$AN$21,HLOOKUP("kdk pg",real_rku_2013,14,FALSE),IF($D$1=$AN$22,HLOOKUP("kdk pg",real_rku_jan_apr,14,FALSE),IF($D$1=$AN$23,HLOOKUP("kdk pg",real_rku_jan_mei,14,FALSE),IF($D$1=$AN$24,HLOOKUP("kdk pg",real_rku_jan_jul,14,FALSE),IF($D$1=$AN$25,HLOOKUP("kdk pg",real_rku_jan_ags,14,FALSE),IF($D$1=$AN$26,HLOOKUP("kdk pg",real_rku_jan_sep,14,FALSE),IF($D$1=$AN$27,HLOOKUP("kdk pg",real_rku_jan_okt,14,FALSE),IF($D$1=$AN$28,HLOOKUP("kdk pg",real_rku_jan_nov,14,FALSE),0)))))))))))))))))))))))))))</f>
        <v>0</v>
      </c>
      <c r="R26" s="89">
        <f>+SUM(M26:Q26)</f>
        <v>34125</v>
      </c>
      <c r="S26" s="88">
        <f>+R26+L26</f>
        <v>16137125</v>
      </c>
      <c r="T26" s="76"/>
      <c r="U26" s="86"/>
      <c r="V26" s="86"/>
      <c r="W26" s="87" t="s">
        <v>182</v>
      </c>
      <c r="X26" s="88">
        <f t="shared" si="23"/>
        <v>4110</v>
      </c>
      <c r="Y26" s="88">
        <f t="shared" si="23"/>
        <v>6180</v>
      </c>
      <c r="Z26" s="88">
        <f t="shared" si="23"/>
        <v>1300</v>
      </c>
      <c r="AA26" s="88">
        <f t="shared" si="23"/>
        <v>3150</v>
      </c>
      <c r="AB26" s="88">
        <f t="shared" si="23"/>
        <v>3680</v>
      </c>
      <c r="AC26" s="88">
        <f t="shared" si="23"/>
        <v>4400</v>
      </c>
      <c r="AD26" s="88">
        <f t="shared" si="23"/>
        <v>450</v>
      </c>
      <c r="AE26" s="89">
        <f>+SUM(X26:AD26)</f>
        <v>23270</v>
      </c>
      <c r="AF26" s="88">
        <f t="shared" si="24"/>
        <v>4350</v>
      </c>
      <c r="AG26" s="88">
        <f t="shared" si="24"/>
        <v>3050</v>
      </c>
      <c r="AH26" s="88">
        <f t="shared" si="24"/>
        <v>1650</v>
      </c>
      <c r="AI26" s="88">
        <f t="shared" si="24"/>
        <v>1450</v>
      </c>
      <c r="AJ26" s="88">
        <f t="shared" si="24"/>
        <v>0</v>
      </c>
      <c r="AK26" s="89">
        <f>+SUM(AF26:AJ26)</f>
        <v>10500</v>
      </c>
      <c r="AL26" s="88">
        <f>+AK26+AE26</f>
        <v>33770</v>
      </c>
      <c r="AM26" s="69"/>
      <c r="AN26" s="70" t="s">
        <v>202</v>
      </c>
    </row>
    <row r="27" spans="2:41" ht="15" x14ac:dyDescent="0.25">
      <c r="B27" s="86"/>
      <c r="C27" s="86"/>
      <c r="D27" s="87" t="s">
        <v>184</v>
      </c>
      <c r="E27" s="88">
        <f t="shared" ref="E27:K27" si="25">+E25-E26</f>
        <v>3168000</v>
      </c>
      <c r="F27" s="88">
        <f t="shared" si="25"/>
        <v>-2978000</v>
      </c>
      <c r="G27" s="88">
        <f t="shared" si="25"/>
        <v>-382000</v>
      </c>
      <c r="H27" s="88">
        <f t="shared" si="25"/>
        <v>-189600</v>
      </c>
      <c r="I27" s="88">
        <f t="shared" si="25"/>
        <v>-225400</v>
      </c>
      <c r="J27" s="88">
        <f t="shared" si="25"/>
        <v>-85800</v>
      </c>
      <c r="K27" s="88">
        <f t="shared" si="25"/>
        <v>1640</v>
      </c>
      <c r="L27" s="89">
        <f>+SUM(E27:K27)</f>
        <v>-691160</v>
      </c>
      <c r="M27" s="88">
        <f>+M25-M26</f>
        <v>1490</v>
      </c>
      <c r="N27" s="88">
        <f>+N25-N26</f>
        <v>1685</v>
      </c>
      <c r="O27" s="88">
        <f>+O25-O26</f>
        <v>156</v>
      </c>
      <c r="P27" s="88">
        <f>+P25-P26</f>
        <v>546</v>
      </c>
      <c r="Q27" s="88">
        <f>+Q25-Q26</f>
        <v>3</v>
      </c>
      <c r="R27" s="89">
        <f>+SUM(M27:Q27)</f>
        <v>3880</v>
      </c>
      <c r="S27" s="88">
        <f>+R27+L27</f>
        <v>-687280</v>
      </c>
      <c r="T27" s="88"/>
      <c r="U27" s="86"/>
      <c r="V27" s="86"/>
      <c r="W27" s="87" t="s">
        <v>184</v>
      </c>
      <c r="X27" s="88">
        <f t="shared" ref="X27:AD27" si="26">+X25-X26</f>
        <v>1584</v>
      </c>
      <c r="Y27" s="88">
        <f t="shared" si="26"/>
        <v>-2978</v>
      </c>
      <c r="Z27" s="88">
        <f t="shared" si="26"/>
        <v>-955</v>
      </c>
      <c r="AA27" s="88">
        <f t="shared" si="26"/>
        <v>-948</v>
      </c>
      <c r="AB27" s="88">
        <f t="shared" si="26"/>
        <v>-2254</v>
      </c>
      <c r="AC27" s="88">
        <f t="shared" si="26"/>
        <v>-2145</v>
      </c>
      <c r="AD27" s="88">
        <f t="shared" si="26"/>
        <v>82</v>
      </c>
      <c r="AE27" s="89">
        <f>+SUM(X27:AD27)</f>
        <v>-7614</v>
      </c>
      <c r="AF27" s="88">
        <f>+AF25-AF26</f>
        <v>298</v>
      </c>
      <c r="AG27" s="88">
        <f>+AG25-AG26</f>
        <v>674</v>
      </c>
      <c r="AH27" s="88">
        <f>+AH25-AH26</f>
        <v>78</v>
      </c>
      <c r="AI27" s="88">
        <f>+AI25-AI26</f>
        <v>546</v>
      </c>
      <c r="AJ27" s="88">
        <f>+AJ25-AJ26</f>
        <v>3</v>
      </c>
      <c r="AK27" s="89">
        <f>+SUM(AF27:AJ27)</f>
        <v>1599</v>
      </c>
      <c r="AL27" s="88">
        <f>+AK27+AE27</f>
        <v>-6015</v>
      </c>
      <c r="AM27" s="91">
        <f>+AL27/550</f>
        <v>-10.936363636363636</v>
      </c>
      <c r="AN27" s="70" t="s">
        <v>203</v>
      </c>
    </row>
    <row r="28" spans="2:41" ht="15" x14ac:dyDescent="0.25">
      <c r="B28" s="86"/>
      <c r="C28" s="112"/>
      <c r="D28" s="109" t="s">
        <v>186</v>
      </c>
      <c r="E28" s="110">
        <f t="shared" ref="E28:S28" si="27">IF(E25=0,"-",E26/E25)</f>
        <v>0.72181243414120122</v>
      </c>
      <c r="F28" s="110">
        <f t="shared" si="27"/>
        <v>1.9300437226733291</v>
      </c>
      <c r="G28" s="110">
        <f t="shared" si="27"/>
        <v>3.7681159420289854</v>
      </c>
      <c r="H28" s="110">
        <f t="shared" si="27"/>
        <v>1.430517711171662</v>
      </c>
      <c r="I28" s="110">
        <f t="shared" si="27"/>
        <v>2.5806451612903225</v>
      </c>
      <c r="J28" s="110">
        <f t="shared" si="27"/>
        <v>1.9512195121951219</v>
      </c>
      <c r="K28" s="110">
        <f t="shared" si="27"/>
        <v>0.84586466165413532</v>
      </c>
      <c r="L28" s="111">
        <f t="shared" si="27"/>
        <v>1.0448460404468254</v>
      </c>
      <c r="M28" s="110">
        <f t="shared" si="27"/>
        <v>0.93588640275387258</v>
      </c>
      <c r="N28" s="110">
        <f t="shared" si="27"/>
        <v>0.81901181525241673</v>
      </c>
      <c r="O28" s="110">
        <f t="shared" si="27"/>
        <v>0.95486111111111116</v>
      </c>
      <c r="P28" s="110">
        <f t="shared" si="27"/>
        <v>0.72645290581162325</v>
      </c>
      <c r="Q28" s="110">
        <f t="shared" si="27"/>
        <v>0</v>
      </c>
      <c r="R28" s="111">
        <f t="shared" si="27"/>
        <v>0.89790816997763456</v>
      </c>
      <c r="S28" s="110">
        <f t="shared" si="27"/>
        <v>1.0444845886803396</v>
      </c>
      <c r="T28" s="95">
        <f>+S28*$T$6</f>
        <v>0.73113921207623767</v>
      </c>
      <c r="U28" s="86"/>
      <c r="V28" s="112"/>
      <c r="W28" s="109" t="s">
        <v>186</v>
      </c>
      <c r="X28" s="110">
        <f t="shared" ref="X28:AL28" si="28">IF(X25=0,"-",X26/X25)</f>
        <v>0.72181243414120122</v>
      </c>
      <c r="Y28" s="110">
        <f t="shared" si="28"/>
        <v>1.9300437226733291</v>
      </c>
      <c r="Z28" s="110">
        <f t="shared" si="28"/>
        <v>3.7681159420289854</v>
      </c>
      <c r="AA28" s="110">
        <f t="shared" si="28"/>
        <v>1.430517711171662</v>
      </c>
      <c r="AB28" s="110">
        <f t="shared" si="28"/>
        <v>2.5806451612903225</v>
      </c>
      <c r="AC28" s="110">
        <f t="shared" si="28"/>
        <v>1.9512195121951219</v>
      </c>
      <c r="AD28" s="110">
        <f t="shared" si="28"/>
        <v>0.84586466165413532</v>
      </c>
      <c r="AE28" s="111">
        <f t="shared" si="28"/>
        <v>1.4863311190597854</v>
      </c>
      <c r="AF28" s="110">
        <f t="shared" si="28"/>
        <v>0.93588640275387258</v>
      </c>
      <c r="AG28" s="110">
        <f t="shared" si="28"/>
        <v>0.81901181525241673</v>
      </c>
      <c r="AH28" s="110">
        <f t="shared" si="28"/>
        <v>0.95486111111111116</v>
      </c>
      <c r="AI28" s="110">
        <f t="shared" si="28"/>
        <v>0.72645290581162325</v>
      </c>
      <c r="AJ28" s="110">
        <f t="shared" si="28"/>
        <v>0</v>
      </c>
      <c r="AK28" s="111">
        <f t="shared" si="28"/>
        <v>0.86784031738160183</v>
      </c>
      <c r="AL28" s="110">
        <f t="shared" si="28"/>
        <v>1.2167177085209873</v>
      </c>
      <c r="AM28" s="69"/>
      <c r="AN28" s="70" t="s">
        <v>204</v>
      </c>
    </row>
    <row r="29" spans="2:41" ht="14.25" x14ac:dyDescent="0.2">
      <c r="B29" s="103"/>
      <c r="C29" s="104"/>
      <c r="D29" s="104"/>
      <c r="E29" s="98">
        <f>+E28*$L$6</f>
        <v>0.21654373024236037</v>
      </c>
      <c r="F29" s="98">
        <f t="shared" ref="F29:K29" si="29">+F28*$L$6</f>
        <v>0.57901311680199874</v>
      </c>
      <c r="G29" s="98">
        <f t="shared" si="29"/>
        <v>1.1304347826086956</v>
      </c>
      <c r="H29" s="98">
        <f t="shared" si="29"/>
        <v>0.42915531335149859</v>
      </c>
      <c r="I29" s="98">
        <f t="shared" si="29"/>
        <v>0.77419354838709675</v>
      </c>
      <c r="J29" s="98">
        <f t="shared" si="29"/>
        <v>0.58536585365853655</v>
      </c>
      <c r="K29" s="98">
        <f t="shared" si="29"/>
        <v>0.25375939849624057</v>
      </c>
      <c r="L29" s="98"/>
      <c r="M29" s="98">
        <f t="shared" ref="M29:P29" si="30">+M28*$L$6</f>
        <v>0.28076592082616175</v>
      </c>
      <c r="N29" s="98">
        <f t="shared" si="30"/>
        <v>0.24570354457572502</v>
      </c>
      <c r="O29" s="98">
        <f t="shared" si="30"/>
        <v>0.28645833333333331</v>
      </c>
      <c r="P29" s="98">
        <f t="shared" si="30"/>
        <v>0.21793587174348697</v>
      </c>
      <c r="Q29" s="98"/>
      <c r="R29" s="106"/>
      <c r="S29" s="98">
        <f>+AVERAGE(E29:Q29)</f>
        <v>0.45448449218410308</v>
      </c>
      <c r="T29" s="100">
        <f>+S29+T28</f>
        <v>1.1856237042603408</v>
      </c>
      <c r="U29" s="103"/>
      <c r="V29" s="104"/>
      <c r="W29" s="104"/>
      <c r="X29" s="106"/>
      <c r="Y29" s="106"/>
      <c r="Z29" s="106"/>
      <c r="AA29" s="106"/>
      <c r="AB29" s="106"/>
      <c r="AC29" s="106"/>
      <c r="AD29" s="106"/>
      <c r="AE29" s="106">
        <f>+SUM(X29:AD29)</f>
        <v>0</v>
      </c>
      <c r="AF29" s="106"/>
      <c r="AG29" s="106"/>
      <c r="AH29" s="106"/>
      <c r="AI29" s="106"/>
      <c r="AJ29" s="106"/>
      <c r="AK29" s="106">
        <f>+SUM(AF29:AJ29)</f>
        <v>0</v>
      </c>
      <c r="AL29" s="106">
        <f>+AK29+AE29</f>
        <v>0</v>
      </c>
    </row>
    <row r="30" spans="2:41" ht="14.25" x14ac:dyDescent="0.2">
      <c r="B30" s="81">
        <v>5</v>
      </c>
      <c r="C30" s="83" t="s">
        <v>205</v>
      </c>
      <c r="D30" s="83" t="s">
        <v>180</v>
      </c>
      <c r="E30" s="84">
        <f>IF($D$1&lt;&gt;"",IF($D$1=$AN$3,HLOOKUP("btm",rku_01.jan,2,FALSE),IF($D$1=$AN$4,HLOOKUP("btm",rku_02.feb,2,FALSE),IF($D$1=$AN$5,HLOOKUP("btm",rku_03.mar,2,FALSE),IF($D$1=$AN$6,HLOOKUP("btm",rku_04.apr,2,FALSE),IF($D$1=$AN$7,HLOOKUP("btm",rku_05.mei,2,FALSE),IF($D$1=$AN$8,HLOOKUP("btm",rku_06.jun,2,FALSE),IF($D$1=$AN$9,HLOOKUP("btm",rku_07.jul,2,FALSE),IF($D$1=$AN$10,HLOOKUP("btm",rku_08.ags,2,FALSE),IF($D$1=$AN$11,HLOOKUP("btm",rku_09.sep,2,FALSE),IF($D$1=$AN$12,HLOOKUP("btm",rku_10.okt,2,FALSE),IF($D$1=$AN$13,HLOOKUP("btm",rku_11.nov,2,FALSE),IF($D$1=$AN$14,HLOOKUP("btm",rku_12.des,2,FALSE),IF($D$1=$AN$15,HLOOKUP("btm",rku_TW_I,2,FALSE),IF($D$1=$AN$16,HLOOKUP("btm",rku_TW_II,2,FALSE),IF($D$1=$AN$17,HLOOKUP("btm",rku_TW_III,2,FALSE),IF($D$1=$AN$18,HLOOKUP("btm",rku_TW_IV,2,FALSE),IF($D$1=$AN$19,HLOOKUP("btm",rku_SM_I,2,FALSE),IF($D$1=$AN$20,HLOOKUP("btm",rku_SM_II,2,FALSE),IF($D$1=$AN$21,HLOOKUP("btm",rku_2013,2,FALSE),IF($D$1=$AN$22,HLOOKUP("btm",rku_jan_apr,2,FALSE),IF($D$1=$AN$23,HLOOKUP("btm",rku_jan_mei,2,FALSE),IF($D$1=$AN$24,HLOOKUP("btm",rku_jan_jul,2,FALSE),IF($D$1=$AN$25,HLOOKUP("btm",rku_jan_ags,2,FALSE),IF($D$1=$AN$26,HLOOKUP("btm",rku_jan_sep,2,FALSE),IF($D$1=$AN$27,HLOOKUP("btm",rku_jan_okt,2,FALSE),IF($D$1=$AN$28,HLOOKUP("btm",rku_jan_nov,2,FALSE),0)))))))))))))))))))))))))))</f>
        <v>5560000</v>
      </c>
      <c r="F30" s="84">
        <f>IF($D$1&lt;&gt;"",IF($D$1=$AN$3,HLOOKUP("btm",rku_01.jan,3,FALSE),IF($D$1=$AN$4,HLOOKUP("btm",rku_02.feb,3,FALSE),IF($D$1=$AN$5,HLOOKUP("btm",rku_03.mar,3,FALSE),IF($D$1=$AN$6,HLOOKUP("btm",rku_04.apr,3,FALSE),IF($D$1=$AN$7,HLOOKUP("btm",rku_05.mei,3,FALSE),IF($D$1=$AN$8,HLOOKUP("btm",rku_06.jun,3,FALSE),IF($D$1=$AN$9,HLOOKUP("btm",rku_07.jul,3,FALSE),IF($D$1=$AN$10,HLOOKUP("btm",rku_08.ags,3,FALSE),IF($D$1=$AN$11,HLOOKUP("btm",rku_09.sep,3,FALSE),IF($D$1=$AN$12,HLOOKUP("btm",rku_10.okt,3,FALSE),IF($D$1=$AN$13,HLOOKUP("btm",rku_11.nov,3,FALSE),IF($D$1=$AN$14,HLOOKUP("btm",rku_12.des,3,FALSE),IF($D$1=$AN$15,HLOOKUP("btm",rku_TW_I,3,FALSE),IF($D$1=$AN$16,HLOOKUP("btm",rku_TW_II,3,FALSE),IF($D$1=$AN$17,HLOOKUP("btm",rku_TW_III,3,FALSE),IF($D$1=$AN$18,HLOOKUP("btm",rku_TW_IV,3,FALSE),IF($D$1=$AN$19,HLOOKUP("btm",rku_SM_I,3,FALSE),IF($D$1=$AN$20,HLOOKUP("btm",rku_SM_II,3,FALSE),IF($D$1=$AN$21,HLOOKUP("btm",rku_2013,3,FALSE),IF($D$1=$AN$22,HLOOKUP("btm",rku_jan_apr,3,FALSE),IF($D$1=$AN$23,HLOOKUP("btm",rku_jan_mei,3,FALSE),IF($D$1=$AN$24,HLOOKUP("btm",rku_jan_jul,3,FALSE),IF($D$1=$AN$25,HLOOKUP("btm",rku_jan_ags,3,FALSE),IF($D$1=$AN$26,HLOOKUP("btm",rku_jan_sep,3,FALSE),IF($D$1=$AN$27,HLOOKUP("btm",rku_jan_okt,3,FALSE),IF($D$1=$AN$28,HLOOKUP("btm",rku_jan_nov,3,FALSE),0)))))))))))))))))))))))))))</f>
        <v>3550000</v>
      </c>
      <c r="G30" s="84">
        <f>IF($D$1&lt;&gt;"",IF($D$1=$AN$3,HLOOKUP("btm",rku_01.jan,4,FALSE),IF($D$1=$AN$4,HLOOKUP("btm",rku_02.feb,4,FALSE),IF($D$1=$AN$5,HLOOKUP("btm",rku_03.mar,4,FALSE),IF($D$1=$AN$6,HLOOKUP("btm",rku_04.apr,4,FALSE),IF($D$1=$AN$7,HLOOKUP("btm",rku_05.mei,4,FALSE),IF($D$1=$AN$8,HLOOKUP("btm",rku_06.jun,4,FALSE),IF($D$1=$AN$9,HLOOKUP("btm",rku_07.jul,4,FALSE),IF($D$1=$AN$10,HLOOKUP("btm",rku_08.ags,4,FALSE),IF($D$1=$AN$11,HLOOKUP("btm",rku_09.sep,4,FALSE),IF($D$1=$AN$12,HLOOKUP("btm",rku_10.okt,4,FALSE),IF($D$1=$AN$13,HLOOKUP("btm",rku_11.nov,4,FALSE),IF($D$1=$AN$14,HLOOKUP("btm",rku_12.des,4,FALSE),IF($D$1=$AN$15,HLOOKUP("btm",rku_TW_I,4,FALSE),IF($D$1=$AN$16,HLOOKUP("btm",rku_TW_II,4,FALSE),IF($D$1=$AN$17,HLOOKUP("btm",rku_TW_III,4,FALSE),IF($D$1=$AN$18,HLOOKUP("btm",rku_TW_IV,4,FALSE),IF($D$1=$AN$19,HLOOKUP("btm",rku_SM_I,4,FALSE),IF($D$1=$AN$20,HLOOKUP("btm",rku_SM_II,4,FALSE),IF($D$1=$AN$21,HLOOKUP("btm",rku_2013,4,FALSE),IF($D$1=$AN$22,HLOOKUP("btm",rku_jan_apr,4,FALSE),IF($D$1=$AN$23,HLOOKUP("btm",rku_jan_mei,4,FALSE),IF($D$1=$AN$24,HLOOKUP("btm",rku_jan_jul,4,FALSE),IF($D$1=$AN$25,HLOOKUP("btm",rku_jan_ags,4,FALSE),IF($D$1=$AN$26,HLOOKUP("btm",rku_jan_sep,4,FALSE),IF($D$1=$AN$27,HLOOKUP("btm",rku_jan_okt,4,FALSE),IF($D$1=$AN$28,HLOOKUP("btm",rku_jan_nov,4,FALSE),0)))))))))))))))))))))))))))</f>
        <v>-60400</v>
      </c>
      <c r="H30" s="84">
        <f>IF($D$1&lt;&gt;"",IF($D$1=$AN$3,HLOOKUP("btm",rku_01.jan,5,FALSE),IF($D$1=$AN$4,HLOOKUP("btm",rku_02.feb,5,FALSE),IF($D$1=$AN$5,HLOOKUP("btm",rku_03.mar,5,FALSE),IF($D$1=$AN$6,HLOOKUP("btm",rku_04.apr,5,FALSE),IF($D$1=$AN$7,HLOOKUP("btm",rku_05.mei,5,FALSE),IF($D$1=$AN$8,HLOOKUP("btm",rku_06.jun,5,FALSE),IF($D$1=$AN$9,HLOOKUP("btm",rku_07.jul,5,FALSE),IF($D$1=$AN$10,HLOOKUP("btm",rku_08.ags,5,FALSE),IF($D$1=$AN$11,HLOOKUP("btm",rku_09.sep,5,FALSE),IF($D$1=$AN$12,HLOOKUP("btm",rku_10.okt,5,FALSE),IF($D$1=$AN$13,HLOOKUP("btm",rku_11.nov,5,FALSE),IF($D$1=$AN$14,HLOOKUP("btm",rku_12.des,5,FALSE),IF($D$1=$AN$15,HLOOKUP("btm",rku_TW_I,5,FALSE),IF($D$1=$AN$16,HLOOKUP("btm",rku_TW_II,5,FALSE),IF($D$1=$AN$17,HLOOKUP("btm",rku_TW_III,5,FALSE),IF($D$1=$AN$18,HLOOKUP("btm",rku_TW_IV,5,FALSE),IF($D$1=$AN$19,HLOOKUP("btm",rku_SM_I,5,FALSE),IF($D$1=$AN$20,HLOOKUP("btm",rku_SM_II,5,FALSE),IF($D$1=$AN$21,HLOOKUP("btm",rku_2013,5,FALSE),IF($D$1=$AN$22,HLOOKUP("btm",rku_jan_apr,5,FALSE),IF($D$1=$AN$23,HLOOKUP("btm",rku_jan_mei,5,FALSE),IF($D$1=$AN$24,HLOOKUP("btm",rku_jan_jul,5,FALSE),IF($D$1=$AN$25,HLOOKUP("btm",rku_jan_ags,5,FALSE),IF($D$1=$AN$26,HLOOKUP("btm",rku_jan_sep,5,FALSE),IF($D$1=$AN$27,HLOOKUP("btm",rku_jan_okt,5,FALSE),IF($D$1=$AN$28,HLOOKUP("btm",rku_jan_nov,5,FALSE),0)))))))))))))))))))))))))))</f>
        <v>-400</v>
      </c>
      <c r="I30" s="84">
        <f>IF($D$1&lt;&gt;"",IF($D$1=$AN$3,HLOOKUP("btm",rku_01.jan,6,FALSE),IF($D$1=$AN$4,HLOOKUP("btm",rku_02.feb,6,FALSE),IF($D$1=$AN$5,HLOOKUP("btm",rku_03.mar,6,FALSE),IF($D$1=$AN$6,HLOOKUP("btm",rku_04.apr,6,FALSE),IF($D$1=$AN$7,HLOOKUP("btm",rku_05.mei,6,FALSE),IF($D$1=$AN$8,HLOOKUP("btm",rku_06.jun,6,FALSE),IF($D$1=$AN$9,HLOOKUP("btm",rku_07.jul,6,FALSE),IF($D$1=$AN$10,HLOOKUP("btm",rku_08.ags,6,FALSE),IF($D$1=$AN$11,HLOOKUP("btm",rku_09.sep,6,FALSE),IF($D$1=$AN$12,HLOOKUP("btm",rku_10.okt,6,FALSE),IF($D$1=$AN$13,HLOOKUP("btm",rku_11.nov,6,FALSE),IF($D$1=$AN$14,HLOOKUP("btm",rku_12.des,6,FALSE),IF($D$1=$AN$15,HLOOKUP("btm",rku_TW_I,6,FALSE),IF($D$1=$AN$16,HLOOKUP("btm",rku_TW_II,6,FALSE),IF($D$1=$AN$17,HLOOKUP("btm",rku_TW_III,6,FALSE),IF($D$1=$AN$18,HLOOKUP("btm",rku_TW_IV,6,FALSE),IF($D$1=$AN$19,HLOOKUP("btm",rku_SM_I,6,FALSE),IF($D$1=$AN$20,HLOOKUP("btm",rku_SM_II,6,FALSE),IF($D$1=$AN$21,HLOOKUP("btm",rku_2013,6,FALSE),IF($D$1=$AN$22,HLOOKUP("btm",rku_jan_apr,6,FALSE),IF($D$1=$AN$23,HLOOKUP("btm",rku_jan_mei,6,FALSE),IF($D$1=$AN$24,HLOOKUP("btm",rku_jan_jul,6,FALSE),IF($D$1=$AN$25,HLOOKUP("btm",rku_jan_ags,6,FALSE),IF($D$1=$AN$26,HLOOKUP("btm",rku_jan_sep,6,FALSE),IF($D$1=$AN$27,HLOOKUP("btm",rku_jan_okt,6,FALSE),IF($D$1=$AN$28,HLOOKUP("btm",rku_jan_nov,6,FALSE),0)))))))))))))))))))))))))))</f>
        <v>34000</v>
      </c>
      <c r="J30" s="84">
        <f>IF($D$1&lt;&gt;"",IF($D$1=$AN$3,HLOOKUP("btm",rku_01.jan,7,FALSE),IF($D$1=$AN$4,HLOOKUP("btm",rku_02.feb,7,FALSE),IF($D$1=$AN$5,HLOOKUP("btm",rku_03.mar,7,FALSE),IF($D$1=$AN$6,HLOOKUP("btm",rku_04.apr,7,FALSE),IF($D$1=$AN$7,HLOOKUP("btm",rku_05.mei,7,FALSE),IF($D$1=$AN$8,HLOOKUP("btm",rku_06.jun,7,FALSE),IF($D$1=$AN$9,HLOOKUP("btm",rku_07.jul,7,FALSE),IF($D$1=$AN$10,HLOOKUP("btm",rku_08.ags,7,FALSE),IF($D$1=$AN$11,HLOOKUP("btm",rku_09.sep,7,FALSE),IF($D$1=$AN$12,HLOOKUP("btm",rku_10.okt,7,FALSE),IF($D$1=$AN$13,HLOOKUP("btm",rku_11.nov,7,FALSE),IF($D$1=$AN$14,HLOOKUP("btm",rku_12.des,7,FALSE),IF($D$1=$AN$15,HLOOKUP("btm",rku_TW_I,7,FALSE),IF($D$1=$AN$16,HLOOKUP("btm",rku_TW_II,7,FALSE),IF($D$1=$AN$17,HLOOKUP("btm",rku_TW_III,7,FALSE),IF($D$1=$AN$18,HLOOKUP("btm",rku_TW_IV,7,FALSE),IF($D$1=$AN$19,HLOOKUP("btm",rku_SM_I,7,FALSE),IF($D$1=$AN$20,HLOOKUP("btm",rku_SM_II,7,FALSE),IF($D$1=$AN$21,HLOOKUP("btm",rku_2013,7,FALSE),IF($D$1=$AN$22,HLOOKUP("btm",rku_jan_apr,7,FALSE),IF($D$1=$AN$23,HLOOKUP("btm",rku_jan_mei,7,FALSE),IF($D$1=$AN$24,HLOOKUP("btm",rku_jan_jul,7,FALSE),IF($D$1=$AN$25,HLOOKUP("btm",rku_jan_ags,7,FALSE),IF($D$1=$AN$26,HLOOKUP("btm",rku_jan_sep,7,FALSE),IF($D$1=$AN$27,HLOOKUP("btm",rku_jan_okt,7,FALSE),IF($D$1=$AN$28,HLOOKUP("btm",rku_jan_nov,7,FALSE),0)))))))))))))))))))))))))))</f>
        <v>23960</v>
      </c>
      <c r="K30" s="84">
        <f>IF($D$1&lt;&gt;"",IF($D$1=$AN$3,HLOOKUP("btm",rku_01.jan,8,FALSE),IF($D$1=$AN$4,HLOOKUP("btm",rku_02.feb,8,FALSE),IF($D$1=$AN$5,HLOOKUP("btm",rku_03.mar,8,FALSE),IF($D$1=$AN$6,HLOOKUP("btm",rku_04.apr,8,FALSE),IF($D$1=$AN$7,HLOOKUP("btm",rku_05.mei,8,FALSE),IF($D$1=$AN$8,HLOOKUP("btm",rku_06.jun,8,FALSE),IF($D$1=$AN$9,HLOOKUP("btm",rku_07.jul,8,FALSE),IF($D$1=$AN$10,HLOOKUP("btm",rku_08.ags,8,FALSE),IF($D$1=$AN$11,HLOOKUP("btm",rku_09.sep,8,FALSE),IF($D$1=$AN$12,HLOOKUP("btm",rku_10.okt,8,FALSE),IF($D$1=$AN$13,HLOOKUP("btm",rku_11.nov,8,FALSE),IF($D$1=$AN$14,HLOOKUP("btm",rku_12.des,8,FALSE),IF($D$1=$AN$15,HLOOKUP("btm",rku_TW_I,8,FALSE),IF($D$1=$AN$16,HLOOKUP("btm",rku_TW_II,8,FALSE),IF($D$1=$AN$17,HLOOKUP("btm",rku_TW_III,8,FALSE),IF($D$1=$AN$18,HLOOKUP("btm",rku_TW_IV,8,FALSE),IF($D$1=$AN$19,HLOOKUP("btm",rku_SM_I,8,FALSE),IF($D$1=$AN$20,HLOOKUP("btm",rku_SM_II,8,FALSE),IF($D$1=$AN$21,HLOOKUP("btm",rku_2013,8,FALSE),IF($D$1=$AN$22,HLOOKUP("btm",rku_jan_apr,8,FALSE),IF($D$1=$AN$23,HLOOKUP("btm",rku_jan_mei,8,FALSE),IF($D$1=$AN$24,HLOOKUP("btm",rku_jan_jul,8,FALSE),IF($D$1=$AN$25,HLOOKUP("btm",rku_jan_ags,8,FALSE),IF($D$1=$AN$26,HLOOKUP("btm",rku_jan_sep,8,FALSE),IF($D$1=$AN$27,HLOOKUP("btm",rku_jan_okt,8,FALSE),IF($D$1=$AN$28,HLOOKUP("btm",rku_jan_nov,8,FALSE),0)))))))))))))))))))))))))))</f>
        <v>4000</v>
      </c>
      <c r="L30" s="85">
        <f>+SUM(E30:K30)</f>
        <v>9111160</v>
      </c>
      <c r="M30" s="84">
        <f>IF($D$1&lt;&gt;"",IF($D$1=$AN$3,HLOOKUP("btm",rku_01.jan,10,FALSE),IF($D$1=$AN$4,HLOOKUP("btm",rku_02.feb,10,FALSE),IF($D$1=$AN$5,HLOOKUP("btm",rku_03.mar,10,FALSE),IF($D$1=$AN$6,HLOOKUP("btm",rku_04.apr,10,FALSE),IF($D$1=$AN$7,HLOOKUP("btm",rku_05.mei,10,FALSE),IF($D$1=$AN$8,HLOOKUP("btm",rku_06.jun,10,FALSE),IF($D$1=$AN$9,HLOOKUP("btm",rku_07.jul,10,FALSE),IF($D$1=$AN$10,HLOOKUP("btm",rku_08.ags,10,FALSE),IF($D$1=$AN$11,HLOOKUP("btm",rku_09.sep,10,FALSE),IF($D$1=$AN$12,HLOOKUP("btm",rku_10.okt,10,FALSE),IF($D$1=$AN$13,HLOOKUP("btm",rku_11.nov,10,FALSE),IF($D$1=$AN$14,HLOOKUP("btm",rku_12.des,10,FALSE),IF($D$1=$AN$15,HLOOKUP("btm",rku_TW_I,10,FALSE),IF($D$1=$AN$16,HLOOKUP("btm",rku_TW_II,10,FALSE),IF($D$1=$AN$17,HLOOKUP("btm",rku_TW_III,10,FALSE),IF($D$1=$AN$18,HLOOKUP("btm",rku_TW_IV,10,FALSE),IF($D$1=$AN$19,HLOOKUP("btm",rku_SM_I,10,FALSE),IF($D$1=$AN$20,HLOOKUP("btm",rku_SM_II,10,FALSE),IF($D$1=$AN$21,HLOOKUP("btm",rku_2013,10,FALSE),IF($D$1=$AN$22,HLOOKUP("btm",rku_jan_apr,10,FALSE),IF($D$1=$AN$23,HLOOKUP("btm",rku_jan_mei,10,FALSE),IF($D$1=$AN$24,HLOOKUP("btm",rku_jan_jul,10,FALSE),IF($D$1=$AN$25,HLOOKUP("btm",rku_jan_ags,10,FALSE),IF($D$1=$AN$26,HLOOKUP("btm",rku_jan_sep,10,FALSE),IF($D$1=$AN$27,HLOOKUP("btm",rku_jan_okt,10,FALSE),IF($D$1=$AN$28,HLOOKUP("btm",rku_jan_nov,10,FALSE),0)))))))))))))))))))))))))))</f>
        <v>4110</v>
      </c>
      <c r="N30" s="84">
        <f>IF($D$1&lt;&gt;"",IF($D$1=$AN$3,HLOOKUP("btm",rku_01.jan,11,FALSE),IF($D$1=$AN$4,HLOOKUP("btm",rku_02.feb,11,FALSE),IF($D$1=$AN$5,HLOOKUP("btm",rku_03.mar,11,FALSE),IF($D$1=$AN$6,HLOOKUP("btm",rku_04.apr,11,FALSE),IF($D$1=$AN$7,HLOOKUP("btm",rku_05.mei,11,FALSE),IF($D$1=$AN$8,HLOOKUP("btm",rku_06.jun,11,FALSE),IF($D$1=$AN$9,HLOOKUP("btm",rku_07.jul,11,FALSE),IF($D$1=$AN$10,HLOOKUP("btm",rku_08.ags,11,FALSE),IF($D$1=$AN$11,HLOOKUP("btm",rku_09.sep,11,FALSE),IF($D$1=$AN$12,HLOOKUP("btm",rku_10.okt,11,FALSE),IF($D$1=$AN$13,HLOOKUP("btm",rku_11.nov,11,FALSE),IF($D$1=$AN$14,HLOOKUP("btm",rku_12.des,11,FALSE),IF($D$1=$AN$15,HLOOKUP("btm",rku_TW_I,11,FALSE),IF($D$1=$AN$16,HLOOKUP("btm",rku_TW_II,11,FALSE),IF($D$1=$AN$17,HLOOKUP("btm",rku_TW_III,11,FALSE),IF($D$1=$AN$18,HLOOKUP("btm",rku_TW_IV,11,FALSE),IF($D$1=$AN$19,HLOOKUP("btm",rku_SM_I,11,FALSE),IF($D$1=$AN$20,HLOOKUP("btm",rku_SM_II,11,FALSE),IF($D$1=$AN$21,HLOOKUP("btm",rku_2013,11,FALSE),IF($D$1=$AN$22,HLOOKUP("btm",rku_jan_apr,11,FALSE),IF($D$1=$AN$23,HLOOKUP("btm",rku_jan_mei,11,FALSE),IF($D$1=$AN$24,HLOOKUP("btm",rku_jan_jul,11,FALSE),IF($D$1=$AN$25,HLOOKUP("btm",rku_jan_ags,11,FALSE),IF($D$1=$AN$26,HLOOKUP("btm",rku_jan_sep,11,FALSE),IF($D$1=$AN$27,HLOOKUP("btm",rku_jan_okt,11,FALSE),IF($D$1=$AN$28,HLOOKUP("btm",rku_jan_nov,11,FALSE),0)))))))))))))))))))))))))))</f>
        <v>2825</v>
      </c>
      <c r="O30" s="84">
        <f>IF($D$1&lt;&gt;"",IF($D$1=$AN$3,HLOOKUP("btm",rku_01.jan,12,FALSE),IF($D$1=$AN$4,HLOOKUP("btm",rku_02.feb,12,FALSE),IF($D$1=$AN$5,HLOOKUP("btm",rku_03.mar,12,FALSE),IF($D$1=$AN$6,HLOOKUP("btm",rku_04.apr,12,FALSE),IF($D$1=$AN$7,HLOOKUP("btm",rku_05.mei,12,FALSE),IF($D$1=$AN$8,HLOOKUP("btm",rku_06.jun,12,FALSE),IF($D$1=$AN$9,HLOOKUP("btm",rku_07.jul,12,FALSE),IF($D$1=$AN$10,HLOOKUP("btm",rku_08.ags,12,FALSE),IF($D$1=$AN$11,HLOOKUP("btm",rku_09.sep,12,FALSE),IF($D$1=$AN$12,HLOOKUP("btm",rku_10.okt,12,FALSE),IF($D$1=$AN$13,HLOOKUP("btm",rku_11.nov,12,FALSE),IF($D$1=$AN$14,HLOOKUP("btm",rku_12.des,12,FALSE),IF($D$1=$AN$15,HLOOKUP("btm",rku_TW_I,12,FALSE),IF($D$1=$AN$16,HLOOKUP("btm",rku_TW_II,12,FALSE),IF($D$1=$AN$17,HLOOKUP("btm",rku_TW_III,12,FALSE),IF($D$1=$AN$18,HLOOKUP("btm",rku_TW_IV,12,FALSE),IF($D$1=$AN$19,HLOOKUP("btm",rku_SM_I,12,FALSE),IF($D$1=$AN$20,HLOOKUP("btm",rku_SM_II,12,FALSE),IF($D$1=$AN$21,HLOOKUP("btm",rku_2013,12,FALSE),IF($D$1=$AN$22,HLOOKUP("btm",rku_jan_apr,12,FALSE),IF($D$1=$AN$23,HLOOKUP("btm",rku_jan_mei,12,FALSE),IF($D$1=$AN$24,HLOOKUP("btm",rku_jan_jul,12,FALSE),IF($D$1=$AN$25,HLOOKUP("btm",rku_jan_ags,12,FALSE),IF($D$1=$AN$26,HLOOKUP("btm",rku_jan_sep,12,FALSE),IF($D$1=$AN$27,HLOOKUP("btm",rku_jan_okt,12,FALSE),IF($D$1=$AN$28,HLOOKUP("btm",rku_jan_nov,12,FALSE),0)))))))))))))))))))))))))))</f>
        <v>1704</v>
      </c>
      <c r="P30" s="84">
        <f>IF($D$1&lt;&gt;"",IF($D$1=$AN$3,HLOOKUP("btm",rku_01.jan,13,FALSE),IF($D$1=$AN$4,HLOOKUP("btm",rku_02.feb,13,FALSE),IF($D$1=$AN$5,HLOOKUP("btm",rku_03.mar,13,FALSE),IF($D$1=$AN$6,HLOOKUP("btm",rku_04.apr,13,FALSE),IF($D$1=$AN$7,HLOOKUP("btm",rku_05.mei,13,FALSE),IF($D$1=$AN$8,HLOOKUP("btm",rku_06.jun,13,FALSE),IF($D$1=$AN$9,HLOOKUP("btm",rku_07.jul,13,FALSE),IF($D$1=$AN$10,HLOOKUP("btm",rku_08.ags,13,FALSE),IF($D$1=$AN$11,HLOOKUP("btm",rku_09.sep,13,FALSE),IF($D$1=$AN$12,HLOOKUP("btm",rku_10.okt,13,FALSE),IF($D$1=$AN$13,HLOOKUP("btm",rku_11.nov,13,FALSE),IF($D$1=$AN$14,HLOOKUP("btm",rku_12.des,13,FALSE),IF($D$1=$AN$15,HLOOKUP("btm",rku_TW_I,13,FALSE),IF($D$1=$AN$16,HLOOKUP("btm",rku_TW_II,13,FALSE),IF($D$1=$AN$17,HLOOKUP("btm",rku_TW_III,13,FALSE),IF($D$1=$AN$18,HLOOKUP("btm",rku_TW_IV,13,FALSE),IF($D$1=$AN$19,HLOOKUP("btm",rku_SM_I,13,FALSE),IF($D$1=$AN$20,HLOOKUP("btm",rku_SM_II,13,FALSE),IF($D$1=$AN$21,HLOOKUP("btm",rku_2013,13,FALSE),IF($D$1=$AN$22,HLOOKUP("btm",rku_jan_apr,13,FALSE),IF($D$1=$AN$23,HLOOKUP("btm",rku_jan_mei,13,FALSE),IF($D$1=$AN$24,HLOOKUP("btm",rku_jan_jul,13,FALSE),IF($D$1=$AN$25,HLOOKUP("btm",rku_jan_ags,13,FALSE),IF($D$1=$AN$26,HLOOKUP("btm",rku_jan_sep,13,FALSE),IF($D$1=$AN$27,HLOOKUP("btm",rku_jan_okt,13,FALSE),IF($D$1=$AN$28,HLOOKUP("btm",rku_jan_nov,13,FALSE),0)))))))))))))))))))))))))))</f>
        <v>926</v>
      </c>
      <c r="Q30" s="84">
        <f>IF($D$1&lt;&gt;"",IF($D$1=$AN$3,HLOOKUP("btm",rku_01.jan,14,FALSE),IF($D$1=$AN$4,HLOOKUP("btm",rku_02.feb,14,FALSE),IF($D$1=$AN$5,HLOOKUP("btm",rku_03.mar,14,FALSE),IF($D$1=$AN$6,HLOOKUP("btm",rku_04.apr,14,FALSE),IF($D$1=$AN$7,HLOOKUP("btm",rku_05.mei,14,FALSE),IF($D$1=$AN$8,HLOOKUP("btm",rku_06.jun,14,FALSE),IF($D$1=$AN$9,HLOOKUP("btm",rku_07.jul,14,FALSE),IF($D$1=$AN$10,HLOOKUP("btm",rku_08.ags,14,FALSE),IF($D$1=$AN$11,HLOOKUP("btm",rku_09.sep,14,FALSE),IF($D$1=$AN$12,HLOOKUP("btm",rku_10.okt,14,FALSE),IF($D$1=$AN$13,HLOOKUP("btm",rku_11.nov,14,FALSE),IF($D$1=$AN$14,HLOOKUP("btm",rku_12.des,14,FALSE),IF($D$1=$AN$15,HLOOKUP("btm",rku_TW_I,14,FALSE),IF($D$1=$AN$16,HLOOKUP("btm",rku_TW_II,14,FALSE),IF($D$1=$AN$17,HLOOKUP("btm",rku_TW_III,14,FALSE),IF($D$1=$AN$18,HLOOKUP("btm",rku_TW_IV,14,FALSE),IF($D$1=$AN$19,HLOOKUP("btm",rku_SM_I,14,FALSE),IF($D$1=$AN$20,HLOOKUP("btm",rku_SM_II,14,FALSE),IF($D$1=$AN$21,HLOOKUP("btm",rku_2013,14,FALSE),IF($D$1=$AN$22,HLOOKUP("btm",rku_jan_apr,14,FALSE),IF($D$1=$AN$23,HLOOKUP("btm",rku_jan_mei,14,FALSE),IF($D$1=$AN$24,HLOOKUP("btm",rku_jan_jul,14,FALSE),IF($D$1=$AN$25,HLOOKUP("btm",rku_jan_ags,14,FALSE),IF($D$1=$AN$26,HLOOKUP("btm",rku_jan_sep,14,FALSE),IF($D$1=$AN$27,HLOOKUP("btm",rku_jan_okt,14,FALSE),IF($D$1=$AN$28,HLOOKUP("btm",rku_jan_nov,14,FALSE),0)))))))))))))))))))))))))))</f>
        <v>0</v>
      </c>
      <c r="R30" s="85">
        <f>+SUM(M30:Q30)</f>
        <v>9565</v>
      </c>
      <c r="S30" s="84">
        <f>+R30+L30</f>
        <v>9120725</v>
      </c>
      <c r="U30" s="81">
        <v>5</v>
      </c>
      <c r="V30" s="83" t="s">
        <v>205</v>
      </c>
      <c r="W30" s="83" t="s">
        <v>180</v>
      </c>
      <c r="X30" s="84">
        <f t="shared" ref="X30:AD31" si="31">E30/X$100</f>
        <v>2780</v>
      </c>
      <c r="Y30" s="84">
        <f t="shared" si="31"/>
        <v>3550</v>
      </c>
      <c r="Z30" s="84">
        <f t="shared" si="31"/>
        <v>-151</v>
      </c>
      <c r="AA30" s="84">
        <f t="shared" si="31"/>
        <v>-2</v>
      </c>
      <c r="AB30" s="84">
        <f t="shared" si="31"/>
        <v>340</v>
      </c>
      <c r="AC30" s="84">
        <f t="shared" si="31"/>
        <v>599</v>
      </c>
      <c r="AD30" s="84">
        <f t="shared" si="31"/>
        <v>200</v>
      </c>
      <c r="AE30" s="85">
        <f>+SUM(X30:AD30)</f>
        <v>7316</v>
      </c>
      <c r="AF30" s="84">
        <f t="shared" ref="AF30:AJ31" si="32">M30/AF$100</f>
        <v>822</v>
      </c>
      <c r="AG30" s="84">
        <f t="shared" si="32"/>
        <v>1130</v>
      </c>
      <c r="AH30" s="84">
        <f t="shared" si="32"/>
        <v>852</v>
      </c>
      <c r="AI30" s="84">
        <f t="shared" si="32"/>
        <v>926</v>
      </c>
      <c r="AJ30" s="84">
        <f t="shared" si="32"/>
        <v>0</v>
      </c>
      <c r="AK30" s="85">
        <f>+SUM(AF30:AJ30)</f>
        <v>3730</v>
      </c>
      <c r="AL30" s="84">
        <f>+AK30+AE30</f>
        <v>11046</v>
      </c>
    </row>
    <row r="31" spans="2:41" ht="14.25" x14ac:dyDescent="0.2">
      <c r="B31" s="86"/>
      <c r="C31" s="87"/>
      <c r="D31" s="87" t="s">
        <v>182</v>
      </c>
      <c r="E31" s="88">
        <f>IF($D$1&lt;&gt;"",IF($D$1=$AN$3,HLOOKUP("btm",real_rku_01.jan,2,FALSE),IF($D$1=$AN$4,HLOOKUP("btm",real_rku_02.feb,2,FALSE),IF($D$1=$AN$5,HLOOKUP("btm",real_rku_03.mar,2,FALSE),IF($D$1=$AN$6,HLOOKUP("btm",real_rku_04.apr,2,FALSE),IF($D$1=$AN$7,HLOOKUP("btm",real_rku_05.mei,2,FALSE),IF($D$1=$AN$8,HLOOKUP("btm",real_rku_06.jun,2,FALSE),IF($D$1=$AN$9,HLOOKUP("btm",real_rku_07.jul,2,FALSE),IF($D$1=$AN$10,HLOOKUP("btm",real_rku_08.ags,2,FALSE),IF($D$1=$AN$11,HLOOKUP("btm",real_rku_09.sep,2,FALSE),IF($D$1=$AN$12,HLOOKUP("btm",real_rku_10.okt,2,FALSE),IF($D$1=$AN$13,HLOOKUP("btm",real_rku_11.nov,2,FALSE),IF($D$1=$AN$14,HLOOKUP("btm",real_rku_12.des,2,FALSE),IF($D$1=$AN$15,HLOOKUP("btm",real_rku_TW_I,2,FALSE),IF($D$1=$AN$16,HLOOKUP("btm",real_rku_TW_II,2,FALSE),IF($D$1=$AN$17,HLOOKUP("btm",real_rku_TW_III,2,FALSE),IF($D$1=$AN$18,HLOOKUP("btm",real_rku_TW_IV,2,FALSE),IF($D$1=$AN$19,HLOOKUP("btm",real_rku_SM_I,2,FALSE),IF($D$1=$AN$20,HLOOKUP("btm",real_rku_SM_II,2,FALSE),IF($D$1=$AN$21,HLOOKUP("btm",real_rku_2013,2,FALSE),IF($D$1=$AN$22,HLOOKUP("btm",real_rku_jan_apr,2,FALSE),IF($D$1=$AN$23,HLOOKUP("btm",real_rku_jan_mei,2,FALSE),IF($D$1=$AN$24,HLOOKUP("btm",real_rku_jan_jul,2,FALSE),IF($D$1=$AN$25,HLOOKUP("btm",real_rku_jan_ags,2,FALSE),IF($D$1=$AN$26,HLOOKUP("btm",real_rku_jan_sep,2,FALSE),IF($D$1=$AN$27,HLOOKUP("btm",real_rku_jan_okt,2,FALSE),IF($D$1=$AN$28,HLOOKUP("btm",real_rku_jan_nov,2,FALSE),0)))))))))))))))))))))))))))</f>
        <v>5200000</v>
      </c>
      <c r="F31" s="88">
        <f>IF($D$1&lt;&gt;"",IF($D$1=$AN$3,HLOOKUP("btm",real_rku_01.jan,3,FALSE),IF($D$1=$AN$4,HLOOKUP("btm",real_rku_02.feb,3,FALSE),IF($D$1=$AN$5,HLOOKUP("btm",real_rku_03.mar,3,FALSE),IF($D$1=$AN$6,HLOOKUP("btm",real_rku_04.apr,3,FALSE),IF($D$1=$AN$7,HLOOKUP("btm",real_rku_05.mei,3,FALSE),IF($D$1=$AN$8,HLOOKUP("btm",real_rku_06.jun,3,FALSE),IF($D$1=$AN$9,HLOOKUP("btm",real_rku_07.jul,3,FALSE),IF($D$1=$AN$10,HLOOKUP("btm",real_rku_08.ags,3,FALSE),IF($D$1=$AN$11,HLOOKUP("btm",real_rku_09.sep,3,FALSE),IF($D$1=$AN$12,HLOOKUP("btm",real_rku_10.okt,3,FALSE),IF($D$1=$AN$13,HLOOKUP("btm",real_rku_11.nov,3,FALSE),IF($D$1=$AN$14,HLOOKUP("btm",real_rku_12.des,3,FALSE),IF($D$1=$AN$15,HLOOKUP("btm",real_rku_TW_I,3,FALSE),IF($D$1=$AN$16,HLOOKUP("btm",real_rku_TW_II,3,FALSE),IF($D$1=$AN$17,HLOOKUP("btm",real_rku_TW_III,3,FALSE),IF($D$1=$AN$18,HLOOKUP("btm",real_rku_TW_IV,3,FALSE),IF($D$1=$AN$19,HLOOKUP("btm",real_rku_SM_I,3,FALSE),IF($D$1=$AN$20,HLOOKUP("btm",real_rku_SM_II,3,FALSE),IF($D$1=$AN$21,HLOOKUP("btm",real_rku_2013,3,FALSE),IF($D$1=$AN$22,HLOOKUP("btm",real_rku_jan_apr,3,FALSE),IF($D$1=$AN$23,HLOOKUP("btm",real_rku_jan_mei,3,FALSE),IF($D$1=$AN$24,HLOOKUP("btm",real_rku_jan_jul,3,FALSE),IF($D$1=$AN$25,HLOOKUP("btm",real_rku_jan_ags,3,FALSE),IF($D$1=$AN$26,HLOOKUP("btm",real_rku_jan_sep,3,FALSE),IF($D$1=$AN$27,HLOOKUP("btm",real_rku_jan_okt,3,FALSE),IF($D$1=$AN$28,HLOOKUP("btm",real_rku_jan_nov,3,FALSE),0)))))))))))))))))))))))))))</f>
        <v>3175000</v>
      </c>
      <c r="G31" s="88">
        <f>IF($D$1&lt;&gt;"",IF($D$1=$AN$3,HLOOKUP("btm",real_rku_01.jan,4,FALSE),IF($D$1=$AN$4,HLOOKUP("btm",real_rku_02.feb,4,FALSE),IF($D$1=$AN$5,HLOOKUP("btm",real_rku_03.mar,4,FALSE),IF($D$1=$AN$6,HLOOKUP("btm",real_rku_04.apr,4,FALSE),IF($D$1=$AN$7,HLOOKUP("btm",real_rku_05.mei,4,FALSE),IF($D$1=$AN$8,HLOOKUP("btm",real_rku_06.jun,4,FALSE),IF($D$1=$AN$9,HLOOKUP("btm",real_rku_07.jul,4,FALSE),IF($D$1=$AN$10,HLOOKUP("btm",real_rku_08.ags,4,FALSE),IF($D$1=$AN$11,HLOOKUP("btm",real_rku_09.sep,4,FALSE),IF($D$1=$AN$12,HLOOKUP("btm",real_rku_10.okt,4,FALSE),IF($D$1=$AN$13,HLOOKUP("btm",real_rku_11.nov,4,FALSE),IF($D$1=$AN$14,HLOOKUP("btm",real_rku_12.des,4,FALSE),IF($D$1=$AN$15,HLOOKUP("btm",real_rku_TW_I,4,FALSE),IF($D$1=$AN$16,HLOOKUP("btm",real_rku_TW_II,4,FALSE),IF($D$1=$AN$17,HLOOKUP("btm",real_rku_TW_III,4,FALSE),IF($D$1=$AN$18,HLOOKUP("btm",real_rku_TW_IV,4,FALSE),IF($D$1=$AN$19,HLOOKUP("btm",real_rku_SM_I,4,FALSE),IF($D$1=$AN$20,HLOOKUP("btm",real_rku_SM_II,4,FALSE),IF($D$1=$AN$21,HLOOKUP("btm",real_rku_2013,4,FALSE),IF($D$1=$AN$22,HLOOKUP("btm",real_rku_jan_apr,4,FALSE),IF($D$1=$AN$23,HLOOKUP("btm",real_rku_jan_mei,4,FALSE),IF($D$1=$AN$24,HLOOKUP("btm",real_rku_jan_jul,4,FALSE),IF($D$1=$AN$25,HLOOKUP("btm",real_rku_jan_ags,4,FALSE),IF($D$1=$AN$26,HLOOKUP("btm",real_rku_jan_sep,4,FALSE),IF($D$1=$AN$27,HLOOKUP("btm",real_rku_jan_okt,4,FALSE),IF($D$1=$AN$28,HLOOKUP("btm",real_rku_jan_nov,4,FALSE),0)))))))))))))))))))))))))))</f>
        <v>200000</v>
      </c>
      <c r="H31" s="88">
        <f>IF($D$1&lt;&gt;"",IF($D$1=$AN$3,HLOOKUP("btm",real_rku_01.jan,5,FALSE),IF($D$1=$AN$4,HLOOKUP("btm",real_rku_02.feb,5,FALSE),IF($D$1=$AN$5,HLOOKUP("btm",real_rku_03.mar,5,FALSE),IF($D$1=$AN$6,HLOOKUP("btm",real_rku_04.apr,5,FALSE),IF($D$1=$AN$7,HLOOKUP("btm",real_rku_05.mei,5,FALSE),IF($D$1=$AN$8,HLOOKUP("btm",real_rku_06.jun,5,FALSE),IF($D$1=$AN$9,HLOOKUP("btm",real_rku_07.jul,5,FALSE),IF($D$1=$AN$10,HLOOKUP("btm",real_rku_08.ags,5,FALSE),IF($D$1=$AN$11,HLOOKUP("btm",real_rku_09.sep,5,FALSE),IF($D$1=$AN$12,HLOOKUP("btm",real_rku_10.okt,5,FALSE),IF($D$1=$AN$13,HLOOKUP("btm",real_rku_11.nov,5,FALSE),IF($D$1=$AN$14,HLOOKUP("btm",real_rku_12.des,5,FALSE),IF($D$1=$AN$15,HLOOKUP("btm",real_rku_TW_I,5,FALSE),IF($D$1=$AN$16,HLOOKUP("btm",real_rku_TW_II,5,FALSE),IF($D$1=$AN$17,HLOOKUP("btm",real_rku_TW_III,5,FALSE),IF($D$1=$AN$18,HLOOKUP("btm",real_rku_TW_IV,5,FALSE),IF($D$1=$AN$19,HLOOKUP("btm",real_rku_SM_I,5,FALSE),IF($D$1=$AN$20,HLOOKUP("btm",real_rku_SM_II,5,FALSE),IF($D$1=$AN$21,HLOOKUP("btm",real_rku_2013,5,FALSE),IF($D$1=$AN$22,HLOOKUP("btm",real_rku_jan_apr,5,FALSE),IF($D$1=$AN$23,HLOOKUP("btm",real_rku_jan_mei,5,FALSE),IF($D$1=$AN$24,HLOOKUP("btm",real_rku_jan_jul,5,FALSE),IF($D$1=$AN$25,HLOOKUP("btm",real_rku_jan_ags,5,FALSE),IF($D$1=$AN$26,HLOOKUP("btm",real_rku_jan_sep,5,FALSE),IF($D$1=$AN$27,HLOOKUP("btm",real_rku_jan_okt,5,FALSE),IF($D$1=$AN$28,HLOOKUP("btm",real_rku_jan_nov,5,FALSE),0)))))))))))))))))))))))))))</f>
        <v>190000</v>
      </c>
      <c r="I31" s="88">
        <f>IF($D$1&lt;&gt;"",IF($D$1=$AN$3,HLOOKUP("btm",real_rku_01.jan,6,FALSE),IF($D$1=$AN$4,HLOOKUP("btm",real_rku_02.feb,6,FALSE),IF($D$1=$AN$5,HLOOKUP("btm",real_rku_03.mar,6,FALSE),IF($D$1=$AN$6,HLOOKUP("btm",real_rku_04.apr,6,FALSE),IF($D$1=$AN$7,HLOOKUP("btm",real_rku_05.mei,6,FALSE),IF($D$1=$AN$8,HLOOKUP("btm",real_rku_06.jun,6,FALSE),IF($D$1=$AN$9,HLOOKUP("btm",real_rku_07.jul,6,FALSE),IF($D$1=$AN$10,HLOOKUP("btm",real_rku_08.ags,6,FALSE),IF($D$1=$AN$11,HLOOKUP("btm",real_rku_09.sep,6,FALSE),IF($D$1=$AN$12,HLOOKUP("btm",real_rku_10.okt,6,FALSE),IF($D$1=$AN$13,HLOOKUP("btm",real_rku_11.nov,6,FALSE),IF($D$1=$AN$14,HLOOKUP("btm",real_rku_12.des,6,FALSE),IF($D$1=$AN$15,HLOOKUP("btm",real_rku_TW_I,6,FALSE),IF($D$1=$AN$16,HLOOKUP("btm",real_rku_TW_II,6,FALSE),IF($D$1=$AN$17,HLOOKUP("btm",real_rku_TW_III,6,FALSE),IF($D$1=$AN$18,HLOOKUP("btm",real_rku_TW_IV,6,FALSE),IF($D$1=$AN$19,HLOOKUP("btm",real_rku_SM_I,6,FALSE),IF($D$1=$AN$20,HLOOKUP("btm",real_rku_SM_II,6,FALSE),IF($D$1=$AN$21,HLOOKUP("btm",real_rku_2013,6,FALSE),IF($D$1=$AN$22,HLOOKUP("btm",real_rku_jan_apr,6,FALSE),IF($D$1=$AN$23,HLOOKUP("btm",real_rku_jan_mei,6,FALSE),IF($D$1=$AN$24,HLOOKUP("btm",real_rku_jan_jul,6,FALSE),IF($D$1=$AN$25,HLOOKUP("btm",real_rku_jan_ags,6,FALSE),IF($D$1=$AN$26,HLOOKUP("btm",real_rku_jan_sep,6,FALSE),IF($D$1=$AN$27,HLOOKUP("btm",real_rku_jan_okt,6,FALSE),IF($D$1=$AN$28,HLOOKUP("btm",real_rku_jan_nov,6,FALSE),0)))))))))))))))))))))))))))</f>
        <v>130000</v>
      </c>
      <c r="J31" s="88">
        <f>IF($D$1&lt;&gt;"",IF($D$1=$AN$3,HLOOKUP("btm",real_rku_01.jan,7,FALSE),IF($D$1=$AN$4,HLOOKUP("btm",real_rku_02.feb,7,FALSE),IF($D$1=$AN$5,HLOOKUP("btm",real_rku_03.mar,7,FALSE),IF($D$1=$AN$6,HLOOKUP("btm",real_rku_04.apr,7,FALSE),IF($D$1=$AN$7,HLOOKUP("btm",real_rku_05.mei,7,FALSE),IF($D$1=$AN$8,HLOOKUP("btm",real_rku_06.jun,7,FALSE),IF($D$1=$AN$9,HLOOKUP("btm",real_rku_07.jul,7,FALSE),IF($D$1=$AN$10,HLOOKUP("btm",real_rku_08.ags,7,FALSE),IF($D$1=$AN$11,HLOOKUP("btm",real_rku_09.sep,7,FALSE),IF($D$1=$AN$12,HLOOKUP("btm",real_rku_10.okt,7,FALSE),IF($D$1=$AN$13,HLOOKUP("btm",real_rku_11.nov,7,FALSE),IF($D$1=$AN$14,HLOOKUP("btm",real_rku_12.des,7,FALSE),IF($D$1=$AN$15,HLOOKUP("btm",real_rku_TW_I,7,FALSE),IF($D$1=$AN$16,HLOOKUP("btm",real_rku_TW_II,7,FALSE),IF($D$1=$AN$17,HLOOKUP("btm",real_rku_TW_III,7,FALSE),IF($D$1=$AN$18,HLOOKUP("btm",real_rku_TW_IV,7,FALSE),IF($D$1=$AN$19,HLOOKUP("btm",real_rku_SM_I,7,FALSE),IF($D$1=$AN$20,HLOOKUP("btm",real_rku_SM_II,7,FALSE),IF($D$1=$AN$21,HLOOKUP("btm",real_rku_2013,7,FALSE),IF($D$1=$AN$22,HLOOKUP("btm",real_rku_jan_apr,7,FALSE),IF($D$1=$AN$23,HLOOKUP("btm",real_rku_jan_mei,7,FALSE),IF($D$1=$AN$24,HLOOKUP("btm",real_rku_jan_jul,7,FALSE),IF($D$1=$AN$25,HLOOKUP("btm",real_rku_jan_ags,7,FALSE),IF($D$1=$AN$26,HLOOKUP("btm",real_rku_jan_sep,7,FALSE),IF($D$1=$AN$27,HLOOKUP("btm",real_rku_jan_okt,7,FALSE),IF($D$1=$AN$28,HLOOKUP("btm",real_rku_jan_nov,7,FALSE),0)))))))))))))))))))))))))))</f>
        <v>57000</v>
      </c>
      <c r="K31" s="88">
        <f>IF($D$1&lt;&gt;"",IF($D$1=$AN$3,HLOOKUP("btm",real_rku_01.jan,8,FALSE),IF($D$1=$AN$4,HLOOKUP("btm",real_rku_02.feb,8,FALSE),IF($D$1=$AN$5,HLOOKUP("btm",real_rku_03.mar,8,FALSE),IF($D$1=$AN$6,HLOOKUP("btm",real_rku_04.apr,8,FALSE),IF($D$1=$AN$7,HLOOKUP("btm",real_rku_05.mei,8,FALSE),IF($D$1=$AN$8,HLOOKUP("btm",real_rku_06.jun,8,FALSE),IF($D$1=$AN$9,HLOOKUP("btm",real_rku_07.jul,8,FALSE),IF($D$1=$AN$10,HLOOKUP("btm",real_rku_08.ags,8,FALSE),IF($D$1=$AN$11,HLOOKUP("btm",real_rku_09.sep,8,FALSE),IF($D$1=$AN$12,HLOOKUP("btm",real_rku_10.okt,8,FALSE),IF($D$1=$AN$13,HLOOKUP("btm",real_rku_11.nov,8,FALSE),IF($D$1=$AN$14,HLOOKUP("btm",real_rku_12.des,8,FALSE),IF($D$1=$AN$15,HLOOKUP("btm",real_rku_TW_I,8,FALSE),IF($D$1=$AN$16,HLOOKUP("btm",real_rku_TW_II,8,FALSE),IF($D$1=$AN$17,HLOOKUP("btm",real_rku_TW_III,8,FALSE),IF($D$1=$AN$18,HLOOKUP("btm",real_rku_TW_IV,8,FALSE),IF($D$1=$AN$19,HLOOKUP("btm",real_rku_SM_I,8,FALSE),IF($D$1=$AN$20,HLOOKUP("btm",real_rku_SM_II,8,FALSE),IF($D$1=$AN$21,HLOOKUP("btm",real_rku_2013,8,FALSE),IF($D$1=$AN$22,HLOOKUP("btm",real_rku_jan_apr,8,FALSE),IF($D$1=$AN$23,HLOOKUP("btm",real_rku_jan_mei,8,FALSE),IF($D$1=$AN$24,HLOOKUP("btm",real_rku_jan_jul,8,FALSE),IF($D$1=$AN$25,HLOOKUP("btm",real_rku_jan_ags,8,FALSE),IF($D$1=$AN$26,HLOOKUP("btm",real_rku_jan_sep,8,FALSE),IF($D$1=$AN$27,HLOOKUP("btm",real_rku_jan_okt,8,FALSE),IF($D$1=$AN$28,HLOOKUP("btm",real_rku_jan_nov,8,FALSE),0)))))))))))))))))))))))))))</f>
        <v>4000</v>
      </c>
      <c r="L31" s="89">
        <f>+SUM(E31:K31)</f>
        <v>8956000</v>
      </c>
      <c r="M31" s="88">
        <f>IF($D$1&lt;&gt;"",IF($D$1=$AN$3,HLOOKUP("btm",real_rku_01.jan,10,FALSE),IF($D$1=$AN$4,HLOOKUP("btm",real_rku_02.feb,10,FALSE),IF($D$1=$AN$5,HLOOKUP("btm",real_rku_03.mar,10,FALSE),IF($D$1=$AN$6,HLOOKUP("btm",real_rku_04.apr,10,FALSE),IF($D$1=$AN$7,HLOOKUP("btm",real_rku_05.mei,10,FALSE),IF($D$1=$AN$8,HLOOKUP("btm",real_rku_06.jun,10,FALSE),IF($D$1=$AN$9,HLOOKUP("btm",real_rku_07.jul,10,FALSE),IF($D$1=$AN$10,HLOOKUP("btm",real_rku_08.ags,10,FALSE),IF($D$1=$AN$11,HLOOKUP("btm",real_rku_09.sep,10,FALSE),IF($D$1=$AN$12,HLOOKUP("btm",real_rku_10.okt,10,FALSE),IF($D$1=$AN$13,HLOOKUP("btm",real_rku_11.nov,10,FALSE),IF($D$1=$AN$14,HLOOKUP("btm",real_rku_12.des,10,FALSE),IF($D$1=$AN$15,HLOOKUP("btm",real_rku_TW_I,10,FALSE),IF($D$1=$AN$16,HLOOKUP("btm",real_rku_TW_II,10,FALSE),IF($D$1=$AN$17,HLOOKUP("btm",real_rku_TW_III,10,FALSE),IF($D$1=$AN$18,HLOOKUP("btm",real_rku_TW_IV,10,FALSE),IF($D$1=$AN$19,HLOOKUP("btm",real_rku_SM_I,10,FALSE),IF($D$1=$AN$20,HLOOKUP("btm",real_rku_SM_II,10,FALSE),IF($D$1=$AN$21,HLOOKUP("btm",real_rku_2013,10,FALSE),IF($D$1=$AN$22,HLOOKUP("btm",real_rku_jan_apr,10,FALSE),IF($D$1=$AN$23,HLOOKUP("btm",real_rku_jan_mei,10,FALSE),IF($D$1=$AN$24,HLOOKUP("btm",real_rku_jan_jul,10,FALSE),IF($D$1=$AN$25,HLOOKUP("btm",real_rku_jan_ags,10,FALSE),IF($D$1=$AN$26,HLOOKUP("btm",real_rku_jan_sep,10,FALSE),IF($D$1=$AN$27,HLOOKUP("btm",real_rku_jan_okt,10,FALSE),IF($D$1=$AN$28,HLOOKUP("btm",real_rku_jan_nov,10,FALSE),0)))))))))))))))))))))))))))</f>
        <v>6000</v>
      </c>
      <c r="N31" s="88">
        <f>IF($D$1&lt;&gt;"",IF($D$1=$AN$3,HLOOKUP("btm",real_rku_01.jan,11,FALSE),IF($D$1=$AN$4,HLOOKUP("btm",real_rku_02.feb,11,FALSE),IF($D$1=$AN$5,HLOOKUP("btm",real_rku_03.mar,11,FALSE),IF($D$1=$AN$6,HLOOKUP("btm",real_rku_04.apr,11,FALSE),IF($D$1=$AN$7,HLOOKUP("btm",real_rku_05.mei,11,FALSE),IF($D$1=$AN$8,HLOOKUP("btm",real_rku_06.jun,11,FALSE),IF($D$1=$AN$9,HLOOKUP("btm",real_rku_07.jul,11,FALSE),IF($D$1=$AN$10,HLOOKUP("btm",real_rku_08.ags,11,FALSE),IF($D$1=$AN$11,HLOOKUP("btm",real_rku_09.sep,11,FALSE),IF($D$1=$AN$12,HLOOKUP("btm",real_rku_10.okt,11,FALSE),IF($D$1=$AN$13,HLOOKUP("btm",real_rku_11.nov,11,FALSE),IF($D$1=$AN$14,HLOOKUP("btm",real_rku_12.des,11,FALSE),IF($D$1=$AN$15,HLOOKUP("btm",real_rku_TW_I,11,FALSE),IF($D$1=$AN$16,HLOOKUP("btm",real_rku_TW_II,11,FALSE),IF($D$1=$AN$17,HLOOKUP("btm",real_rku_TW_III,11,FALSE),IF($D$1=$AN$18,HLOOKUP("btm",real_rku_TW_IV,11,FALSE),IF($D$1=$AN$19,HLOOKUP("btm",real_rku_SM_I,11,FALSE),IF($D$1=$AN$20,HLOOKUP("btm",real_rku_SM_II,11,FALSE),IF($D$1=$AN$21,HLOOKUP("btm",real_rku_2013,11,FALSE),IF($D$1=$AN$22,HLOOKUP("btm",real_rku_jan_apr,11,FALSE),IF($D$1=$AN$23,HLOOKUP("btm",real_rku_jan_mei,11,FALSE),IF($D$1=$AN$24,HLOOKUP("btm",real_rku_jan_jul,11,FALSE),IF($D$1=$AN$25,HLOOKUP("btm",real_rku_jan_ags,11,FALSE),IF($D$1=$AN$26,HLOOKUP("btm",real_rku_jan_sep,11,FALSE),IF($D$1=$AN$27,HLOOKUP("btm",real_rku_jan_okt,11,FALSE),IF($D$1=$AN$28,HLOOKUP("btm",real_rku_jan_nov,11,FALSE),0)))))))))))))))))))))))))))</f>
        <v>4000</v>
      </c>
      <c r="O31" s="88">
        <f>IF($D$1&lt;&gt;"",IF($D$1=$AN$3,HLOOKUP("btm",real_rku_01.jan,12,FALSE),IF($D$1=$AN$4,HLOOKUP("btm",real_rku_02.feb,12,FALSE),IF($D$1=$AN$5,HLOOKUP("btm",real_rku_03.mar,12,FALSE),IF($D$1=$AN$6,HLOOKUP("btm",real_rku_04.apr,12,FALSE),IF($D$1=$AN$7,HLOOKUP("btm",real_rku_05.mei,12,FALSE),IF($D$1=$AN$8,HLOOKUP("btm",real_rku_06.jun,12,FALSE),IF($D$1=$AN$9,HLOOKUP("btm",real_rku_07.jul,12,FALSE),IF($D$1=$AN$10,HLOOKUP("btm",real_rku_08.ags,12,FALSE),IF($D$1=$AN$11,HLOOKUP("btm",real_rku_09.sep,12,FALSE),IF($D$1=$AN$12,HLOOKUP("btm",real_rku_10.okt,12,FALSE),IF($D$1=$AN$13,HLOOKUP("btm",real_rku_11.nov,12,FALSE),IF($D$1=$AN$14,HLOOKUP("btm",real_rku_12.des,12,FALSE),IF($D$1=$AN$15,HLOOKUP("btm",real_rku_TW_I,12,FALSE),IF($D$1=$AN$16,HLOOKUP("btm",real_rku_TW_II,12,FALSE),IF($D$1=$AN$17,HLOOKUP("btm",real_rku_TW_III,12,FALSE),IF($D$1=$AN$18,HLOOKUP("btm",real_rku_TW_IV,12,FALSE),IF($D$1=$AN$19,HLOOKUP("btm",real_rku_SM_I,12,FALSE),IF($D$1=$AN$20,HLOOKUP("btm",real_rku_SM_II,12,FALSE),IF($D$1=$AN$21,HLOOKUP("btm",real_rku_2013,12,FALSE),IF($D$1=$AN$22,HLOOKUP("btm",real_rku_jan_apr,12,FALSE),IF($D$1=$AN$23,HLOOKUP("btm",real_rku_jan_mei,12,FALSE),IF($D$1=$AN$24,HLOOKUP("btm",real_rku_jan_jul,12,FALSE),IF($D$1=$AN$25,HLOOKUP("btm",real_rku_jan_ags,12,FALSE),IF($D$1=$AN$26,HLOOKUP("btm",real_rku_jan_sep,12,FALSE),IF($D$1=$AN$27,HLOOKUP("btm",real_rku_jan_okt,12,FALSE),IF($D$1=$AN$28,HLOOKUP("btm",real_rku_jan_nov,12,FALSE),0)))))))))))))))))))))))))))</f>
        <v>1700</v>
      </c>
      <c r="P31" s="88">
        <f>IF($D$1&lt;&gt;"",IF($D$1=$AN$3,HLOOKUP("btm",real_rku_01.jan,13,FALSE),IF($D$1=$AN$4,HLOOKUP("btm",real_rku_02.feb,13,FALSE),IF($D$1=$AN$5,HLOOKUP("btm",real_rku_03.mar,13,FALSE),IF($D$1=$AN$6,HLOOKUP("btm",real_rku_04.apr,13,FALSE),IF($D$1=$AN$7,HLOOKUP("btm",real_rku_05.mei,13,FALSE),IF($D$1=$AN$8,HLOOKUP("btm",real_rku_06.jun,13,FALSE),IF($D$1=$AN$9,HLOOKUP("btm",real_rku_07.jul,13,FALSE),IF($D$1=$AN$10,HLOOKUP("btm",real_rku_08.ags,13,FALSE),IF($D$1=$AN$11,HLOOKUP("btm",real_rku_09.sep,13,FALSE),IF($D$1=$AN$12,HLOOKUP("btm",real_rku_10.okt,13,FALSE),IF($D$1=$AN$13,HLOOKUP("btm",real_rku_11.nov,13,FALSE),IF($D$1=$AN$14,HLOOKUP("btm",real_rku_12.des,13,FALSE),IF($D$1=$AN$15,HLOOKUP("btm",real_rku_TW_I,13,FALSE),IF($D$1=$AN$16,HLOOKUP("btm",real_rku_TW_II,13,FALSE),IF($D$1=$AN$17,HLOOKUP("btm",real_rku_TW_III,13,FALSE),IF($D$1=$AN$18,HLOOKUP("btm",real_rku_TW_IV,13,FALSE),IF($D$1=$AN$19,HLOOKUP("btm",real_rku_SM_I,13,FALSE),IF($D$1=$AN$20,HLOOKUP("btm",real_rku_SM_II,13,FALSE),IF($D$1=$AN$21,HLOOKUP("btm",real_rku_2013,13,FALSE),IF($D$1=$AN$22,HLOOKUP("btm",real_rku_jan_apr,13,FALSE),IF($D$1=$AN$23,HLOOKUP("btm",real_rku_jan_mei,13,FALSE),IF($D$1=$AN$24,HLOOKUP("btm",real_rku_jan_jul,13,FALSE),IF($D$1=$AN$25,HLOOKUP("btm",real_rku_jan_ags,13,FALSE),IF($D$1=$AN$26,HLOOKUP("btm",real_rku_jan_sep,13,FALSE),IF($D$1=$AN$27,HLOOKUP("btm",real_rku_jan_okt,13,FALSE),IF($D$1=$AN$28,HLOOKUP("btm",real_rku_jan_nov,13,FALSE),0)))))))))))))))))))))))))))</f>
        <v>850</v>
      </c>
      <c r="Q31" s="88">
        <f>IF($D$1&lt;&gt;"",IF($D$1=$AN$3,HLOOKUP("btm",real_rku_01.jan,14,FALSE),IF($D$1=$AN$4,HLOOKUP("btm",real_rku_02.feb,14,FALSE),IF($D$1=$AN$5,HLOOKUP("btm",real_rku_03.mar,14,FALSE),IF($D$1=$AN$6,HLOOKUP("btm",real_rku_04.apr,14,FALSE),IF($D$1=$AN$7,HLOOKUP("btm",real_rku_05.mei,14,FALSE),IF($D$1=$AN$8,HLOOKUP("btm",real_rku_06.jun,14,FALSE),IF($D$1=$AN$9,HLOOKUP("btm",real_rku_07.jul,14,FALSE),IF($D$1=$AN$10,HLOOKUP("btm",real_rku_08.ags,14,FALSE),IF($D$1=$AN$11,HLOOKUP("btm",real_rku_09.sep,14,FALSE),IF($D$1=$AN$12,HLOOKUP("btm",real_rku_10.okt,14,FALSE),IF($D$1=$AN$13,HLOOKUP("btm",real_rku_11.nov,14,FALSE),IF($D$1=$AN$14,HLOOKUP("btm",real_rku_12.des,14,FALSE),IF($D$1=$AN$15,HLOOKUP("btm",real_rku_TW_I,14,FALSE),IF($D$1=$AN$16,HLOOKUP("btm",real_rku_TW_II,14,FALSE),IF($D$1=$AN$17,HLOOKUP("btm",real_rku_TW_III,14,FALSE),IF($D$1=$AN$18,HLOOKUP("btm",real_rku_TW_IV,14,FALSE),IF($D$1=$AN$19,HLOOKUP("btm",real_rku_SM_I,14,FALSE),IF($D$1=$AN$20,HLOOKUP("btm",real_rku_SM_II,14,FALSE),IF($D$1=$AN$21,HLOOKUP("btm",real_rku_2013,14,FALSE),IF($D$1=$AN$22,HLOOKUP("btm",real_rku_jan_apr,14,FALSE),IF($D$1=$AN$23,HLOOKUP("btm",real_rku_jan_mei,14,FALSE),IF($D$1=$AN$24,HLOOKUP("btm",real_rku_jan_jul,14,FALSE),IF($D$1=$AN$25,HLOOKUP("btm",real_rku_jan_ags,14,FALSE),IF($D$1=$AN$26,HLOOKUP("btm",real_rku_jan_sep,14,FALSE),IF($D$1=$AN$27,HLOOKUP("btm",real_rku_jan_okt,14,FALSE),IF($D$1=$AN$28,HLOOKUP("btm",real_rku_jan_nov,14,FALSE),0)))))))))))))))))))))))))))</f>
        <v>0</v>
      </c>
      <c r="R31" s="89">
        <f>+SUM(M31:Q31)</f>
        <v>12550</v>
      </c>
      <c r="S31" s="88">
        <f>+R31+L31</f>
        <v>8968550</v>
      </c>
      <c r="T31" s="76"/>
      <c r="U31" s="86"/>
      <c r="V31" s="87"/>
      <c r="W31" s="87" t="s">
        <v>182</v>
      </c>
      <c r="X31" s="88">
        <f t="shared" si="31"/>
        <v>2600</v>
      </c>
      <c r="Y31" s="88">
        <f t="shared" si="31"/>
        <v>3175</v>
      </c>
      <c r="Z31" s="88">
        <f t="shared" si="31"/>
        <v>500</v>
      </c>
      <c r="AA31" s="88">
        <f t="shared" si="31"/>
        <v>950</v>
      </c>
      <c r="AB31" s="88">
        <f t="shared" si="31"/>
        <v>1300</v>
      </c>
      <c r="AC31" s="88">
        <f t="shared" si="31"/>
        <v>1425</v>
      </c>
      <c r="AD31" s="88">
        <f t="shared" si="31"/>
        <v>200</v>
      </c>
      <c r="AE31" s="89">
        <f>+SUM(X31:AD31)</f>
        <v>10150</v>
      </c>
      <c r="AF31" s="88">
        <f t="shared" si="32"/>
        <v>1200</v>
      </c>
      <c r="AG31" s="88">
        <f t="shared" si="32"/>
        <v>1600</v>
      </c>
      <c r="AH31" s="88">
        <f t="shared" si="32"/>
        <v>850</v>
      </c>
      <c r="AI31" s="88">
        <f t="shared" si="32"/>
        <v>850</v>
      </c>
      <c r="AJ31" s="88">
        <f t="shared" si="32"/>
        <v>0</v>
      </c>
      <c r="AK31" s="89">
        <f>+SUM(AF31:AJ31)</f>
        <v>4500</v>
      </c>
      <c r="AL31" s="88">
        <f>+AK31+AE31</f>
        <v>14650</v>
      </c>
      <c r="AN31" s="113"/>
      <c r="AO31" s="113"/>
    </row>
    <row r="32" spans="2:41" ht="15" x14ac:dyDescent="0.25">
      <c r="B32" s="86"/>
      <c r="C32" s="87"/>
      <c r="D32" s="87" t="s">
        <v>184</v>
      </c>
      <c r="E32" s="88">
        <f t="shared" ref="E32:K32" si="33">+E30-E31</f>
        <v>360000</v>
      </c>
      <c r="F32" s="88">
        <f t="shared" si="33"/>
        <v>375000</v>
      </c>
      <c r="G32" s="88">
        <f t="shared" si="33"/>
        <v>-260400</v>
      </c>
      <c r="H32" s="88">
        <f t="shared" si="33"/>
        <v>-190400</v>
      </c>
      <c r="I32" s="88">
        <f t="shared" si="33"/>
        <v>-96000</v>
      </c>
      <c r="J32" s="88">
        <f t="shared" si="33"/>
        <v>-33040</v>
      </c>
      <c r="K32" s="88">
        <f t="shared" si="33"/>
        <v>0</v>
      </c>
      <c r="L32" s="89">
        <f>+SUM(E32:K32)</f>
        <v>155160</v>
      </c>
      <c r="M32" s="88">
        <f>+M30-M31</f>
        <v>-1890</v>
      </c>
      <c r="N32" s="88">
        <f>+N30-N31</f>
        <v>-1175</v>
      </c>
      <c r="O32" s="88">
        <f>+O30-O31</f>
        <v>4</v>
      </c>
      <c r="P32" s="88">
        <f>+P30-P31</f>
        <v>76</v>
      </c>
      <c r="Q32" s="88">
        <f>+Q30-Q31</f>
        <v>0</v>
      </c>
      <c r="R32" s="89">
        <f>+SUM(M32:Q32)</f>
        <v>-2985</v>
      </c>
      <c r="S32" s="88">
        <f>+R32+L32</f>
        <v>152175</v>
      </c>
      <c r="T32" s="114"/>
      <c r="U32" s="86"/>
      <c r="V32" s="87"/>
      <c r="W32" s="87" t="s">
        <v>184</v>
      </c>
      <c r="X32" s="88">
        <f t="shared" ref="X32:AD32" si="34">+X30-X31</f>
        <v>180</v>
      </c>
      <c r="Y32" s="88">
        <f t="shared" si="34"/>
        <v>375</v>
      </c>
      <c r="Z32" s="88">
        <f t="shared" si="34"/>
        <v>-651</v>
      </c>
      <c r="AA32" s="88">
        <f t="shared" si="34"/>
        <v>-952</v>
      </c>
      <c r="AB32" s="88">
        <f t="shared" si="34"/>
        <v>-960</v>
      </c>
      <c r="AC32" s="88">
        <f t="shared" si="34"/>
        <v>-826</v>
      </c>
      <c r="AD32" s="88">
        <f t="shared" si="34"/>
        <v>0</v>
      </c>
      <c r="AE32" s="89">
        <f>+SUM(X32:AD32)</f>
        <v>-2834</v>
      </c>
      <c r="AF32" s="88">
        <f>+AF30-AF31</f>
        <v>-378</v>
      </c>
      <c r="AG32" s="88">
        <f>+AG30-AG31</f>
        <v>-470</v>
      </c>
      <c r="AH32" s="88">
        <f>+AH30-AH31</f>
        <v>2</v>
      </c>
      <c r="AI32" s="88">
        <f>+AI30-AI31</f>
        <v>76</v>
      </c>
      <c r="AJ32" s="88">
        <f>+AJ30-AJ31</f>
        <v>0</v>
      </c>
      <c r="AK32" s="89">
        <f>+SUM(AF32:AJ32)</f>
        <v>-770</v>
      </c>
      <c r="AL32" s="88">
        <f>+AK32+AE32</f>
        <v>-3604</v>
      </c>
      <c r="AM32" s="91">
        <f>+AL32/550</f>
        <v>-6.5527272727272727</v>
      </c>
    </row>
    <row r="33" spans="2:39" ht="14.25" x14ac:dyDescent="0.2">
      <c r="B33" s="112"/>
      <c r="C33" s="108"/>
      <c r="D33" s="109" t="s">
        <v>186</v>
      </c>
      <c r="E33" s="110">
        <f t="shared" ref="E33:S33" si="35">IF(E30=0,"-",E31/E30)</f>
        <v>0.93525179856115104</v>
      </c>
      <c r="F33" s="110">
        <f t="shared" si="35"/>
        <v>0.89436619718309862</v>
      </c>
      <c r="G33" s="110">
        <f t="shared" si="35"/>
        <v>-3.3112582781456954</v>
      </c>
      <c r="H33" s="110">
        <f t="shared" si="35"/>
        <v>-475</v>
      </c>
      <c r="I33" s="110">
        <f t="shared" si="35"/>
        <v>3.8235294117647061</v>
      </c>
      <c r="J33" s="110">
        <f t="shared" si="35"/>
        <v>2.378964941569282</v>
      </c>
      <c r="K33" s="110">
        <f t="shared" si="35"/>
        <v>1</v>
      </c>
      <c r="L33" s="111">
        <f t="shared" si="35"/>
        <v>0.98297033528112776</v>
      </c>
      <c r="M33" s="110">
        <f t="shared" si="35"/>
        <v>1.4598540145985401</v>
      </c>
      <c r="N33" s="110">
        <f t="shared" si="35"/>
        <v>1.415929203539823</v>
      </c>
      <c r="O33" s="110">
        <f t="shared" si="35"/>
        <v>0.99765258215962438</v>
      </c>
      <c r="P33" s="110">
        <f t="shared" si="35"/>
        <v>0.91792656587472998</v>
      </c>
      <c r="Q33" s="110" t="str">
        <f t="shared" si="35"/>
        <v>-</v>
      </c>
      <c r="R33" s="111">
        <f t="shared" si="35"/>
        <v>1.3120752744380555</v>
      </c>
      <c r="S33" s="110">
        <f t="shared" si="35"/>
        <v>0.9833154710837132</v>
      </c>
      <c r="T33" s="95">
        <f>+S33*$T$6</f>
        <v>0.68832082975859921</v>
      </c>
      <c r="U33" s="112"/>
      <c r="V33" s="108"/>
      <c r="W33" s="109" t="s">
        <v>186</v>
      </c>
      <c r="X33" s="110">
        <f t="shared" ref="X33:AL33" si="36">IF(X30=0,"-",X31/X30)</f>
        <v>0.93525179856115104</v>
      </c>
      <c r="Y33" s="110">
        <f t="shared" si="36"/>
        <v>0.89436619718309862</v>
      </c>
      <c r="Z33" s="110">
        <f t="shared" si="36"/>
        <v>-3.3112582781456954</v>
      </c>
      <c r="AA33" s="110">
        <f t="shared" si="36"/>
        <v>-475</v>
      </c>
      <c r="AB33" s="110">
        <f t="shared" si="36"/>
        <v>3.8235294117647061</v>
      </c>
      <c r="AC33" s="110">
        <f t="shared" si="36"/>
        <v>2.378964941569282</v>
      </c>
      <c r="AD33" s="110">
        <f t="shared" si="36"/>
        <v>1</v>
      </c>
      <c r="AE33" s="111">
        <f t="shared" si="36"/>
        <v>1.3873701476216511</v>
      </c>
      <c r="AF33" s="110">
        <f t="shared" si="36"/>
        <v>1.4598540145985401</v>
      </c>
      <c r="AG33" s="110">
        <f t="shared" si="36"/>
        <v>1.415929203539823</v>
      </c>
      <c r="AH33" s="110">
        <f t="shared" si="36"/>
        <v>0.99765258215962438</v>
      </c>
      <c r="AI33" s="110">
        <f t="shared" si="36"/>
        <v>0.91792656587472998</v>
      </c>
      <c r="AJ33" s="110" t="str">
        <f t="shared" si="36"/>
        <v>-</v>
      </c>
      <c r="AK33" s="111">
        <f t="shared" si="36"/>
        <v>1.2064343163538873</v>
      </c>
      <c r="AL33" s="110">
        <f t="shared" si="36"/>
        <v>1.3262719536483796</v>
      </c>
    </row>
    <row r="34" spans="2:39" ht="14.25" x14ac:dyDescent="0.2">
      <c r="B34" s="96"/>
      <c r="C34" s="97"/>
      <c r="D34" s="97"/>
      <c r="E34" s="98">
        <f>+E33*$L$6</f>
        <v>0.2805755395683453</v>
      </c>
      <c r="F34" s="98">
        <f t="shared" ref="F34:K34" si="37">+F33*$L$6</f>
        <v>0.26830985915492955</v>
      </c>
      <c r="G34" s="98">
        <f t="shared" si="37"/>
        <v>-0.99337748344370858</v>
      </c>
      <c r="H34" s="98">
        <f t="shared" si="37"/>
        <v>-142.5</v>
      </c>
      <c r="I34" s="98">
        <f t="shared" si="37"/>
        <v>1.1470588235294117</v>
      </c>
      <c r="J34" s="98">
        <f t="shared" si="37"/>
        <v>0.71368948247078456</v>
      </c>
      <c r="K34" s="98">
        <f t="shared" si="37"/>
        <v>0.3</v>
      </c>
      <c r="L34" s="98"/>
      <c r="M34" s="98">
        <f t="shared" ref="M34:P34" si="38">+M33*$L$6</f>
        <v>0.43795620437956201</v>
      </c>
      <c r="N34" s="98">
        <f t="shared" si="38"/>
        <v>0.4247787610619469</v>
      </c>
      <c r="O34" s="98">
        <f t="shared" si="38"/>
        <v>0.29929577464788731</v>
      </c>
      <c r="P34" s="98">
        <f t="shared" si="38"/>
        <v>0.27537796976241896</v>
      </c>
      <c r="Q34" s="98"/>
      <c r="R34" s="99"/>
      <c r="S34" s="98">
        <f>+AVERAGE(E34:Q34)</f>
        <v>-12.667848642624399</v>
      </c>
      <c r="T34" s="100">
        <f>+S34+T33</f>
        <v>-11.9795278128658</v>
      </c>
      <c r="U34" s="96"/>
      <c r="V34" s="97"/>
      <c r="W34" s="97"/>
      <c r="X34" s="101"/>
      <c r="Y34" s="101"/>
      <c r="Z34" s="101"/>
      <c r="AA34" s="101"/>
      <c r="AB34" s="101"/>
      <c r="AC34" s="101"/>
      <c r="AD34" s="101"/>
      <c r="AE34" s="99">
        <f>+SUM(X34:AD34)</f>
        <v>0</v>
      </c>
      <c r="AF34" s="101"/>
      <c r="AG34" s="101"/>
      <c r="AH34" s="101"/>
      <c r="AI34" s="101"/>
      <c r="AJ34" s="101"/>
      <c r="AK34" s="99">
        <f>+SUM(AF34:AJ34)</f>
        <v>0</v>
      </c>
      <c r="AL34" s="101">
        <f>+AK34+AE34</f>
        <v>0</v>
      </c>
    </row>
    <row r="35" spans="2:39" ht="14.25" x14ac:dyDescent="0.2">
      <c r="B35" s="81">
        <v>6</v>
      </c>
      <c r="C35" s="83" t="s">
        <v>206</v>
      </c>
      <c r="D35" s="83" t="s">
        <v>180</v>
      </c>
      <c r="E35" s="84">
        <f>IF($D$1&lt;&gt;"",IF($D$1=$AN$3,HLOOKUP("kdk bd",rku_01.jan,2,FALSE),IF($D$1=$AN$4,HLOOKUP("kdk bd",rku_02.feb,2,FALSE),IF($D$1=$AN$5,HLOOKUP("kdk bd",rku_03.mar,2,FALSE),IF($D$1=$AN$6,HLOOKUP("kdk bd",rku_04.apr,2,FALSE),IF($D$1=$AN$7,HLOOKUP("kdk bd",rku_05.mei,2,FALSE),IF($D$1=$AN$8,HLOOKUP("kdk bd",rku_06.jun,2,FALSE),IF($D$1=$AN$9,HLOOKUP("kdk bd",rku_07.jul,2,FALSE),IF($D$1=$AN$10,HLOOKUP("kdk bd",rku_08.ags,2,FALSE),IF($D$1=$AN$11,HLOOKUP("kdk bd",rku_09.sep,2,FALSE),IF($D$1=$AN$12,HLOOKUP("kdk bd",rku_10.okt,2,FALSE),IF($D$1=$AN$13,HLOOKUP("kdk bd",rku_11.nov,2,FALSE),IF($D$1=$AN$14,HLOOKUP("kdk bd",rku_12.des,2,FALSE),IF($D$1=$AN$15,HLOOKUP("kdk bd",rku_TW_I,2,FALSE),IF($D$1=$AN$16,HLOOKUP("kdk bd",rku_TW_II,2,FALSE),IF($D$1=$AN$17,HLOOKUP("kdk bd",rku_TW_III,2,FALSE),IF($D$1=$AN$18,HLOOKUP("kdk bd",rku_TW_IV,2,FALSE),IF($D$1=$AN$19,HLOOKUP("kdk bd",rku_SM_I,2,FALSE),IF($D$1=$AN$20,HLOOKUP("kdk bd",rku_SM_II,2,FALSE),IF($D$1=$AN$21,HLOOKUP("kdk bd",rku_2013,2,FALSE),IF($D$1=$AN$22,HLOOKUP("kdk bd",rku_jan_apr,2,FALSE),IF($D$1=$AN$23,HLOOKUP("kdk bd",rku_jan_mei,2,FALSE),IF($D$1=$AN$24,HLOOKUP("kdk bd",rku_jan_jul,2,FALSE),IF($D$1=$AN$25,HLOOKUP("kdk bd",rku_jan_ags,2,FALSE),IF($D$1=$AN$26,HLOOKUP("kdk bd",rku_jan_sep,2,FALSE),IF($D$1=$AN$27,HLOOKUP("kdk bd",rku_jan_okt,2,FALSE),IF($D$1=$AN$28,HLOOKUP("kdk bd",rku_jan_nov,2,FALSE),0)))))))))))))))))))))))))))</f>
        <v>1626000</v>
      </c>
      <c r="F35" s="84">
        <f>IF($D$1&lt;&gt;"",IF($D$1=$AN$3,HLOOKUP("kdk bd",rku_01.jan,3,FALSE),IF($D$1=$AN$4,HLOOKUP("kdk bd",rku_02.feb,3,FALSE),IF($D$1=$AN$5,HLOOKUP("kdk bd",rku_03.mar,3,FALSE),IF($D$1=$AN$6,HLOOKUP("kdk bd",rku_04.apr,3,FALSE),IF($D$1=$AN$7,HLOOKUP("kdk bd",rku_05.mei,3,FALSE),IF($D$1=$AN$8,HLOOKUP("kdk bd",rku_06.jun,3,FALSE),IF($D$1=$AN$9,HLOOKUP("kdk bd",rku_07.jul,3,FALSE),IF($D$1=$AN$10,HLOOKUP("kdk bd",rku_08.ags,3,FALSE),IF($D$1=$AN$11,HLOOKUP("kdk bd",rku_09.sep,3,FALSE),IF($D$1=$AN$12,HLOOKUP("kdk bd",rku_10.okt,3,FALSE),IF($D$1=$AN$13,HLOOKUP("kdk bd",rku_11.nov,3,FALSE),IF($D$1=$AN$14,HLOOKUP("kdk bd",rku_12.des,3,FALSE),IF($D$1=$AN$15,HLOOKUP("kdk bd",rku_TW_I,3,FALSE),IF($D$1=$AN$16,HLOOKUP("kdk bd",rku_TW_II,3,FALSE),IF($D$1=$AN$17,HLOOKUP("kdk bd",rku_TW_III,3,FALSE),IF($D$1=$AN$18,HLOOKUP("kdk bd",rku_TW_IV,3,FALSE),IF($D$1=$AN$19,HLOOKUP("kdk bd",rku_SM_I,3,FALSE),IF($D$1=$AN$20,HLOOKUP("kdk bd",rku_SM_II,3,FALSE),IF($D$1=$AN$21,HLOOKUP("kdk bd",rku_2013,3,FALSE),IF($D$1=$AN$22,HLOOKUP("kdk bd",rku_jan_apr,3,FALSE),IF($D$1=$AN$23,HLOOKUP("kdk bd",rku_jan_mei,3,FALSE),IF($D$1=$AN$24,HLOOKUP("kdk bd",rku_jan_jul,3,FALSE),IF($D$1=$AN$25,HLOOKUP("kdk bd",rku_jan_ags,3,FALSE),IF($D$1=$AN$26,HLOOKUP("kdk bd",rku_jan_sep,3,FALSE),IF($D$1=$AN$27,HLOOKUP("kdk bd",rku_jan_okt,3,FALSE),IF($D$1=$AN$28,HLOOKUP("kdk bd",rku_jan_nov,3,FALSE),0)))))))))))))))))))))))))))</f>
        <v>-1528000</v>
      </c>
      <c r="G35" s="84">
        <f>IF($D$1&lt;&gt;"",IF($D$1=$AN$3,HLOOKUP("kdk bd",rku_01.jan,4,FALSE),IF($D$1=$AN$4,HLOOKUP("kdk bd",rku_02.feb,4,FALSE),IF($D$1=$AN$5,HLOOKUP("kdk bd",rku_03.mar,4,FALSE),IF($D$1=$AN$6,HLOOKUP("kdk bd",rku_04.apr,4,FALSE),IF($D$1=$AN$7,HLOOKUP("kdk bd",rku_05.mei,4,FALSE),IF($D$1=$AN$8,HLOOKUP("kdk bd",rku_06.jun,4,FALSE),IF($D$1=$AN$9,HLOOKUP("kdk bd",rku_07.jul,4,FALSE),IF($D$1=$AN$10,HLOOKUP("kdk bd",rku_08.ags,4,FALSE),IF($D$1=$AN$11,HLOOKUP("kdk bd",rku_09.sep,4,FALSE),IF($D$1=$AN$12,HLOOKUP("kdk bd",rku_10.okt,4,FALSE),IF($D$1=$AN$13,HLOOKUP("kdk bd",rku_11.nov,4,FALSE),IF($D$1=$AN$14,HLOOKUP("kdk bd",rku_12.des,4,FALSE),IF($D$1=$AN$15,HLOOKUP("kdk bd",rku_TW_I,4,FALSE),IF($D$1=$AN$16,HLOOKUP("kdk bd",rku_TW_II,4,FALSE),IF($D$1=$AN$17,HLOOKUP("kdk bd",rku_TW_III,4,FALSE),IF($D$1=$AN$18,HLOOKUP("kdk bd",rku_TW_IV,4,FALSE),IF($D$1=$AN$19,HLOOKUP("kdk bd",rku_SM_I,4,FALSE),IF($D$1=$AN$20,HLOOKUP("kdk bd",rku_SM_II,4,FALSE),IF($D$1=$AN$21,HLOOKUP("kdk bd",rku_2013,4,FALSE),IF($D$1=$AN$22,HLOOKUP("kdk bd",rku_jan_apr,4,FALSE),IF($D$1=$AN$23,HLOOKUP("kdk bd",rku_jan_mei,4,FALSE),IF($D$1=$AN$24,HLOOKUP("kdk bd",rku_jan_jul,4,FALSE),IF($D$1=$AN$25,HLOOKUP("kdk bd",rku_jan_ags,4,FALSE),IF($D$1=$AN$26,HLOOKUP("kdk bd",rku_jan_sep,4,FALSE),IF($D$1=$AN$27,HLOOKUP("kdk bd",rku_jan_okt,4,FALSE),IF($D$1=$AN$28,HLOOKUP("kdk bd",rku_jan_nov,4,FALSE),0)))))))))))))))))))))))))))</f>
        <v>476000</v>
      </c>
      <c r="H35" s="84">
        <f>IF($D$1&lt;&gt;"",IF($D$1=$AN$3,HLOOKUP("kdk bd",rku_01.jan,5,FALSE),IF($D$1=$AN$4,HLOOKUP("kdk bd",rku_02.feb,5,FALSE),IF($D$1=$AN$5,HLOOKUP("kdk bd",rku_03.mar,5,FALSE),IF($D$1=$AN$6,HLOOKUP("kdk bd",rku_04.apr,5,FALSE),IF($D$1=$AN$7,HLOOKUP("kdk bd",rku_05.mei,5,FALSE),IF($D$1=$AN$8,HLOOKUP("kdk bd",rku_06.jun,5,FALSE),IF($D$1=$AN$9,HLOOKUP("kdk bd",rku_07.jul,5,FALSE),IF($D$1=$AN$10,HLOOKUP("kdk bd",rku_08.ags,5,FALSE),IF($D$1=$AN$11,HLOOKUP("kdk bd",rku_09.sep,5,FALSE),IF($D$1=$AN$12,HLOOKUP("kdk bd",rku_10.okt,5,FALSE),IF($D$1=$AN$13,HLOOKUP("kdk bd",rku_11.nov,5,FALSE),IF($D$1=$AN$14,HLOOKUP("kdk bd",rku_12.des,5,FALSE),IF($D$1=$AN$15,HLOOKUP("kdk bd",rku_TW_I,5,FALSE),IF($D$1=$AN$16,HLOOKUP("kdk bd",rku_TW_II,5,FALSE),IF($D$1=$AN$17,HLOOKUP("kdk bd",rku_TW_III,5,FALSE),IF($D$1=$AN$18,HLOOKUP("kdk bd",rku_TW_IV,5,FALSE),IF($D$1=$AN$19,HLOOKUP("kdk bd",rku_SM_I,5,FALSE),IF($D$1=$AN$20,HLOOKUP("kdk bd",rku_SM_II,5,FALSE),IF($D$1=$AN$21,HLOOKUP("kdk bd",rku_2013,5,FALSE),IF($D$1=$AN$22,HLOOKUP("kdk bd",rku_jan_apr,5,FALSE),IF($D$1=$AN$23,HLOOKUP("kdk bd",rku_jan_mei,5,FALSE),IF($D$1=$AN$24,HLOOKUP("kdk bd",rku_jan_jul,5,FALSE),IF($D$1=$AN$25,HLOOKUP("kdk bd",rku_jan_ags,5,FALSE),IF($D$1=$AN$26,HLOOKUP("kdk bd",rku_jan_sep,5,FALSE),IF($D$1=$AN$27,HLOOKUP("kdk bd",rku_jan_okt,5,FALSE),IF($D$1=$AN$28,HLOOKUP("kdk bd",rku_jan_nov,5,FALSE),0)))))))))))))))))))))))))))</f>
        <v>386400</v>
      </c>
      <c r="I35" s="84">
        <f>IF($D$1&lt;&gt;"",IF($D$1=$AN$3,HLOOKUP("kdk bd",rku_01.jan,6,FALSE),IF($D$1=$AN$4,HLOOKUP("kdk bd",rku_02.feb,6,FALSE),IF($D$1=$AN$5,HLOOKUP("kdk bd",rku_03.mar,6,FALSE),IF($D$1=$AN$6,HLOOKUP("kdk bd",rku_04.apr,6,FALSE),IF($D$1=$AN$7,HLOOKUP("kdk bd",rku_05.mei,6,FALSE),IF($D$1=$AN$8,HLOOKUP("kdk bd",rku_06.jun,6,FALSE),IF($D$1=$AN$9,HLOOKUP("kdk bd",rku_07.jul,6,FALSE),IF($D$1=$AN$10,HLOOKUP("kdk bd",rku_08.ags,6,FALSE),IF($D$1=$AN$11,HLOOKUP("kdk bd",rku_09.sep,6,FALSE),IF($D$1=$AN$12,HLOOKUP("kdk bd",rku_10.okt,6,FALSE),IF($D$1=$AN$13,HLOOKUP("kdk bd",rku_11.nov,6,FALSE),IF($D$1=$AN$14,HLOOKUP("kdk bd",rku_12.des,6,FALSE),IF($D$1=$AN$15,HLOOKUP("kdk bd",rku_TW_I,6,FALSE),IF($D$1=$AN$16,HLOOKUP("kdk bd",rku_TW_II,6,FALSE),IF($D$1=$AN$17,HLOOKUP("kdk bd",rku_TW_III,6,FALSE),IF($D$1=$AN$18,HLOOKUP("kdk bd",rku_TW_IV,6,FALSE),IF($D$1=$AN$19,HLOOKUP("kdk bd",rku_SM_I,6,FALSE),IF($D$1=$AN$20,HLOOKUP("kdk bd",rku_SM_II,6,FALSE),IF($D$1=$AN$21,HLOOKUP("kdk bd",rku_2013,6,FALSE),IF($D$1=$AN$22,HLOOKUP("kdk bd",rku_jan_apr,6,FALSE),IF($D$1=$AN$23,HLOOKUP("kdk bd",rku_jan_mei,6,FALSE),IF($D$1=$AN$24,HLOOKUP("kdk bd",rku_jan_jul,6,FALSE),IF($D$1=$AN$25,HLOOKUP("kdk bd",rku_jan_ags,6,FALSE),IF($D$1=$AN$26,HLOOKUP("kdk bd",rku_jan_sep,6,FALSE),IF($D$1=$AN$27,HLOOKUP("kdk bd",rku_jan_okt,6,FALSE),IF($D$1=$AN$28,HLOOKUP("kdk bd",rku_jan_nov,6,FALSE),0)))))))))))))))))))))))))))</f>
        <v>246700</v>
      </c>
      <c r="J35" s="84">
        <f>IF($D$1&lt;&gt;"",IF($D$1=$AN$3,HLOOKUP("kdk bd",rku_01.jan,7,FALSE),IF($D$1=$AN$4,HLOOKUP("kdk bd",rku_02.feb,7,FALSE),IF($D$1=$AN$5,HLOOKUP("kdk bd",rku_03.mar,7,FALSE),IF($D$1=$AN$6,HLOOKUP("kdk bd",rku_04.apr,7,FALSE),IF($D$1=$AN$7,HLOOKUP("kdk bd",rku_05.mei,7,FALSE),IF($D$1=$AN$8,HLOOKUP("kdk bd",rku_06.jun,7,FALSE),IF($D$1=$AN$9,HLOOKUP("kdk bd",rku_07.jul,7,FALSE),IF($D$1=$AN$10,HLOOKUP("kdk bd",rku_08.ags,7,FALSE),IF($D$1=$AN$11,HLOOKUP("kdk bd",rku_09.sep,7,FALSE),IF($D$1=$AN$12,HLOOKUP("kdk bd",rku_10.okt,7,FALSE),IF($D$1=$AN$13,HLOOKUP("kdk bd",rku_11.nov,7,FALSE),IF($D$1=$AN$14,HLOOKUP("kdk bd",rku_12.des,7,FALSE),IF($D$1=$AN$15,HLOOKUP("kdk bd",rku_TW_I,7,FALSE),IF($D$1=$AN$16,HLOOKUP("kdk bd",rku_TW_II,7,FALSE),IF($D$1=$AN$17,HLOOKUP("kdk bd",rku_TW_III,7,FALSE),IF($D$1=$AN$18,HLOOKUP("kdk bd",rku_TW_IV,7,FALSE),IF($D$1=$AN$19,HLOOKUP("kdk bd",rku_SM_I,7,FALSE),IF($D$1=$AN$20,HLOOKUP("kdk bd",rku_SM_II,7,FALSE),IF($D$1=$AN$21,HLOOKUP("kdk bd",rku_2013,7,FALSE),IF($D$1=$AN$22,HLOOKUP("kdk bd",rku_jan_apr,7,FALSE),IF($D$1=$AN$23,HLOOKUP("kdk bd",rku_jan_mei,7,FALSE),IF($D$1=$AN$24,HLOOKUP("kdk bd",rku_jan_jul,7,FALSE),IF($D$1=$AN$25,HLOOKUP("kdk bd",rku_jan_ags,7,FALSE),IF($D$1=$AN$26,HLOOKUP("kdk bd",rku_jan_sep,7,FALSE),IF($D$1=$AN$27,HLOOKUP("kdk bd",rku_jan_okt,7,FALSE),IF($D$1=$AN$28,HLOOKUP("kdk bd",rku_jan_nov,7,FALSE),0)))))))))))))))))))))))))))</f>
        <v>239000</v>
      </c>
      <c r="K35" s="84">
        <f>IF($D$1&lt;&gt;"",IF($D$1=$AN$3,HLOOKUP("kdk bd",rku_01.jan,8,FALSE),IF($D$1=$AN$4,HLOOKUP("kdk bd",rku_02.feb,8,FALSE),IF($D$1=$AN$5,HLOOKUP("kdk bd",rku_03.mar,8,FALSE),IF($D$1=$AN$6,HLOOKUP("kdk bd",rku_04.apr,8,FALSE),IF($D$1=$AN$7,HLOOKUP("kdk bd",rku_05.mei,8,FALSE),IF($D$1=$AN$8,HLOOKUP("kdk bd",rku_06.jun,8,FALSE),IF($D$1=$AN$9,HLOOKUP("kdk bd",rku_07.jul,8,FALSE),IF($D$1=$AN$10,HLOOKUP("kdk bd",rku_08.ags,8,FALSE),IF($D$1=$AN$11,HLOOKUP("kdk bd",rku_09.sep,8,FALSE),IF($D$1=$AN$12,HLOOKUP("kdk bd",rku_10.okt,8,FALSE),IF($D$1=$AN$13,HLOOKUP("kdk bd",rku_11.nov,8,FALSE),IF($D$1=$AN$14,HLOOKUP("kdk bd",rku_12.des,8,FALSE),IF($D$1=$AN$15,HLOOKUP("kdk bd",rku_TW_I,8,FALSE),IF($D$1=$AN$16,HLOOKUP("kdk bd",rku_TW_II,8,FALSE),IF($D$1=$AN$17,HLOOKUP("kdk bd",rku_TW_III,8,FALSE),IF($D$1=$AN$18,HLOOKUP("kdk bd",rku_TW_IV,8,FALSE),IF($D$1=$AN$19,HLOOKUP("kdk bd",rku_SM_I,8,FALSE),IF($D$1=$AN$20,HLOOKUP("kdk bd",rku_SM_II,8,FALSE),IF($D$1=$AN$21,HLOOKUP("kdk bd",rku_2013,8,FALSE),IF($D$1=$AN$22,HLOOKUP("kdk bd",rku_jan_apr,8,FALSE),IF($D$1=$AN$23,HLOOKUP("kdk bd",rku_jan_mei,8,FALSE),IF($D$1=$AN$24,HLOOKUP("kdk bd",rku_jan_jul,8,FALSE),IF($D$1=$AN$25,HLOOKUP("kdk bd",rku_jan_ags,8,FALSE),IF($D$1=$AN$26,HLOOKUP("kdk bd",rku_jan_sep,8,FALSE),IF($D$1=$AN$27,HLOOKUP("kdk bd",rku_jan_okt,8,FALSE),IF($D$1=$AN$28,HLOOKUP("kdk bd",rku_jan_nov,8,FALSE),0)))))))))))))))))))))))))))</f>
        <v>14480</v>
      </c>
      <c r="L35" s="85">
        <f>+SUM(E35:K35)</f>
        <v>1460580</v>
      </c>
      <c r="M35" s="84">
        <f>IF($D$1&lt;&gt;"",IF($D$1=$AN$3,HLOOKUP("kdk bd",rku_01.jan,10,FALSE),IF($D$1=$AN$4,HLOOKUP("kdk bd",rku_02.feb,10,FALSE),IF($D$1=$AN$5,HLOOKUP("kdk bd",rku_03.mar,10,FALSE),IF($D$1=$AN$6,HLOOKUP("kdk bd",rku_04.apr,10,FALSE),IF($D$1=$AN$7,HLOOKUP("kdk bd",rku_05.mei,10,FALSE),IF($D$1=$AN$8,HLOOKUP("kdk bd",rku_06.jun,10,FALSE),IF($D$1=$AN$9,HLOOKUP("kdk bd",rku_07.jul,10,FALSE),IF($D$1=$AN$10,HLOOKUP("kdk bd",rku_08.ags,10,FALSE),IF($D$1=$AN$11,HLOOKUP("kdk bd",rku_09.sep,10,FALSE),IF($D$1=$AN$12,HLOOKUP("kdk bd",rku_10.okt,10,FALSE),IF($D$1=$AN$13,HLOOKUP("kdk bd",rku_11.nov,10,FALSE),IF($D$1=$AN$14,HLOOKUP("kdk bd",rku_12.des,10,FALSE),IF($D$1=$AN$15,HLOOKUP("kdk bd",rku_TW_I,10,FALSE),IF($D$1=$AN$16,HLOOKUP("kdk bd",rku_TW_II,10,FALSE),IF($D$1=$AN$17,HLOOKUP("kdk bd",rku_TW_III,10,FALSE),IF($D$1=$AN$18,HLOOKUP("kdk bd",rku_TW_IV,10,FALSE),IF($D$1=$AN$19,HLOOKUP("kdk bd",rku_SM_I,10,FALSE),IF($D$1=$AN$20,HLOOKUP("kdk bd",rku_SM_II,10,FALSE),IF($D$1=$AN$21,HLOOKUP("kdk bd",rku_2013,10,FALSE),IF($D$1=$AN$22,HLOOKUP("kdk bd",rku_jan_apr,10,FALSE),IF($D$1=$AN$23,HLOOKUP("kdk bd",rku_jan_mei,10,FALSE),IF($D$1=$AN$24,HLOOKUP("kdk bd",rku_jan_jul,10,FALSE),IF($D$1=$AN$25,HLOOKUP("kdk bd",rku_jan_ags,10,FALSE),IF($D$1=$AN$26,HLOOKUP("kdk bd",rku_jan_sep,10,FALSE),IF($D$1=$AN$27,HLOOKUP("kdk bd",rku_jan_okt,10,FALSE),IF($D$1=$AN$28,HLOOKUP("kdk bd",rku_jan_nov,10,FALSE),0)))))))))))))))))))))))))))</f>
        <v>-28415</v>
      </c>
      <c r="N35" s="84">
        <f>IF($D$1&lt;&gt;"",IF($D$1=$AN$3,HLOOKUP("kdk bd",rku_01.jan,11,FALSE),IF($D$1=$AN$4,HLOOKUP("kdk bd",rku_02.feb,11,FALSE),IF($D$1=$AN$5,HLOOKUP("kdk bd",rku_03.mar,11,FALSE),IF($D$1=$AN$6,HLOOKUP("kdk bd",rku_04.apr,11,FALSE),IF($D$1=$AN$7,HLOOKUP("kdk bd",rku_05.mei,11,FALSE),IF($D$1=$AN$8,HLOOKUP("kdk bd",rku_06.jun,11,FALSE),IF($D$1=$AN$9,HLOOKUP("kdk bd",rku_07.jul,11,FALSE),IF($D$1=$AN$10,HLOOKUP("kdk bd",rku_08.ags,11,FALSE),IF($D$1=$AN$11,HLOOKUP("kdk bd",rku_09.sep,11,FALSE),IF($D$1=$AN$12,HLOOKUP("kdk bd",rku_10.okt,11,FALSE),IF($D$1=$AN$13,HLOOKUP("kdk bd",rku_11.nov,11,FALSE),IF($D$1=$AN$14,HLOOKUP("kdk bd",rku_12.des,11,FALSE),IF($D$1=$AN$15,HLOOKUP("kdk bd",rku_TW_I,11,FALSE),IF($D$1=$AN$16,HLOOKUP("kdk bd",rku_TW_II,11,FALSE),IF($D$1=$AN$17,HLOOKUP("kdk bd",rku_TW_III,11,FALSE),IF($D$1=$AN$18,HLOOKUP("kdk bd",rku_TW_IV,11,FALSE),IF($D$1=$AN$19,HLOOKUP("kdk bd",rku_SM_I,11,FALSE),IF($D$1=$AN$20,HLOOKUP("kdk bd",rku_SM_II,11,FALSE),IF($D$1=$AN$21,HLOOKUP("kdk bd",rku_2013,11,FALSE),IF($D$1=$AN$22,HLOOKUP("kdk bd",rku_jan_apr,11,FALSE),IF($D$1=$AN$23,HLOOKUP("kdk bd",rku_jan_mei,11,FALSE),IF($D$1=$AN$24,HLOOKUP("kdk bd",rku_jan_jul,11,FALSE),IF($D$1=$AN$25,HLOOKUP("kdk bd",rku_jan_ags,11,FALSE),IF($D$1=$AN$26,HLOOKUP("kdk bd",rku_jan_sep,11,FALSE),IF($D$1=$AN$27,HLOOKUP("kdk bd",rku_jan_okt,11,FALSE),IF($D$1=$AN$28,HLOOKUP("kdk bd",rku_jan_nov,11,FALSE),0)))))))))))))))))))))))))))</f>
        <v>767.5</v>
      </c>
      <c r="O35" s="84">
        <f>IF($D$1&lt;&gt;"",IF($D$1=$AN$3,HLOOKUP("kdk bd",rku_01.jan,12,FALSE),IF($D$1=$AN$4,HLOOKUP("kdk bd",rku_02.feb,12,FALSE),IF($D$1=$AN$5,HLOOKUP("kdk bd",rku_03.mar,12,FALSE),IF($D$1=$AN$6,HLOOKUP("kdk bd",rku_04.apr,12,FALSE),IF($D$1=$AN$7,HLOOKUP("kdk bd",rku_05.mei,12,FALSE),IF($D$1=$AN$8,HLOOKUP("kdk bd",rku_06.jun,12,FALSE),IF($D$1=$AN$9,HLOOKUP("kdk bd",rku_07.jul,12,FALSE),IF($D$1=$AN$10,HLOOKUP("kdk bd",rku_08.ags,12,FALSE),IF($D$1=$AN$11,HLOOKUP("kdk bd",rku_09.sep,12,FALSE),IF($D$1=$AN$12,HLOOKUP("kdk bd",rku_10.okt,12,FALSE),IF($D$1=$AN$13,HLOOKUP("kdk bd",rku_11.nov,12,FALSE),IF($D$1=$AN$14,HLOOKUP("kdk bd",rku_12.des,12,FALSE),IF($D$1=$AN$15,HLOOKUP("kdk bd",rku_TW_I,12,FALSE),IF($D$1=$AN$16,HLOOKUP("kdk bd",rku_TW_II,12,FALSE),IF($D$1=$AN$17,HLOOKUP("kdk bd",rku_TW_III,12,FALSE),IF($D$1=$AN$18,HLOOKUP("kdk bd",rku_TW_IV,12,FALSE),IF($D$1=$AN$19,HLOOKUP("kdk bd",rku_SM_I,12,FALSE),IF($D$1=$AN$20,HLOOKUP("kdk bd",rku_SM_II,12,FALSE),IF($D$1=$AN$21,HLOOKUP("kdk bd",rku_2013,12,FALSE),IF($D$1=$AN$22,HLOOKUP("kdk bd",rku_jan_apr,12,FALSE),IF($D$1=$AN$23,HLOOKUP("kdk bd",rku_jan_mei,12,FALSE),IF($D$1=$AN$24,HLOOKUP("kdk bd",rku_jan_jul,12,FALSE),IF($D$1=$AN$25,HLOOKUP("kdk bd",rku_jan_ags,12,FALSE),IF($D$1=$AN$26,HLOOKUP("kdk bd",rku_jan_sep,12,FALSE),IF($D$1=$AN$27,HLOOKUP("kdk bd",rku_jan_okt,12,FALSE),IF($D$1=$AN$28,HLOOKUP("kdk bd",rku_jan_nov,12,FALSE),0)))))))))))))))))))))))))))</f>
        <v>1808</v>
      </c>
      <c r="P35" s="84">
        <f>IF($D$1&lt;&gt;"",IF($D$1=$AN$3,HLOOKUP("kdk bd",rku_01.jan,13,FALSE),IF($D$1=$AN$4,HLOOKUP("kdk bd",rku_02.feb,13,FALSE),IF($D$1=$AN$5,HLOOKUP("kdk bd",rku_03.mar,13,FALSE),IF($D$1=$AN$6,HLOOKUP("kdk bd",rku_04.apr,13,FALSE),IF($D$1=$AN$7,HLOOKUP("kdk bd",rku_05.mei,13,FALSE),IF($D$1=$AN$8,HLOOKUP("kdk bd",rku_06.jun,13,FALSE),IF($D$1=$AN$9,HLOOKUP("kdk bd",rku_07.jul,13,FALSE),IF($D$1=$AN$10,HLOOKUP("kdk bd",rku_08.ags,13,FALSE),IF($D$1=$AN$11,HLOOKUP("kdk bd",rku_09.sep,13,FALSE),IF($D$1=$AN$12,HLOOKUP("kdk bd",rku_10.okt,13,FALSE),IF($D$1=$AN$13,HLOOKUP("kdk bd",rku_11.nov,13,FALSE),IF($D$1=$AN$14,HLOOKUP("kdk bd",rku_12.des,13,FALSE),IF($D$1=$AN$15,HLOOKUP("kdk bd",rku_TW_I,13,FALSE),IF($D$1=$AN$16,HLOOKUP("kdk bd",rku_TW_II,13,FALSE),IF($D$1=$AN$17,HLOOKUP("kdk bd",rku_TW_III,13,FALSE),IF($D$1=$AN$18,HLOOKUP("kdk bd",rku_TW_IV,13,FALSE),IF($D$1=$AN$19,HLOOKUP("kdk bd",rku_SM_I,13,FALSE),IF($D$1=$AN$20,HLOOKUP("kdk bd",rku_SM_II,13,FALSE),IF($D$1=$AN$21,HLOOKUP("kdk bd",rku_2013,13,FALSE),IF($D$1=$AN$22,HLOOKUP("kdk bd",rku_jan_apr,13,FALSE),IF($D$1=$AN$23,HLOOKUP("kdk bd",rku_jan_mei,13,FALSE),IF($D$1=$AN$24,HLOOKUP("kdk bd",rku_jan_jul,13,FALSE),IF($D$1=$AN$25,HLOOKUP("kdk bd",rku_jan_ags,13,FALSE),IF($D$1=$AN$26,HLOOKUP("kdk bd",rku_jan_sep,13,FALSE),IF($D$1=$AN$27,HLOOKUP("kdk bd",rku_jan_okt,13,FALSE),IF($D$1=$AN$28,HLOOKUP("kdk bd",rku_jan_nov,13,FALSE),0)))))))))))))))))))))))))))</f>
        <v>1510</v>
      </c>
      <c r="Q35" s="84">
        <f>IF($D$1&lt;&gt;"",IF($D$1=$AN$3,HLOOKUP("kdk bd",rku_01.jan,14,FALSE),IF($D$1=$AN$4,HLOOKUP("kdk bd",rku_02.feb,14,FALSE),IF($D$1=$AN$5,HLOOKUP("kdk bd",rku_03.mar,14,FALSE),IF($D$1=$AN$6,HLOOKUP("kdk bd",rku_04.apr,14,FALSE),IF($D$1=$AN$7,HLOOKUP("kdk bd",rku_05.mei,14,FALSE),IF($D$1=$AN$8,HLOOKUP("kdk bd",rku_06.jun,14,FALSE),IF($D$1=$AN$9,HLOOKUP("kdk bd",rku_07.jul,14,FALSE),IF($D$1=$AN$10,HLOOKUP("kdk bd",rku_08.ags,14,FALSE),IF($D$1=$AN$11,HLOOKUP("kdk bd",rku_09.sep,14,FALSE),IF($D$1=$AN$12,HLOOKUP("kdk bd",rku_10.okt,14,FALSE),IF($D$1=$AN$13,HLOOKUP("kdk bd",rku_11.nov,14,FALSE),IF($D$1=$AN$14,HLOOKUP("kdk bd",rku_12.des,14,FALSE),IF($D$1=$AN$15,HLOOKUP("kdk bd",rku_TW_I,14,FALSE),IF($D$1=$AN$16,HLOOKUP("kdk bd",rku_TW_II,14,FALSE),IF($D$1=$AN$17,HLOOKUP("kdk bd",rku_TW_III,14,FALSE),IF($D$1=$AN$18,HLOOKUP("kdk bd",rku_TW_IV,14,FALSE),IF($D$1=$AN$19,HLOOKUP("kdk bd",rku_SM_I,14,FALSE),IF($D$1=$AN$20,HLOOKUP("kdk bd",rku_SM_II,14,FALSE),IF($D$1=$AN$21,HLOOKUP("kdk bd",rku_2013,14,FALSE),IF($D$1=$AN$22,HLOOKUP("kdk bd",rku_jan_apr,14,FALSE),IF($D$1=$AN$23,HLOOKUP("kdk bd",rku_jan_mei,14,FALSE),IF($D$1=$AN$24,HLOOKUP("kdk bd",rku_jan_jul,14,FALSE),IF($D$1=$AN$25,HLOOKUP("kdk bd",rku_jan_ags,14,FALSE),IF($D$1=$AN$26,HLOOKUP("kdk bd",rku_jan_sep,14,FALSE),IF($D$1=$AN$27,HLOOKUP("kdk bd",rku_jan_okt,14,FALSE),IF($D$1=$AN$28,HLOOKUP("kdk bd",rku_jan_nov,14,FALSE),0)))))))))))))))))))))))))))</f>
        <v>93</v>
      </c>
      <c r="R35" s="85">
        <f>+SUM(M35:Q35)</f>
        <v>-24236.5</v>
      </c>
      <c r="S35" s="84">
        <f>+R35+L35</f>
        <v>1436343.5</v>
      </c>
      <c r="U35" s="81">
        <v>6</v>
      </c>
      <c r="V35" s="83" t="s">
        <v>206</v>
      </c>
      <c r="W35" s="83" t="s">
        <v>180</v>
      </c>
      <c r="X35" s="84">
        <f t="shared" ref="X35:AD36" si="39">E35/X$100</f>
        <v>813</v>
      </c>
      <c r="Y35" s="84">
        <f t="shared" si="39"/>
        <v>-1528</v>
      </c>
      <c r="Z35" s="84">
        <f t="shared" si="39"/>
        <v>1190</v>
      </c>
      <c r="AA35" s="84">
        <f t="shared" si="39"/>
        <v>1932</v>
      </c>
      <c r="AB35" s="84">
        <f t="shared" si="39"/>
        <v>2467</v>
      </c>
      <c r="AC35" s="84">
        <f t="shared" si="39"/>
        <v>5975</v>
      </c>
      <c r="AD35" s="84">
        <f t="shared" si="39"/>
        <v>724</v>
      </c>
      <c r="AE35" s="85">
        <f>+SUM(X35:AD35)</f>
        <v>11573</v>
      </c>
      <c r="AF35" s="84">
        <f t="shared" ref="AF35:AJ36" si="40">M35/AF$100</f>
        <v>-5683</v>
      </c>
      <c r="AG35" s="84">
        <f t="shared" si="40"/>
        <v>307</v>
      </c>
      <c r="AH35" s="84">
        <f t="shared" si="40"/>
        <v>904</v>
      </c>
      <c r="AI35" s="84">
        <f t="shared" si="40"/>
        <v>1510</v>
      </c>
      <c r="AJ35" s="84">
        <f t="shared" si="40"/>
        <v>93</v>
      </c>
      <c r="AK35" s="85">
        <f>+SUM(AF35:AJ35)</f>
        <v>-2869</v>
      </c>
      <c r="AL35" s="84">
        <f>+AK35+AE35</f>
        <v>8704</v>
      </c>
    </row>
    <row r="36" spans="2:39" ht="14.25" x14ac:dyDescent="0.2">
      <c r="B36" s="86"/>
      <c r="C36" s="87"/>
      <c r="D36" s="87" t="s">
        <v>182</v>
      </c>
      <c r="E36" s="88">
        <f>IF($D$1&lt;&gt;"",IF($D$1=$AN$3,HLOOKUP("kdk bd",real_rku_01.jan,2,FALSE),IF($D$1=$AN$4,HLOOKUP("kdk bd",real_rku_02.feb,2,FALSE),IF($D$1=$AN$5,HLOOKUP("kdk bd",real_rku_03.mar,2,FALSE),IF($D$1=$AN$6,HLOOKUP("kdk bd",real_rku_04.apr,2,FALSE),IF($D$1=$AN$7,HLOOKUP("kdk bd",real_rku_05.mei,2,FALSE),IF($D$1=$AN$8,HLOOKUP("kdk bd",real_rku_06.jun,2,FALSE),IF($D$1=$AN$9,HLOOKUP("kdk bd",real_rku_07.jul,2,FALSE),IF($D$1=$AN$10,HLOOKUP("kdk bd",real_rku_08.ags,2,FALSE),IF($D$1=$AN$11,HLOOKUP("kdk bd",real_rku_09.sep,2,FALSE),IF($D$1=$AN$12,HLOOKUP("kdk bd",real_rku_10.okt,2,FALSE),IF($D$1=$AN$13,HLOOKUP("kdk bd",real_rku_11.nov,2,FALSE),IF($D$1=$AN$14,HLOOKUP("kdk bd",real_rku_12.des,2,FALSE),IF($D$1=$AN$15,HLOOKUP("kdk bd",real_rku_TW_I,2,FALSE),IF($D$1=$AN$16,HLOOKUP("kdk bd",real_rku_TW_II,2,FALSE),IF($D$1=$AN$17,HLOOKUP("kdk bd",real_rku_TW_III,2,FALSE),IF($D$1=$AN$18,HLOOKUP("kdk bd",real_rku_TW_IV,2,FALSE),IF($D$1=$AN$19,HLOOKUP("kdk bd",real_rku_SM_I,2,FALSE),IF($D$1=$AN$20,HLOOKUP("kdk bd",real_rku_SM_II,2,FALSE),IF($D$1=$AN$21,HLOOKUP("kdk bd",real_rku_2013,2,FALSE),IF($D$1=$AN$22,HLOOKUP("kdk bd",real_rku_jan_apr,2,FALSE),IF($D$1=$AN$23,HLOOKUP("kdk bd",real_rku_jan_mei,2,FALSE),IF($D$1=$AN$24,HLOOKUP("kdk bd",real_rku_jan_jul,2,FALSE),IF($D$1=$AN$25,HLOOKUP("kdk bd",real_rku_jan_ags,2,FALSE),IF($D$1=$AN$26,HLOOKUP("kdk bd",real_rku_jan_sep,2,FALSE),IF($D$1=$AN$27,HLOOKUP("kdk bd",real_rku_jan_okt,2,FALSE),IF($D$1=$AN$28,HLOOKUP("kdk bd",real_rku_jan_nov,2,FALSE),0)))))))))))))))))))))))))))</f>
        <v>1930000</v>
      </c>
      <c r="F36" s="88">
        <f>IF($D$1&lt;&gt;"",IF($D$1=$AN$3,HLOOKUP("kdk bd",real_rku_01.jan,3,FALSE),IF($D$1=$AN$4,HLOOKUP("kdk bd",real_rku_02.feb,3,FALSE),IF($D$1=$AN$5,HLOOKUP("kdk bd",real_rku_03.mar,3,FALSE),IF($D$1=$AN$6,HLOOKUP("kdk bd",real_rku_04.apr,3,FALSE),IF($D$1=$AN$7,HLOOKUP("kdk bd",real_rku_05.mei,3,FALSE),IF($D$1=$AN$8,HLOOKUP("kdk bd",real_rku_06.jun,3,FALSE),IF($D$1=$AN$9,HLOOKUP("kdk bd",real_rku_07.jul,3,FALSE),IF($D$1=$AN$10,HLOOKUP("kdk bd",real_rku_08.ags,3,FALSE),IF($D$1=$AN$11,HLOOKUP("kdk bd",real_rku_09.sep,3,FALSE),IF($D$1=$AN$12,HLOOKUP("kdk bd",real_rku_10.okt,3,FALSE),IF($D$1=$AN$13,HLOOKUP("kdk bd",real_rku_11.nov,3,FALSE),IF($D$1=$AN$14,HLOOKUP("kdk bd",real_rku_12.des,3,FALSE),IF($D$1=$AN$15,HLOOKUP("kdk bd",real_rku_TW_I,3,FALSE),IF($D$1=$AN$16,HLOOKUP("kdk bd",real_rku_TW_II,3,FALSE),IF($D$1=$AN$17,HLOOKUP("kdk bd",real_rku_TW_III,3,FALSE),IF($D$1=$AN$18,HLOOKUP("kdk bd",real_rku_TW_IV,3,FALSE),IF($D$1=$AN$19,HLOOKUP("kdk bd",real_rku_SM_I,3,FALSE),IF($D$1=$AN$20,HLOOKUP("kdk bd",real_rku_SM_II,3,FALSE),IF($D$1=$AN$21,HLOOKUP("kdk bd",real_rku_2013,3,FALSE),IF($D$1=$AN$22,HLOOKUP("kdk bd",real_rku_jan_apr,3,FALSE),IF($D$1=$AN$23,HLOOKUP("kdk bd",real_rku_jan_mei,3,FALSE),IF($D$1=$AN$24,HLOOKUP("kdk bd",real_rku_jan_jul,3,FALSE),IF($D$1=$AN$25,HLOOKUP("kdk bd",real_rku_jan_ags,3,FALSE),IF($D$1=$AN$26,HLOOKUP("kdk bd",real_rku_jan_sep,3,FALSE),IF($D$1=$AN$27,HLOOKUP("kdk bd",real_rku_jan_okt,3,FALSE),IF($D$1=$AN$28,HLOOKUP("kdk bd",real_rku_jan_nov,3,FALSE),0)))))))))))))))))))))))))))</f>
        <v>-800000</v>
      </c>
      <c r="G36" s="88">
        <f>IF($D$1&lt;&gt;"",IF($D$1=$AN$3,HLOOKUP("kdk bd",real_rku_01.jan,4,FALSE),IF($D$1=$AN$4,HLOOKUP("kdk bd",real_rku_02.feb,4,FALSE),IF($D$1=$AN$5,HLOOKUP("kdk bd",real_rku_03.mar,4,FALSE),IF($D$1=$AN$6,HLOOKUP("kdk bd",real_rku_04.apr,4,FALSE),IF($D$1=$AN$7,HLOOKUP("kdk bd",real_rku_05.mei,4,FALSE),IF($D$1=$AN$8,HLOOKUP("kdk bd",real_rku_06.jun,4,FALSE),IF($D$1=$AN$9,HLOOKUP("kdk bd",real_rku_07.jul,4,FALSE),IF($D$1=$AN$10,HLOOKUP("kdk bd",real_rku_08.ags,4,FALSE),IF($D$1=$AN$11,HLOOKUP("kdk bd",real_rku_09.sep,4,FALSE),IF($D$1=$AN$12,HLOOKUP("kdk bd",real_rku_10.okt,4,FALSE),IF($D$1=$AN$13,HLOOKUP("kdk bd",real_rku_11.nov,4,FALSE),IF($D$1=$AN$14,HLOOKUP("kdk bd",real_rku_12.des,4,FALSE),IF($D$1=$AN$15,HLOOKUP("kdk bd",real_rku_TW_I,4,FALSE),IF($D$1=$AN$16,HLOOKUP("kdk bd",real_rku_TW_II,4,FALSE),IF($D$1=$AN$17,HLOOKUP("kdk bd",real_rku_TW_III,4,FALSE),IF($D$1=$AN$18,HLOOKUP("kdk bd",real_rku_TW_IV,4,FALSE),IF($D$1=$AN$19,HLOOKUP("kdk bd",real_rku_SM_I,4,FALSE),IF($D$1=$AN$20,HLOOKUP("kdk bd",real_rku_SM_II,4,FALSE),IF($D$1=$AN$21,HLOOKUP("kdk bd",real_rku_2013,4,FALSE),IF($D$1=$AN$22,HLOOKUP("kdk bd",real_rku_jan_apr,4,FALSE),IF($D$1=$AN$23,HLOOKUP("kdk bd",real_rku_jan_mei,4,FALSE),IF($D$1=$AN$24,HLOOKUP("kdk bd",real_rku_jan_jul,4,FALSE),IF($D$1=$AN$25,HLOOKUP("kdk bd",real_rku_jan_ags,4,FALSE),IF($D$1=$AN$26,HLOOKUP("kdk bd",real_rku_jan_sep,4,FALSE),IF($D$1=$AN$27,HLOOKUP("kdk bd",real_rku_jan_okt,4,FALSE),IF($D$1=$AN$28,HLOOKUP("kdk bd",real_rku_jan_nov,4,FALSE),0)))))))))))))))))))))))))))</f>
        <v>740000</v>
      </c>
      <c r="H36" s="88">
        <f>IF($D$1&lt;&gt;"",IF($D$1=$AN$3,HLOOKUP("kdk bd",real_rku_01.jan,5,FALSE),IF($D$1=$AN$4,HLOOKUP("kdk bd",real_rku_02.feb,5,FALSE),IF($D$1=$AN$5,HLOOKUP("kdk bd",real_rku_03.mar,5,FALSE),IF($D$1=$AN$6,HLOOKUP("kdk bd",real_rku_04.apr,5,FALSE),IF($D$1=$AN$7,HLOOKUP("kdk bd",real_rku_05.mei,5,FALSE),IF($D$1=$AN$8,HLOOKUP("kdk bd",real_rku_06.jun,5,FALSE),IF($D$1=$AN$9,HLOOKUP("kdk bd",real_rku_07.jul,5,FALSE),IF($D$1=$AN$10,HLOOKUP("kdk bd",real_rku_08.ags,5,FALSE),IF($D$1=$AN$11,HLOOKUP("kdk bd",real_rku_09.sep,5,FALSE),IF($D$1=$AN$12,HLOOKUP("kdk bd",real_rku_10.okt,5,FALSE),IF($D$1=$AN$13,HLOOKUP("kdk bd",real_rku_11.nov,5,FALSE),IF($D$1=$AN$14,HLOOKUP("kdk bd",real_rku_12.des,5,FALSE),IF($D$1=$AN$15,HLOOKUP("kdk bd",real_rku_TW_I,5,FALSE),IF($D$1=$AN$16,HLOOKUP("kdk bd",real_rku_TW_II,5,FALSE),IF($D$1=$AN$17,HLOOKUP("kdk bd",real_rku_TW_III,5,FALSE),IF($D$1=$AN$18,HLOOKUP("kdk bd",real_rku_TW_IV,5,FALSE),IF($D$1=$AN$19,HLOOKUP("kdk bd",real_rku_SM_I,5,FALSE),IF($D$1=$AN$20,HLOOKUP("kdk bd",real_rku_SM_II,5,FALSE),IF($D$1=$AN$21,HLOOKUP("kdk bd",real_rku_2013,5,FALSE),IF($D$1=$AN$22,HLOOKUP("kdk bd",real_rku_jan_apr,5,FALSE),IF($D$1=$AN$23,HLOOKUP("kdk bd",real_rku_jan_mei,5,FALSE),IF($D$1=$AN$24,HLOOKUP("kdk bd",real_rku_jan_jul,5,FALSE),IF($D$1=$AN$25,HLOOKUP("kdk bd",real_rku_jan_ags,5,FALSE),IF($D$1=$AN$26,HLOOKUP("kdk bd",real_rku_jan_sep,5,FALSE),IF($D$1=$AN$27,HLOOKUP("kdk bd",real_rku_jan_okt,5,FALSE),IF($D$1=$AN$28,HLOOKUP("kdk bd",real_rku_jan_nov,5,FALSE),0)))))))))))))))))))))))))))</f>
        <v>510000</v>
      </c>
      <c r="I36" s="88">
        <f>IF($D$1&lt;&gt;"",IF($D$1=$AN$3,HLOOKUP("kdk bd",real_rku_01.jan,6,FALSE),IF($D$1=$AN$4,HLOOKUP("kdk bd",real_rku_02.feb,6,FALSE),IF($D$1=$AN$5,HLOOKUP("kdk bd",real_rku_03.mar,6,FALSE),IF($D$1=$AN$6,HLOOKUP("kdk bd",real_rku_04.apr,6,FALSE),IF($D$1=$AN$7,HLOOKUP("kdk bd",real_rku_05.mei,6,FALSE),IF($D$1=$AN$8,HLOOKUP("kdk bd",real_rku_06.jun,6,FALSE),IF($D$1=$AN$9,HLOOKUP("kdk bd",real_rku_07.jul,6,FALSE),IF($D$1=$AN$10,HLOOKUP("kdk bd",real_rku_08.ags,6,FALSE),IF($D$1=$AN$11,HLOOKUP("kdk bd",real_rku_09.sep,6,FALSE),IF($D$1=$AN$12,HLOOKUP("kdk bd",real_rku_10.okt,6,FALSE),IF($D$1=$AN$13,HLOOKUP("kdk bd",real_rku_11.nov,6,FALSE),IF($D$1=$AN$14,HLOOKUP("kdk bd",real_rku_12.des,6,FALSE),IF($D$1=$AN$15,HLOOKUP("kdk bd",real_rku_TW_I,6,FALSE),IF($D$1=$AN$16,HLOOKUP("kdk bd",real_rku_TW_II,6,FALSE),IF($D$1=$AN$17,HLOOKUP("kdk bd",real_rku_TW_III,6,FALSE),IF($D$1=$AN$18,HLOOKUP("kdk bd",real_rku_TW_IV,6,FALSE),IF($D$1=$AN$19,HLOOKUP("kdk bd",real_rku_SM_I,6,FALSE),IF($D$1=$AN$20,HLOOKUP("kdk bd",real_rku_SM_II,6,FALSE),IF($D$1=$AN$21,HLOOKUP("kdk bd",real_rku_2013,6,FALSE),IF($D$1=$AN$22,HLOOKUP("kdk bd",real_rku_jan_apr,6,FALSE),IF($D$1=$AN$23,HLOOKUP("kdk bd",real_rku_jan_mei,6,FALSE),IF($D$1=$AN$24,HLOOKUP("kdk bd",real_rku_jan_jul,6,FALSE),IF($D$1=$AN$25,HLOOKUP("kdk bd",real_rku_jan_ags,6,FALSE),IF($D$1=$AN$26,HLOOKUP("kdk bd",real_rku_jan_sep,6,FALSE),IF($D$1=$AN$27,HLOOKUP("kdk bd",real_rku_jan_okt,6,FALSE),IF($D$1=$AN$28,HLOOKUP("kdk bd",real_rku_jan_nov,6,FALSE),0)))))))))))))))))))))))))))</f>
        <v>410000</v>
      </c>
      <c r="J36" s="88">
        <f>IF($D$1&lt;&gt;"",IF($D$1=$AN$3,HLOOKUP("kdk bd",real_rku_01.jan,7,FALSE),IF($D$1=$AN$4,HLOOKUP("kdk bd",real_rku_02.feb,7,FALSE),IF($D$1=$AN$5,HLOOKUP("kdk bd",real_rku_03.mar,7,FALSE),IF($D$1=$AN$6,HLOOKUP("kdk bd",real_rku_04.apr,7,FALSE),IF($D$1=$AN$7,HLOOKUP("kdk bd",real_rku_05.mei,7,FALSE),IF($D$1=$AN$8,HLOOKUP("kdk bd",real_rku_06.jun,7,FALSE),IF($D$1=$AN$9,HLOOKUP("kdk bd",real_rku_07.jul,7,FALSE),IF($D$1=$AN$10,HLOOKUP("kdk bd",real_rku_08.ags,7,FALSE),IF($D$1=$AN$11,HLOOKUP("kdk bd",real_rku_09.sep,7,FALSE),IF($D$1=$AN$12,HLOOKUP("kdk bd",real_rku_10.okt,7,FALSE),IF($D$1=$AN$13,HLOOKUP("kdk bd",real_rku_11.nov,7,FALSE),IF($D$1=$AN$14,HLOOKUP("kdk bd",real_rku_12.des,7,FALSE),IF($D$1=$AN$15,HLOOKUP("kdk bd",real_rku_TW_I,7,FALSE),IF($D$1=$AN$16,HLOOKUP("kdk bd",real_rku_TW_II,7,FALSE),IF($D$1=$AN$17,HLOOKUP("kdk bd",real_rku_TW_III,7,FALSE),IF($D$1=$AN$18,HLOOKUP("kdk bd",real_rku_TW_IV,7,FALSE),IF($D$1=$AN$19,HLOOKUP("kdk bd",real_rku_SM_I,7,FALSE),IF($D$1=$AN$20,HLOOKUP("kdk bd",real_rku_SM_II,7,FALSE),IF($D$1=$AN$21,HLOOKUP("kdk bd",real_rku_2013,7,FALSE),IF($D$1=$AN$22,HLOOKUP("kdk bd",real_rku_jan_apr,7,FALSE),IF($D$1=$AN$23,HLOOKUP("kdk bd",real_rku_jan_mei,7,FALSE),IF($D$1=$AN$24,HLOOKUP("kdk bd",real_rku_jan_jul,7,FALSE),IF($D$1=$AN$25,HLOOKUP("kdk bd",real_rku_jan_ags,7,FALSE),IF($D$1=$AN$26,HLOOKUP("kdk bd",real_rku_jan_sep,7,FALSE),IF($D$1=$AN$27,HLOOKUP("kdk bd",real_rku_jan_okt,7,FALSE),IF($D$1=$AN$28,HLOOKUP("kdk bd",real_rku_jan_nov,7,FALSE),0)))))))))))))))))))))))))))</f>
        <v>330000</v>
      </c>
      <c r="K36" s="88">
        <f>IF($D$1&lt;&gt;"",IF($D$1=$AN$3,HLOOKUP("kdk bd",real_rku_01.jan,8,FALSE),IF($D$1=$AN$4,HLOOKUP("kdk bd",real_rku_02.feb,8,FALSE),IF($D$1=$AN$5,HLOOKUP("kdk bd",real_rku_03.mar,8,FALSE),IF($D$1=$AN$6,HLOOKUP("kdk bd",real_rku_04.apr,8,FALSE),IF($D$1=$AN$7,HLOOKUP("kdk bd",real_rku_05.mei,8,FALSE),IF($D$1=$AN$8,HLOOKUP("kdk bd",real_rku_06.jun,8,FALSE),IF($D$1=$AN$9,HLOOKUP("kdk bd",real_rku_07.jul,8,FALSE),IF($D$1=$AN$10,HLOOKUP("kdk bd",real_rku_08.ags,8,FALSE),IF($D$1=$AN$11,HLOOKUP("kdk bd",real_rku_09.sep,8,FALSE),IF($D$1=$AN$12,HLOOKUP("kdk bd",real_rku_10.okt,8,FALSE),IF($D$1=$AN$13,HLOOKUP("kdk bd",real_rku_11.nov,8,FALSE),IF($D$1=$AN$14,HLOOKUP("kdk bd",real_rku_12.des,8,FALSE),IF($D$1=$AN$15,HLOOKUP("kdk bd",real_rku_TW_I,8,FALSE),IF($D$1=$AN$16,HLOOKUP("kdk bd",real_rku_TW_II,8,FALSE),IF($D$1=$AN$17,HLOOKUP("kdk bd",real_rku_TW_III,8,FALSE),IF($D$1=$AN$18,HLOOKUP("kdk bd",real_rku_TW_IV,8,FALSE),IF($D$1=$AN$19,HLOOKUP("kdk bd",real_rku_SM_I,8,FALSE),IF($D$1=$AN$20,HLOOKUP("kdk bd",real_rku_SM_II,8,FALSE),IF($D$1=$AN$21,HLOOKUP("kdk bd",real_rku_2013,8,FALSE),IF($D$1=$AN$22,HLOOKUP("kdk bd",real_rku_jan_apr,8,FALSE),IF($D$1=$AN$23,HLOOKUP("kdk bd",real_rku_jan_mei,8,FALSE),IF($D$1=$AN$24,HLOOKUP("kdk bd",real_rku_jan_jul,8,FALSE),IF($D$1=$AN$25,HLOOKUP("kdk bd",real_rku_jan_ags,8,FALSE),IF($D$1=$AN$26,HLOOKUP("kdk bd",real_rku_jan_sep,8,FALSE),IF($D$1=$AN$27,HLOOKUP("kdk bd",real_rku_jan_okt,8,FALSE),IF($D$1=$AN$28,HLOOKUP("kdk bd",real_rku_jan_nov,8,FALSE),0)))))))))))))))))))))))))))</f>
        <v>9000</v>
      </c>
      <c r="L36" s="89">
        <f>+SUM(E36:K36)</f>
        <v>3129000</v>
      </c>
      <c r="M36" s="88">
        <f>IF($D$1&lt;&gt;"",IF($D$1=$AN$3,HLOOKUP("kdk bd",real_rku_01.jan,10,FALSE),IF($D$1=$AN$4,HLOOKUP("kdk bd",real_rku_02.feb,10,FALSE),IF($D$1=$AN$5,HLOOKUP("kdk bd",real_rku_03.mar,10,FALSE),IF($D$1=$AN$6,HLOOKUP("kdk bd",real_rku_04.apr,10,FALSE),IF($D$1=$AN$7,HLOOKUP("kdk bd",real_rku_05.mei,10,FALSE),IF($D$1=$AN$8,HLOOKUP("kdk bd",real_rku_06.jun,10,FALSE),IF($D$1=$AN$9,HLOOKUP("kdk bd",real_rku_07.jul,10,FALSE),IF($D$1=$AN$10,HLOOKUP("kdk bd",real_rku_08.ags,10,FALSE),IF($D$1=$AN$11,HLOOKUP("kdk bd",real_rku_09.sep,10,FALSE),IF($D$1=$AN$12,HLOOKUP("kdk bd",real_rku_10.okt,10,FALSE),IF($D$1=$AN$13,HLOOKUP("kdk bd",real_rku_11.nov,10,FALSE),IF($D$1=$AN$14,HLOOKUP("kdk bd",real_rku_12.des,10,FALSE),IF($D$1=$AN$15,HLOOKUP("kdk bd",real_rku_TW_I,10,FALSE),IF($D$1=$AN$16,HLOOKUP("kdk bd",real_rku_TW_II,10,FALSE),IF($D$1=$AN$17,HLOOKUP("kdk bd",real_rku_TW_III,10,FALSE),IF($D$1=$AN$18,HLOOKUP("kdk bd",real_rku_TW_IV,10,FALSE),IF($D$1=$AN$19,HLOOKUP("kdk bd",real_rku_SM_I,10,FALSE),IF($D$1=$AN$20,HLOOKUP("kdk bd",real_rku_SM_II,10,FALSE),IF($D$1=$AN$21,HLOOKUP("kdk bd",real_rku_2013,10,FALSE),IF($D$1=$AN$22,HLOOKUP("kdk bd",real_rku_jan_apr,10,FALSE),IF($D$1=$AN$23,HLOOKUP("kdk bd",real_rku_jan_mei,10,FALSE),IF($D$1=$AN$24,HLOOKUP("kdk bd",real_rku_jan_jul,10,FALSE),IF($D$1=$AN$25,HLOOKUP("kdk bd",real_rku_jan_ags,10,FALSE),IF($D$1=$AN$26,HLOOKUP("kdk bd",real_rku_jan_sep,10,FALSE),IF($D$1=$AN$27,HLOOKUP("kdk bd",real_rku_jan_okt,10,FALSE),IF($D$1=$AN$28,HLOOKUP("kdk bd",real_rku_jan_nov,10,FALSE),0)))))))))))))))))))))))))))</f>
        <v>-12500</v>
      </c>
      <c r="N36" s="88">
        <f>IF($D$1&lt;&gt;"",IF($D$1=$AN$3,HLOOKUP("kdk bd",real_rku_01.jan,11,FALSE),IF($D$1=$AN$4,HLOOKUP("kdk bd",real_rku_02.feb,11,FALSE),IF($D$1=$AN$5,HLOOKUP("kdk bd",real_rku_03.mar,11,FALSE),IF($D$1=$AN$6,HLOOKUP("kdk bd",real_rku_04.apr,11,FALSE),IF($D$1=$AN$7,HLOOKUP("kdk bd",real_rku_05.mei,11,FALSE),IF($D$1=$AN$8,HLOOKUP("kdk bd",real_rku_06.jun,11,FALSE),IF($D$1=$AN$9,HLOOKUP("kdk bd",real_rku_07.jul,11,FALSE),IF($D$1=$AN$10,HLOOKUP("kdk bd",real_rku_08.ags,11,FALSE),IF($D$1=$AN$11,HLOOKUP("kdk bd",real_rku_09.sep,11,FALSE),IF($D$1=$AN$12,HLOOKUP("kdk bd",real_rku_10.okt,11,FALSE),IF($D$1=$AN$13,HLOOKUP("kdk bd",real_rku_11.nov,11,FALSE),IF($D$1=$AN$14,HLOOKUP("kdk bd",real_rku_12.des,11,FALSE),IF($D$1=$AN$15,HLOOKUP("kdk bd",real_rku_TW_I,11,FALSE),IF($D$1=$AN$16,HLOOKUP("kdk bd",real_rku_TW_II,11,FALSE),IF($D$1=$AN$17,HLOOKUP("kdk bd",real_rku_TW_III,11,FALSE),IF($D$1=$AN$18,HLOOKUP("kdk bd",real_rku_TW_IV,11,FALSE),IF($D$1=$AN$19,HLOOKUP("kdk bd",real_rku_SM_I,11,FALSE),IF($D$1=$AN$20,HLOOKUP("kdk bd",real_rku_SM_II,11,FALSE),IF($D$1=$AN$21,HLOOKUP("kdk bd",real_rku_2013,11,FALSE),IF($D$1=$AN$22,HLOOKUP("kdk bd",real_rku_jan_apr,11,FALSE),IF($D$1=$AN$23,HLOOKUP("kdk bd",real_rku_jan_mei,11,FALSE),IF($D$1=$AN$24,HLOOKUP("kdk bd",real_rku_jan_jul,11,FALSE),IF($D$1=$AN$25,HLOOKUP("kdk bd",real_rku_jan_ags,11,FALSE),IF($D$1=$AN$26,HLOOKUP("kdk bd",real_rku_jan_sep,11,FALSE),IF($D$1=$AN$27,HLOOKUP("kdk bd",real_rku_jan_okt,11,FALSE),IF($D$1=$AN$28,HLOOKUP("kdk bd",real_rku_jan_nov,11,FALSE),0)))))))))))))))))))))))))))</f>
        <v>3000</v>
      </c>
      <c r="O36" s="88">
        <f>IF($D$1&lt;&gt;"",IF($D$1=$AN$3,HLOOKUP("kdk bd",real_rku_01.jan,12,FALSE),IF($D$1=$AN$4,HLOOKUP("kdk bd",real_rku_02.feb,12,FALSE),IF($D$1=$AN$5,HLOOKUP("kdk bd",real_rku_03.mar,12,FALSE),IF($D$1=$AN$6,HLOOKUP("kdk bd",real_rku_04.apr,12,FALSE),IF($D$1=$AN$7,HLOOKUP("kdk bd",real_rku_05.mei,12,FALSE),IF($D$1=$AN$8,HLOOKUP("kdk bd",real_rku_06.jun,12,FALSE),IF($D$1=$AN$9,HLOOKUP("kdk bd",real_rku_07.jul,12,FALSE),IF($D$1=$AN$10,HLOOKUP("kdk bd",real_rku_08.ags,12,FALSE),IF($D$1=$AN$11,HLOOKUP("kdk bd",real_rku_09.sep,12,FALSE),IF($D$1=$AN$12,HLOOKUP("kdk bd",real_rku_10.okt,12,FALSE),IF($D$1=$AN$13,HLOOKUP("kdk bd",real_rku_11.nov,12,FALSE),IF($D$1=$AN$14,HLOOKUP("kdk bd",real_rku_12.des,12,FALSE),IF($D$1=$AN$15,HLOOKUP("kdk bd",real_rku_TW_I,12,FALSE),IF($D$1=$AN$16,HLOOKUP("kdk bd",real_rku_TW_II,12,FALSE),IF($D$1=$AN$17,HLOOKUP("kdk bd",real_rku_TW_III,12,FALSE),IF($D$1=$AN$18,HLOOKUP("kdk bd",real_rku_TW_IV,12,FALSE),IF($D$1=$AN$19,HLOOKUP("kdk bd",real_rku_SM_I,12,FALSE),IF($D$1=$AN$20,HLOOKUP("kdk bd",real_rku_SM_II,12,FALSE),IF($D$1=$AN$21,HLOOKUP("kdk bd",real_rku_2013,12,FALSE),IF($D$1=$AN$22,HLOOKUP("kdk bd",real_rku_jan_apr,12,FALSE),IF($D$1=$AN$23,HLOOKUP("kdk bd",real_rku_jan_mei,12,FALSE),IF($D$1=$AN$24,HLOOKUP("kdk bd",real_rku_jan_jul,12,FALSE),IF($D$1=$AN$25,HLOOKUP("kdk bd",real_rku_jan_ags,12,FALSE),IF($D$1=$AN$26,HLOOKUP("kdk bd",real_rku_jan_sep,12,FALSE),IF($D$1=$AN$27,HLOOKUP("kdk bd",real_rku_jan_okt,12,FALSE),IF($D$1=$AN$28,HLOOKUP("kdk bd",real_rku_jan_nov,12,FALSE),0)))))))))))))))))))))))))))</f>
        <v>2500</v>
      </c>
      <c r="P36" s="88">
        <f>IF($D$1&lt;&gt;"",IF($D$1=$AN$3,HLOOKUP("kdk bd",real_rku_01.jan,13,FALSE),IF($D$1=$AN$4,HLOOKUP("kdk bd",real_rku_02.feb,13,FALSE),IF($D$1=$AN$5,HLOOKUP("kdk bd",real_rku_03.mar,13,FALSE),IF($D$1=$AN$6,HLOOKUP("kdk bd",real_rku_04.apr,13,FALSE),IF($D$1=$AN$7,HLOOKUP("kdk bd",real_rku_05.mei,13,FALSE),IF($D$1=$AN$8,HLOOKUP("kdk bd",real_rku_06.jun,13,FALSE),IF($D$1=$AN$9,HLOOKUP("kdk bd",real_rku_07.jul,13,FALSE),IF($D$1=$AN$10,HLOOKUP("kdk bd",real_rku_08.ags,13,FALSE),IF($D$1=$AN$11,HLOOKUP("kdk bd",real_rku_09.sep,13,FALSE),IF($D$1=$AN$12,HLOOKUP("kdk bd",real_rku_10.okt,13,FALSE),IF($D$1=$AN$13,HLOOKUP("kdk bd",real_rku_11.nov,13,FALSE),IF($D$1=$AN$14,HLOOKUP("kdk bd",real_rku_12.des,13,FALSE),IF($D$1=$AN$15,HLOOKUP("kdk bd",real_rku_TW_I,13,FALSE),IF($D$1=$AN$16,HLOOKUP("kdk bd",real_rku_TW_II,13,FALSE),IF($D$1=$AN$17,HLOOKUP("kdk bd",real_rku_TW_III,13,FALSE),IF($D$1=$AN$18,HLOOKUP("kdk bd",real_rku_TW_IV,13,FALSE),IF($D$1=$AN$19,HLOOKUP("kdk bd",real_rku_SM_I,13,FALSE),IF($D$1=$AN$20,HLOOKUP("kdk bd",real_rku_SM_II,13,FALSE),IF($D$1=$AN$21,HLOOKUP("kdk bd",real_rku_2013,13,FALSE),IF($D$1=$AN$22,HLOOKUP("kdk bd",real_rku_jan_apr,13,FALSE),IF($D$1=$AN$23,HLOOKUP("kdk bd",real_rku_jan_mei,13,FALSE),IF($D$1=$AN$24,HLOOKUP("kdk bd",real_rku_jan_jul,13,FALSE),IF($D$1=$AN$25,HLOOKUP("kdk bd",real_rku_jan_ags,13,FALSE),IF($D$1=$AN$26,HLOOKUP("kdk bd",real_rku_jan_sep,13,FALSE),IF($D$1=$AN$27,HLOOKUP("kdk bd",real_rku_jan_okt,13,FALSE),IF($D$1=$AN$28,HLOOKUP("kdk bd",real_rku_jan_nov,13,FALSE),0)))))))))))))))))))))))))))</f>
        <v>1540</v>
      </c>
      <c r="Q36" s="88">
        <f>IF($D$1&lt;&gt;"",IF($D$1=$AN$3,HLOOKUP("kdk bd",real_rku_01.jan,14,FALSE),IF($D$1=$AN$4,HLOOKUP("kdk bd",real_rku_02.feb,14,FALSE),IF($D$1=$AN$5,HLOOKUP("kdk bd",real_rku_03.mar,14,FALSE),IF($D$1=$AN$6,HLOOKUP("kdk bd",real_rku_04.apr,14,FALSE),IF($D$1=$AN$7,HLOOKUP("kdk bd",real_rku_05.mei,14,FALSE),IF($D$1=$AN$8,HLOOKUP("kdk bd",real_rku_06.jun,14,FALSE),IF($D$1=$AN$9,HLOOKUP("kdk bd",real_rku_07.jul,14,FALSE),IF($D$1=$AN$10,HLOOKUP("kdk bd",real_rku_08.ags,14,FALSE),IF($D$1=$AN$11,HLOOKUP("kdk bd",real_rku_09.sep,14,FALSE),IF($D$1=$AN$12,HLOOKUP("kdk bd",real_rku_10.okt,14,FALSE),IF($D$1=$AN$13,HLOOKUP("kdk bd",real_rku_11.nov,14,FALSE),IF($D$1=$AN$14,HLOOKUP("kdk bd",real_rku_12.des,14,FALSE),IF($D$1=$AN$15,HLOOKUP("kdk bd",real_rku_TW_I,14,FALSE),IF($D$1=$AN$16,HLOOKUP("kdk bd",real_rku_TW_II,14,FALSE),IF($D$1=$AN$17,HLOOKUP("kdk bd",real_rku_TW_III,14,FALSE),IF($D$1=$AN$18,HLOOKUP("kdk bd",real_rku_TW_IV,14,FALSE),IF($D$1=$AN$19,HLOOKUP("kdk bd",real_rku_SM_I,14,FALSE),IF($D$1=$AN$20,HLOOKUP("kdk bd",real_rku_SM_II,14,FALSE),IF($D$1=$AN$21,HLOOKUP("kdk bd",real_rku_2013,14,FALSE),IF($D$1=$AN$22,HLOOKUP("kdk bd",real_rku_jan_apr,14,FALSE),IF($D$1=$AN$23,HLOOKUP("kdk bd",real_rku_jan_mei,14,FALSE),IF($D$1=$AN$24,HLOOKUP("kdk bd",real_rku_jan_jul,14,FALSE),IF($D$1=$AN$25,HLOOKUP("kdk bd",real_rku_jan_ags,14,FALSE),IF($D$1=$AN$26,HLOOKUP("kdk bd",real_rku_jan_sep,14,FALSE),IF($D$1=$AN$27,HLOOKUP("kdk bd",real_rku_jan_okt,14,FALSE),IF($D$1=$AN$28,HLOOKUP("kdk bd",real_rku_jan_nov,14,FALSE),0)))))))))))))))))))))))))))</f>
        <v>160</v>
      </c>
      <c r="R36" s="89">
        <f>+SUM(M36:Q36)</f>
        <v>-5300</v>
      </c>
      <c r="S36" s="88">
        <f>+R36+L36</f>
        <v>3123700</v>
      </c>
      <c r="T36" s="115"/>
      <c r="U36" s="86"/>
      <c r="V36" s="87"/>
      <c r="W36" s="87" t="s">
        <v>182</v>
      </c>
      <c r="X36" s="88">
        <f t="shared" si="39"/>
        <v>965</v>
      </c>
      <c r="Y36" s="88">
        <f t="shared" si="39"/>
        <v>-800</v>
      </c>
      <c r="Z36" s="88">
        <f t="shared" si="39"/>
        <v>1850</v>
      </c>
      <c r="AA36" s="88">
        <f t="shared" si="39"/>
        <v>2550</v>
      </c>
      <c r="AB36" s="88">
        <f t="shared" si="39"/>
        <v>4100</v>
      </c>
      <c r="AC36" s="88">
        <f t="shared" si="39"/>
        <v>8250</v>
      </c>
      <c r="AD36" s="88">
        <f t="shared" si="39"/>
        <v>450</v>
      </c>
      <c r="AE36" s="89">
        <f>+SUM(X36:AD36)</f>
        <v>17365</v>
      </c>
      <c r="AF36" s="88">
        <f t="shared" si="40"/>
        <v>-2500</v>
      </c>
      <c r="AG36" s="88">
        <f t="shared" si="40"/>
        <v>1200</v>
      </c>
      <c r="AH36" s="88">
        <f t="shared" si="40"/>
        <v>1250</v>
      </c>
      <c r="AI36" s="88">
        <f t="shared" si="40"/>
        <v>1540</v>
      </c>
      <c r="AJ36" s="88">
        <f t="shared" si="40"/>
        <v>160</v>
      </c>
      <c r="AK36" s="89">
        <f>+SUM(AF36:AJ36)</f>
        <v>1650</v>
      </c>
      <c r="AL36" s="88">
        <f>+AK36+AE36</f>
        <v>19015</v>
      </c>
    </row>
    <row r="37" spans="2:39" ht="15" x14ac:dyDescent="0.25">
      <c r="B37" s="86"/>
      <c r="C37" s="87"/>
      <c r="D37" s="87" t="s">
        <v>184</v>
      </c>
      <c r="E37" s="88">
        <f t="shared" ref="E37:K37" si="41">+E35-E36</f>
        <v>-304000</v>
      </c>
      <c r="F37" s="88">
        <f t="shared" si="41"/>
        <v>-728000</v>
      </c>
      <c r="G37" s="88">
        <f t="shared" si="41"/>
        <v>-264000</v>
      </c>
      <c r="H37" s="88">
        <f t="shared" si="41"/>
        <v>-123600</v>
      </c>
      <c r="I37" s="88">
        <f t="shared" si="41"/>
        <v>-163300</v>
      </c>
      <c r="J37" s="88">
        <f t="shared" si="41"/>
        <v>-91000</v>
      </c>
      <c r="K37" s="88">
        <f t="shared" si="41"/>
        <v>5480</v>
      </c>
      <c r="L37" s="89">
        <f>+SUM(E37:K37)</f>
        <v>-1668420</v>
      </c>
      <c r="M37" s="88">
        <f>+M35-M36</f>
        <v>-15915</v>
      </c>
      <c r="N37" s="88">
        <f>+N35-N36</f>
        <v>-2232.5</v>
      </c>
      <c r="O37" s="88">
        <f>+O35-O36</f>
        <v>-692</v>
      </c>
      <c r="P37" s="88">
        <f>+P35-P36</f>
        <v>-30</v>
      </c>
      <c r="Q37" s="88">
        <f>+Q35-Q36</f>
        <v>-67</v>
      </c>
      <c r="R37" s="89">
        <f>+SUM(M37:Q37)</f>
        <v>-18936.5</v>
      </c>
      <c r="S37" s="88">
        <f>+R37+L37</f>
        <v>-1687356.5</v>
      </c>
      <c r="T37" s="114"/>
      <c r="U37" s="86"/>
      <c r="V37" s="87"/>
      <c r="W37" s="87" t="s">
        <v>184</v>
      </c>
      <c r="X37" s="88">
        <f t="shared" ref="X37:AD37" si="42">+X35-X36</f>
        <v>-152</v>
      </c>
      <c r="Y37" s="88">
        <f t="shared" si="42"/>
        <v>-728</v>
      </c>
      <c r="Z37" s="88">
        <f t="shared" si="42"/>
        <v>-660</v>
      </c>
      <c r="AA37" s="88">
        <f t="shared" si="42"/>
        <v>-618</v>
      </c>
      <c r="AB37" s="88">
        <f t="shared" si="42"/>
        <v>-1633</v>
      </c>
      <c r="AC37" s="88">
        <f t="shared" si="42"/>
        <v>-2275</v>
      </c>
      <c r="AD37" s="88">
        <f t="shared" si="42"/>
        <v>274</v>
      </c>
      <c r="AE37" s="89">
        <f>+SUM(X37:AD37)</f>
        <v>-5792</v>
      </c>
      <c r="AF37" s="88">
        <f>+AF35-AF36</f>
        <v>-3183</v>
      </c>
      <c r="AG37" s="88">
        <f>+AG35-AG36</f>
        <v>-893</v>
      </c>
      <c r="AH37" s="88">
        <f>+AH35-AH36</f>
        <v>-346</v>
      </c>
      <c r="AI37" s="88">
        <f>+AI35-AI36</f>
        <v>-30</v>
      </c>
      <c r="AJ37" s="88">
        <f>+AJ35-AJ36</f>
        <v>-67</v>
      </c>
      <c r="AK37" s="89">
        <f>+SUM(AF37:AJ37)</f>
        <v>-4519</v>
      </c>
      <c r="AL37" s="88">
        <f>+AK37+AE37</f>
        <v>-10311</v>
      </c>
      <c r="AM37" s="91">
        <f>+AL37/1250</f>
        <v>-8.2487999999999992</v>
      </c>
    </row>
    <row r="38" spans="2:39" ht="14.25" x14ac:dyDescent="0.2">
      <c r="B38" s="86"/>
      <c r="C38" s="108"/>
      <c r="D38" s="109" t="s">
        <v>186</v>
      </c>
      <c r="E38" s="110">
        <f t="shared" ref="E38:S38" si="43">IF(E35=0,"-",E36/E35)</f>
        <v>1.1869618696186961</v>
      </c>
      <c r="F38" s="110">
        <f t="shared" si="43"/>
        <v>0.52356020942408377</v>
      </c>
      <c r="G38" s="110">
        <f t="shared" si="43"/>
        <v>1.5546218487394958</v>
      </c>
      <c r="H38" s="110">
        <f t="shared" si="43"/>
        <v>1.3198757763975155</v>
      </c>
      <c r="I38" s="110">
        <f t="shared" si="43"/>
        <v>1.6619375760032429</v>
      </c>
      <c r="J38" s="110">
        <f t="shared" si="43"/>
        <v>1.3807531380753137</v>
      </c>
      <c r="K38" s="110">
        <f t="shared" si="43"/>
        <v>0.62154696132596687</v>
      </c>
      <c r="L38" s="111">
        <f t="shared" si="43"/>
        <v>2.1422996343918168</v>
      </c>
      <c r="M38" s="110">
        <f t="shared" si="43"/>
        <v>0.43990849903220131</v>
      </c>
      <c r="N38" s="110">
        <f t="shared" si="43"/>
        <v>3.9087947882736156</v>
      </c>
      <c r="O38" s="110">
        <f t="shared" si="43"/>
        <v>1.3827433628318584</v>
      </c>
      <c r="P38" s="110">
        <f t="shared" si="43"/>
        <v>1.0198675496688743</v>
      </c>
      <c r="Q38" s="110">
        <f t="shared" si="43"/>
        <v>1.7204301075268817</v>
      </c>
      <c r="R38" s="111">
        <f t="shared" si="43"/>
        <v>0.21867843954366348</v>
      </c>
      <c r="S38" s="110">
        <f t="shared" si="43"/>
        <v>2.1747583360108496</v>
      </c>
      <c r="T38" s="95">
        <f>+S38*$T$6</f>
        <v>1.5223308352075946</v>
      </c>
      <c r="U38" s="86"/>
      <c r="V38" s="108"/>
      <c r="W38" s="109" t="s">
        <v>186</v>
      </c>
      <c r="X38" s="110">
        <f t="shared" ref="X38:AL38" si="44">IF(X35=0,"-",X36/X35)</f>
        <v>1.1869618696186961</v>
      </c>
      <c r="Y38" s="110">
        <f t="shared" si="44"/>
        <v>0.52356020942408377</v>
      </c>
      <c r="Z38" s="110">
        <f t="shared" si="44"/>
        <v>1.5546218487394958</v>
      </c>
      <c r="AA38" s="110">
        <f t="shared" si="44"/>
        <v>1.3198757763975155</v>
      </c>
      <c r="AB38" s="110">
        <f t="shared" si="44"/>
        <v>1.6619375760032429</v>
      </c>
      <c r="AC38" s="110">
        <f t="shared" si="44"/>
        <v>1.3807531380753137</v>
      </c>
      <c r="AD38" s="110">
        <f t="shared" si="44"/>
        <v>0.62154696132596687</v>
      </c>
      <c r="AE38" s="111">
        <f t="shared" si="44"/>
        <v>1.5004752441026528</v>
      </c>
      <c r="AF38" s="110">
        <f t="shared" si="44"/>
        <v>0.43990849903220131</v>
      </c>
      <c r="AG38" s="110">
        <f t="shared" si="44"/>
        <v>3.9087947882736156</v>
      </c>
      <c r="AH38" s="110">
        <f t="shared" si="44"/>
        <v>1.3827433628318584</v>
      </c>
      <c r="AI38" s="110">
        <f t="shared" si="44"/>
        <v>1.0198675496688743</v>
      </c>
      <c r="AJ38" s="110">
        <f t="shared" si="44"/>
        <v>1.7204301075268817</v>
      </c>
      <c r="AK38" s="111">
        <f t="shared" si="44"/>
        <v>-0.57511327988846284</v>
      </c>
      <c r="AL38" s="110">
        <f t="shared" si="44"/>
        <v>2.1846277573529411</v>
      </c>
    </row>
    <row r="39" spans="2:39" ht="14.25" x14ac:dyDescent="0.2">
      <c r="B39" s="103"/>
      <c r="C39" s="104"/>
      <c r="D39" s="104"/>
      <c r="E39" s="98">
        <f>+E38*$L$6</f>
        <v>0.35608856088560881</v>
      </c>
      <c r="F39" s="98">
        <f t="shared" ref="F39:K39" si="45">+F38*$L$6</f>
        <v>0.15706806282722513</v>
      </c>
      <c r="G39" s="98">
        <f t="shared" si="45"/>
        <v>0.46638655462184875</v>
      </c>
      <c r="H39" s="98">
        <f t="shared" si="45"/>
        <v>0.39596273291925466</v>
      </c>
      <c r="I39" s="98">
        <f t="shared" si="45"/>
        <v>0.49858127280097286</v>
      </c>
      <c r="J39" s="98">
        <f t="shared" si="45"/>
        <v>0.41422594142259411</v>
      </c>
      <c r="K39" s="98">
        <f t="shared" si="45"/>
        <v>0.18646408839779005</v>
      </c>
      <c r="L39" s="98"/>
      <c r="M39" s="98">
        <f t="shared" ref="M39:Q39" si="46">+M38*$L$6</f>
        <v>0.13197254970966038</v>
      </c>
      <c r="N39" s="98">
        <f t="shared" si="46"/>
        <v>1.1726384364820845</v>
      </c>
      <c r="O39" s="98">
        <f t="shared" si="46"/>
        <v>0.41482300884955753</v>
      </c>
      <c r="P39" s="98">
        <f t="shared" si="46"/>
        <v>0.30596026490066225</v>
      </c>
      <c r="Q39" s="98">
        <f t="shared" si="46"/>
        <v>0.5161290322580645</v>
      </c>
      <c r="R39" s="106"/>
      <c r="S39" s="98">
        <f>+AVERAGE(E39:Q39)</f>
        <v>0.41802504217294362</v>
      </c>
      <c r="T39" s="100">
        <f>+S39+T38</f>
        <v>1.9403558773805383</v>
      </c>
      <c r="U39" s="103"/>
      <c r="V39" s="104"/>
      <c r="W39" s="104"/>
      <c r="X39" s="106"/>
      <c r="Y39" s="106"/>
      <c r="Z39" s="106"/>
      <c r="AA39" s="106"/>
      <c r="AB39" s="106"/>
      <c r="AC39" s="106"/>
      <c r="AD39" s="106"/>
      <c r="AE39" s="106">
        <f>+SUM(X39:AD39)</f>
        <v>0</v>
      </c>
      <c r="AF39" s="106"/>
      <c r="AG39" s="106"/>
      <c r="AH39" s="106"/>
      <c r="AI39" s="106"/>
      <c r="AJ39" s="106"/>
      <c r="AK39" s="106">
        <f>+SUM(AF39:AJ39)</f>
        <v>0</v>
      </c>
      <c r="AL39" s="106">
        <f>+AK39+AE39</f>
        <v>0</v>
      </c>
    </row>
    <row r="40" spans="2:39" ht="14.25" x14ac:dyDescent="0.2">
      <c r="B40" s="81">
        <v>7</v>
      </c>
      <c r="C40" s="83" t="s">
        <v>207</v>
      </c>
      <c r="D40" s="83" t="s">
        <v>180</v>
      </c>
      <c r="E40" s="84">
        <f>IF($D$1&lt;&gt;"",IF($D$1=$AN$3,HLOOKUP("kdk bdl",rku_01.jan,2,FALSE),IF($D$1=$AN$4,HLOOKUP("kdk bdl",rku_02.feb,2,FALSE),IF($D$1=$AN$5,HLOOKUP("kdk bdl",rku_03.mar,2,FALSE),IF($D$1=$AN$6,HLOOKUP("kdk bdl",rku_04.apr,2,FALSE),IF($D$1=$AN$7,HLOOKUP("kdk bdl",rku_05.mei,2,FALSE),IF($D$1=$AN$8,HLOOKUP("kdk bdl",rku_06.jun,2,FALSE),IF($D$1=$AN$9,HLOOKUP("kdk bdl",rku_07.jul,2,FALSE),IF($D$1=$AN$10,HLOOKUP("kdk bdl",rku_08.ags,2,FALSE),IF($D$1=$AN$11,HLOOKUP("kdk bdl",rku_09.sep,2,FALSE),IF($D$1=$AN$12,HLOOKUP("kdk bdl",rku_10.okt,2,FALSE),IF($D$1=$AN$13,HLOOKUP("kdk bdl",rku_11.nov,2,FALSE),IF($D$1=$AN$14,HLOOKUP("kdk bdl",rku_12.des,2,FALSE),IF($D$1=$AN$15,HLOOKUP("kdk bdl",rku_TW_I,2,FALSE),IF($D$1=$AN$16,HLOOKUP("kdk bdl",rku_TW_II,2,FALSE),IF($D$1=$AN$17,HLOOKUP("kdk bdl",rku_TW_III,2,FALSE),IF($D$1=$AN$18,HLOOKUP("kdk bdl",rku_TW_IV,2,FALSE),IF($D$1=$AN$19,HLOOKUP("kdk bdl",rku_SM_I,2,FALSE),IF($D$1=$AN$20,HLOOKUP("kdk bdl",rku_SM_II,2,FALSE),IF($D$1=$AN$21,HLOOKUP("kdk bdl",rku_2013,2,FALSE),IF($D$1=$AN$22,HLOOKUP("kdk bdl",rku_jan_apr,2,FALSE),IF($D$1=$AN$23,HLOOKUP("kdk bdl",rku_jan_mei,2,FALSE),IF($D$1=$AN$24,HLOOKUP("kdk bdl",rku_jan_jul,2,FALSE),IF($D$1=$AN$25,HLOOKUP("kdk bdl",rku_jan_ags,2,FALSE),IF($D$1=$AN$26,HLOOKUP("kdk bdl",rku_jan_sep,2,FALSE),IF($D$1=$AN$27,HLOOKUP("kdk bdl",rku_jan_okt,2,FALSE),IF($D$1=$AN$28,HLOOKUP("kdk bdl",rku_jan_nov,2,FALSE),0)))))))))))))))))))))))))))</f>
        <v>5514000</v>
      </c>
      <c r="F40" s="84">
        <f>IF($D$1&lt;&gt;"",IF($D$1=$AN$3,HLOOKUP("kdk bdl",rku_01.jan,3,FALSE),IF($D$1=$AN$4,HLOOKUP("kdk bdl",rku_02.feb,3,FALSE),IF($D$1=$AN$5,HLOOKUP("kdk bdl",rku_03.mar,3,FALSE),IF($D$1=$AN$6,HLOOKUP("kdk bdl",rku_04.apr,3,FALSE),IF($D$1=$AN$7,HLOOKUP("kdk bdl",rku_05.mei,3,FALSE),IF($D$1=$AN$8,HLOOKUP("kdk bdl",rku_06.jun,3,FALSE),IF($D$1=$AN$9,HLOOKUP("kdk bdl",rku_07.jul,3,FALSE),IF($D$1=$AN$10,HLOOKUP("kdk bdl",rku_08.ags,3,FALSE),IF($D$1=$AN$11,HLOOKUP("kdk bdl",rku_09.sep,3,FALSE),IF($D$1=$AN$12,HLOOKUP("kdk bdl",rku_10.okt,3,FALSE),IF($D$1=$AN$13,HLOOKUP("kdk bdl",rku_11.nov,3,FALSE),IF($D$1=$AN$14,HLOOKUP("kdk bdl",rku_12.des,3,FALSE),IF($D$1=$AN$15,HLOOKUP("kdk bdl",rku_TW_I,3,FALSE),IF($D$1=$AN$16,HLOOKUP("kdk bdl",rku_TW_II,3,FALSE),IF($D$1=$AN$17,HLOOKUP("kdk bdl",rku_TW_III,3,FALSE),IF($D$1=$AN$18,HLOOKUP("kdk bdl",rku_TW_IV,3,FALSE),IF($D$1=$AN$19,HLOOKUP("kdk bdl",rku_SM_I,3,FALSE),IF($D$1=$AN$20,HLOOKUP("kdk bdl",rku_SM_II,3,FALSE),IF($D$1=$AN$21,HLOOKUP("kdk bdl",rku_2013,3,FALSE),IF($D$1=$AN$22,HLOOKUP("kdk bdl",rku_jan_apr,3,FALSE),IF($D$1=$AN$23,HLOOKUP("kdk bdl",rku_jan_mei,3,FALSE),IF($D$1=$AN$24,HLOOKUP("kdk bdl",rku_jan_jul,3,FALSE),IF($D$1=$AN$25,HLOOKUP("kdk bdl",rku_jan_ags,3,FALSE),IF($D$1=$AN$26,HLOOKUP("kdk bdl",rku_jan_sep,3,FALSE),IF($D$1=$AN$27,HLOOKUP("kdk bdl",rku_jan_okt,3,FALSE),IF($D$1=$AN$28,HLOOKUP("kdk bdl",rku_jan_nov,3,FALSE),0)))))))))))))))))))))))))))</f>
        <v>561000</v>
      </c>
      <c r="G40" s="84">
        <f>IF($D$1&lt;&gt;"",IF($D$1=$AN$3,HLOOKUP("kdk bdl",rku_01.jan,4,FALSE),IF($D$1=$AN$4,HLOOKUP("kdk bdl",rku_02.feb,4,FALSE),IF($D$1=$AN$5,HLOOKUP("kdk bdl",rku_03.mar,4,FALSE),IF($D$1=$AN$6,HLOOKUP("kdk bdl",rku_04.apr,4,FALSE),IF($D$1=$AN$7,HLOOKUP("kdk bdl",rku_05.mei,4,FALSE),IF($D$1=$AN$8,HLOOKUP("kdk bdl",rku_06.jun,4,FALSE),IF($D$1=$AN$9,HLOOKUP("kdk bdl",rku_07.jul,4,FALSE),IF($D$1=$AN$10,HLOOKUP("kdk bdl",rku_08.ags,4,FALSE),IF($D$1=$AN$11,HLOOKUP("kdk bdl",rku_09.sep,4,FALSE),IF($D$1=$AN$12,HLOOKUP("kdk bdl",rku_10.okt,4,FALSE),IF($D$1=$AN$13,HLOOKUP("kdk bdl",rku_11.nov,4,FALSE),IF($D$1=$AN$14,HLOOKUP("kdk bdl",rku_12.des,4,FALSE),IF($D$1=$AN$15,HLOOKUP("kdk bdl",rku_TW_I,4,FALSE),IF($D$1=$AN$16,HLOOKUP("kdk bdl",rku_TW_II,4,FALSE),IF($D$1=$AN$17,HLOOKUP("kdk bdl",rku_TW_III,4,FALSE),IF($D$1=$AN$18,HLOOKUP("kdk bdl",rku_TW_IV,4,FALSE),IF($D$1=$AN$19,HLOOKUP("kdk bdl",rku_SM_I,4,FALSE),IF($D$1=$AN$20,HLOOKUP("kdk bdl",rku_SM_II,4,FALSE),IF($D$1=$AN$21,HLOOKUP("kdk bdl",rku_2013,4,FALSE),IF($D$1=$AN$22,HLOOKUP("kdk bdl",rku_jan_apr,4,FALSE),IF($D$1=$AN$23,HLOOKUP("kdk bdl",rku_jan_mei,4,FALSE),IF($D$1=$AN$24,HLOOKUP("kdk bdl",rku_jan_jul,4,FALSE),IF($D$1=$AN$25,HLOOKUP("kdk bdl",rku_jan_ags,4,FALSE),IF($D$1=$AN$26,HLOOKUP("kdk bdl",rku_jan_sep,4,FALSE),IF($D$1=$AN$27,HLOOKUP("kdk bdl",rku_jan_okt,4,FALSE),IF($D$1=$AN$28,HLOOKUP("kdk bdl",rku_jan_nov,4,FALSE),0)))))))))))))))))))))))))))</f>
        <v>125600</v>
      </c>
      <c r="H40" s="84">
        <f>IF($D$1&lt;&gt;"",IF($D$1=$AN$3,HLOOKUP("kdk bdl",rku_01.jan,5,FALSE),IF($D$1=$AN$4,HLOOKUP("kdk bdl",rku_02.feb,5,FALSE),IF($D$1=$AN$5,HLOOKUP("kdk bdl",rku_03.mar,5,FALSE),IF($D$1=$AN$6,HLOOKUP("kdk bdl",rku_04.apr,5,FALSE),IF($D$1=$AN$7,HLOOKUP("kdk bdl",rku_05.mei,5,FALSE),IF($D$1=$AN$8,HLOOKUP("kdk bdl",rku_06.jun,5,FALSE),IF($D$1=$AN$9,HLOOKUP("kdk bdl",rku_07.jul,5,FALSE),IF($D$1=$AN$10,HLOOKUP("kdk bdl",rku_08.ags,5,FALSE),IF($D$1=$AN$11,HLOOKUP("kdk bdl",rku_09.sep,5,FALSE),IF($D$1=$AN$12,HLOOKUP("kdk bdl",rku_10.okt,5,FALSE),IF($D$1=$AN$13,HLOOKUP("kdk bdl",rku_11.nov,5,FALSE),IF($D$1=$AN$14,HLOOKUP("kdk bdl",rku_12.des,5,FALSE),IF($D$1=$AN$15,HLOOKUP("kdk bdl",rku_TW_I,5,FALSE),IF($D$1=$AN$16,HLOOKUP("kdk bdl",rku_TW_II,5,FALSE),IF($D$1=$AN$17,HLOOKUP("kdk bdl",rku_TW_III,5,FALSE),IF($D$1=$AN$18,HLOOKUP("kdk bdl",rku_TW_IV,5,FALSE),IF($D$1=$AN$19,HLOOKUP("kdk bdl",rku_SM_I,5,FALSE),IF($D$1=$AN$20,HLOOKUP("kdk bdl",rku_SM_II,5,FALSE),IF($D$1=$AN$21,HLOOKUP("kdk bdl",rku_2013,5,FALSE),IF($D$1=$AN$22,HLOOKUP("kdk bdl",rku_jan_apr,5,FALSE),IF($D$1=$AN$23,HLOOKUP("kdk bdl",rku_jan_mei,5,FALSE),IF($D$1=$AN$24,HLOOKUP("kdk bdl",rku_jan_jul,5,FALSE),IF($D$1=$AN$25,HLOOKUP("kdk bdl",rku_jan_ags,5,FALSE),IF($D$1=$AN$26,HLOOKUP("kdk bdl",rku_jan_sep,5,FALSE),IF($D$1=$AN$27,HLOOKUP("kdk bdl",rku_jan_okt,5,FALSE),IF($D$1=$AN$28,HLOOKUP("kdk bdl",rku_jan_nov,5,FALSE),0)))))))))))))))))))))))))))</f>
        <v>135200</v>
      </c>
      <c r="I40" s="84">
        <f>IF($D$1&lt;&gt;"",IF($D$1=$AN$3,HLOOKUP("kdk bdl",rku_01.jan,6,FALSE),IF($D$1=$AN$4,HLOOKUP("kdk bdl",rku_02.feb,6,FALSE),IF($D$1=$AN$5,HLOOKUP("kdk bdl",rku_03.mar,6,FALSE),IF($D$1=$AN$6,HLOOKUP("kdk bdl",rku_04.apr,6,FALSE),IF($D$1=$AN$7,HLOOKUP("kdk bdl",rku_05.mei,6,FALSE),IF($D$1=$AN$8,HLOOKUP("kdk bdl",rku_06.jun,6,FALSE),IF($D$1=$AN$9,HLOOKUP("kdk bdl",rku_07.jul,6,FALSE),IF($D$1=$AN$10,HLOOKUP("kdk bdl",rku_08.ags,6,FALSE),IF($D$1=$AN$11,HLOOKUP("kdk bdl",rku_09.sep,6,FALSE),IF($D$1=$AN$12,HLOOKUP("kdk bdl",rku_10.okt,6,FALSE),IF($D$1=$AN$13,HLOOKUP("kdk bdl",rku_11.nov,6,FALSE),IF($D$1=$AN$14,HLOOKUP("kdk bdl",rku_12.des,6,FALSE),IF($D$1=$AN$15,HLOOKUP("kdk bdl",rku_TW_I,6,FALSE),IF($D$1=$AN$16,HLOOKUP("kdk bdl",rku_TW_II,6,FALSE),IF($D$1=$AN$17,HLOOKUP("kdk bdl",rku_TW_III,6,FALSE),IF($D$1=$AN$18,HLOOKUP("kdk bdl",rku_TW_IV,6,FALSE),IF($D$1=$AN$19,HLOOKUP("kdk bdl",rku_SM_I,6,FALSE),IF($D$1=$AN$20,HLOOKUP("kdk bdl",rku_SM_II,6,FALSE),IF($D$1=$AN$21,HLOOKUP("kdk bdl",rku_2013,6,FALSE),IF($D$1=$AN$22,HLOOKUP("kdk bdl",rku_jan_apr,6,FALSE),IF($D$1=$AN$23,HLOOKUP("kdk bdl",rku_jan_mei,6,FALSE),IF($D$1=$AN$24,HLOOKUP("kdk bdl",rku_jan_jul,6,FALSE),IF($D$1=$AN$25,HLOOKUP("kdk bdl",rku_jan_ags,6,FALSE),IF($D$1=$AN$26,HLOOKUP("kdk bdl",rku_jan_sep,6,FALSE),IF($D$1=$AN$27,HLOOKUP("kdk bdl",rku_jan_okt,6,FALSE),IF($D$1=$AN$28,HLOOKUP("kdk bdl",rku_jan_nov,6,FALSE),0)))))))))))))))))))))))))))</f>
        <v>132700</v>
      </c>
      <c r="J40" s="84">
        <f>IF($D$1&lt;&gt;"",IF($D$1=$AN$3,HLOOKUP("kdk bdl",rku_01.jan,7,FALSE),IF($D$1=$AN$4,HLOOKUP("kdk bdl",rku_02.feb,7,FALSE),IF($D$1=$AN$5,HLOOKUP("kdk bdl",rku_03.mar,7,FALSE),IF($D$1=$AN$6,HLOOKUP("kdk bdl",rku_04.apr,7,FALSE),IF($D$1=$AN$7,HLOOKUP("kdk bdl",rku_05.mei,7,FALSE),IF($D$1=$AN$8,HLOOKUP("kdk bdl",rku_06.jun,7,FALSE),IF($D$1=$AN$9,HLOOKUP("kdk bdl",rku_07.jul,7,FALSE),IF($D$1=$AN$10,HLOOKUP("kdk bdl",rku_08.ags,7,FALSE),IF($D$1=$AN$11,HLOOKUP("kdk bdl",rku_09.sep,7,FALSE),IF($D$1=$AN$12,HLOOKUP("kdk bdl",rku_10.okt,7,FALSE),IF($D$1=$AN$13,HLOOKUP("kdk bdl",rku_11.nov,7,FALSE),IF($D$1=$AN$14,HLOOKUP("kdk bdl",rku_12.des,7,FALSE),IF($D$1=$AN$15,HLOOKUP("kdk bdl",rku_TW_I,7,FALSE),IF($D$1=$AN$16,HLOOKUP("kdk bdl",rku_TW_II,7,FALSE),IF($D$1=$AN$17,HLOOKUP("kdk bdl",rku_TW_III,7,FALSE),IF($D$1=$AN$18,HLOOKUP("kdk bdl",rku_TW_IV,7,FALSE),IF($D$1=$AN$19,HLOOKUP("kdk bdl",rku_SM_I,7,FALSE),IF($D$1=$AN$20,HLOOKUP("kdk bdl",rku_SM_II,7,FALSE),IF($D$1=$AN$21,HLOOKUP("kdk bdl",rku_2013,7,FALSE),IF($D$1=$AN$22,HLOOKUP("kdk bdl",rku_jan_apr,7,FALSE),IF($D$1=$AN$23,HLOOKUP("kdk bdl",rku_jan_mei,7,FALSE),IF($D$1=$AN$24,HLOOKUP("kdk bdl",rku_jan_jul,7,FALSE),IF($D$1=$AN$25,HLOOKUP("kdk bdl",rku_jan_ags,7,FALSE),IF($D$1=$AN$26,HLOOKUP("kdk bdl",rku_jan_sep,7,FALSE),IF($D$1=$AN$27,HLOOKUP("kdk bdl",rku_jan_okt,7,FALSE),IF($D$1=$AN$28,HLOOKUP("kdk bdl",rku_jan_nov,7,FALSE),0)))))))))))))))))))))))))))</f>
        <v>68240</v>
      </c>
      <c r="K40" s="84">
        <f>IF($D$1&lt;&gt;"",IF($D$1=$AN$3,HLOOKUP("kdk bdl",rku_01.jan,8,FALSE),IF($D$1=$AN$4,HLOOKUP("kdk bdl",rku_02.feb,8,FALSE),IF($D$1=$AN$5,HLOOKUP("kdk bdl",rku_03.mar,8,FALSE),IF($D$1=$AN$6,HLOOKUP("kdk bdl",rku_04.apr,8,FALSE),IF($D$1=$AN$7,HLOOKUP("kdk bdl",rku_05.mei,8,FALSE),IF($D$1=$AN$8,HLOOKUP("kdk bdl",rku_06.jun,8,FALSE),IF($D$1=$AN$9,HLOOKUP("kdk bdl",rku_07.jul,8,FALSE),IF($D$1=$AN$10,HLOOKUP("kdk bdl",rku_08.ags,8,FALSE),IF($D$1=$AN$11,HLOOKUP("kdk bdl",rku_09.sep,8,FALSE),IF($D$1=$AN$12,HLOOKUP("kdk bdl",rku_10.okt,8,FALSE),IF($D$1=$AN$13,HLOOKUP("kdk bdl",rku_11.nov,8,FALSE),IF($D$1=$AN$14,HLOOKUP("kdk bdl",rku_12.des,8,FALSE),IF($D$1=$AN$15,HLOOKUP("kdk bdl",rku_TW_I,8,FALSE),IF($D$1=$AN$16,HLOOKUP("kdk bdl",rku_TW_II,8,FALSE),IF($D$1=$AN$17,HLOOKUP("kdk bdl",rku_TW_III,8,FALSE),IF($D$1=$AN$18,HLOOKUP("kdk bdl",rku_TW_IV,8,FALSE),IF($D$1=$AN$19,HLOOKUP("kdk bdl",rku_SM_I,8,FALSE),IF($D$1=$AN$20,HLOOKUP("kdk bdl",rku_SM_II,8,FALSE),IF($D$1=$AN$21,HLOOKUP("kdk bdl",rku_2013,8,FALSE),IF($D$1=$AN$22,HLOOKUP("kdk bdl",rku_jan_apr,8,FALSE),IF($D$1=$AN$23,HLOOKUP("kdk bdl",rku_jan_mei,8,FALSE),IF($D$1=$AN$24,HLOOKUP("kdk bdl",rku_jan_jul,8,FALSE),IF($D$1=$AN$25,HLOOKUP("kdk bdl",rku_jan_ags,8,FALSE),IF($D$1=$AN$26,HLOOKUP("kdk bdl",rku_jan_sep,8,FALSE),IF($D$1=$AN$27,HLOOKUP("kdk bdl",rku_jan_okt,8,FALSE),IF($D$1=$AN$28,HLOOKUP("kdk bdl",rku_jan_nov,8,FALSE),0)))))))))))))))))))))))))))</f>
        <v>7280</v>
      </c>
      <c r="L40" s="85">
        <f>+SUM(E40:K40)</f>
        <v>6544020</v>
      </c>
      <c r="M40" s="84">
        <f>IF($D$1&lt;&gt;"",IF($D$1=$AN$3,HLOOKUP("kdk bdl",rku_01.jan,10,FALSE),IF($D$1=$AN$4,HLOOKUP("kdk bdl",rku_02.feb,10,FALSE),IF($D$1=$AN$5,HLOOKUP("kdk bdl",rku_03.mar,10,FALSE),IF($D$1=$AN$6,HLOOKUP("kdk bdl",rku_04.apr,10,FALSE),IF($D$1=$AN$7,HLOOKUP("kdk bdl",rku_05.mei,10,FALSE),IF($D$1=$AN$8,HLOOKUP("kdk bdl",rku_06.jun,10,FALSE),IF($D$1=$AN$9,HLOOKUP("kdk bdl",rku_07.jul,10,FALSE),IF($D$1=$AN$10,HLOOKUP("kdk bdl",rku_08.ags,10,FALSE),IF($D$1=$AN$11,HLOOKUP("kdk bdl",rku_09.sep,10,FALSE),IF($D$1=$AN$12,HLOOKUP("kdk bdl",rku_10.okt,10,FALSE),IF($D$1=$AN$13,HLOOKUP("kdk bdl",rku_11.nov,10,FALSE),IF($D$1=$AN$14,HLOOKUP("kdk bdl",rku_12.des,10,FALSE),IF($D$1=$AN$15,HLOOKUP("kdk bdl",rku_TW_I,10,FALSE),IF($D$1=$AN$16,HLOOKUP("kdk bdl",rku_TW_II,10,FALSE),IF($D$1=$AN$17,HLOOKUP("kdk bdl",rku_TW_III,10,FALSE),IF($D$1=$AN$18,HLOOKUP("kdk bdl",rku_TW_IV,10,FALSE),IF($D$1=$AN$19,HLOOKUP("kdk bdl",rku_SM_I,10,FALSE),IF($D$1=$AN$20,HLOOKUP("kdk bdl",rku_SM_II,10,FALSE),IF($D$1=$AN$21,HLOOKUP("kdk bdl",rku_2013,10,FALSE),IF($D$1=$AN$22,HLOOKUP("kdk bdl",rku_jan_apr,10,FALSE),IF($D$1=$AN$23,HLOOKUP("kdk bdl",rku_jan_mei,10,FALSE),IF($D$1=$AN$24,HLOOKUP("kdk bdl",rku_jan_jul,10,FALSE),IF($D$1=$AN$25,HLOOKUP("kdk bdl",rku_jan_ags,10,FALSE),IF($D$1=$AN$26,HLOOKUP("kdk bdl",rku_jan_sep,10,FALSE),IF($D$1=$AN$27,HLOOKUP("kdk bdl",rku_jan_okt,10,FALSE),IF($D$1=$AN$28,HLOOKUP("kdk bdl",rku_jan_nov,10,FALSE),0)))))))))))))))))))))))))))</f>
        <v>10490</v>
      </c>
      <c r="N40" s="84">
        <f>IF($D$1&lt;&gt;"",IF($D$1=$AN$3,HLOOKUP("kdk bdl",rku_01.jan,11,FALSE),IF($D$1=$AN$4,HLOOKUP("kdk bdl",rku_02.feb,11,FALSE),IF($D$1=$AN$5,HLOOKUP("kdk bdl",rku_03.mar,11,FALSE),IF($D$1=$AN$6,HLOOKUP("kdk bdl",rku_04.apr,11,FALSE),IF($D$1=$AN$7,HLOOKUP("kdk bdl",rku_05.mei,11,FALSE),IF($D$1=$AN$8,HLOOKUP("kdk bdl",rku_06.jun,11,FALSE),IF($D$1=$AN$9,HLOOKUP("kdk bdl",rku_07.jul,11,FALSE),IF($D$1=$AN$10,HLOOKUP("kdk bdl",rku_08.ags,11,FALSE),IF($D$1=$AN$11,HLOOKUP("kdk bdl",rku_09.sep,11,FALSE),IF($D$1=$AN$12,HLOOKUP("kdk bdl",rku_10.okt,11,FALSE),IF($D$1=$AN$13,HLOOKUP("kdk bdl",rku_11.nov,11,FALSE),IF($D$1=$AN$14,HLOOKUP("kdk bdl",rku_12.des,11,FALSE),IF($D$1=$AN$15,HLOOKUP("kdk bdl",rku_TW_I,11,FALSE),IF($D$1=$AN$16,HLOOKUP("kdk bdl",rku_TW_II,11,FALSE),IF($D$1=$AN$17,HLOOKUP("kdk bdl",rku_TW_III,11,FALSE),IF($D$1=$AN$18,HLOOKUP("kdk bdl",rku_TW_IV,11,FALSE),IF($D$1=$AN$19,HLOOKUP("kdk bdl",rku_SM_I,11,FALSE),IF($D$1=$AN$20,HLOOKUP("kdk bdl",rku_SM_II,11,FALSE),IF($D$1=$AN$21,HLOOKUP("kdk bdl",rku_2013,11,FALSE),IF($D$1=$AN$22,HLOOKUP("kdk bdl",rku_jan_apr,11,FALSE),IF($D$1=$AN$23,HLOOKUP("kdk bdl",rku_jan_mei,11,FALSE),IF($D$1=$AN$24,HLOOKUP("kdk bdl",rku_jan_jul,11,FALSE),IF($D$1=$AN$25,HLOOKUP("kdk bdl",rku_jan_ags,11,FALSE),IF($D$1=$AN$26,HLOOKUP("kdk bdl",rku_jan_sep,11,FALSE),IF($D$1=$AN$27,HLOOKUP("kdk bdl",rku_jan_okt,11,FALSE),IF($D$1=$AN$28,HLOOKUP("kdk bdl",rku_jan_nov,11,FALSE),0)))))))))))))))))))))))))))</f>
        <v>4892.5</v>
      </c>
      <c r="O40" s="84">
        <f>IF($D$1&lt;&gt;"",IF($D$1=$AN$3,HLOOKUP("kdk bdl",rku_01.jan,12,FALSE),IF($D$1=$AN$4,HLOOKUP("kdk bdl",rku_02.feb,12,FALSE),IF($D$1=$AN$5,HLOOKUP("kdk bdl",rku_03.mar,12,FALSE),IF($D$1=$AN$6,HLOOKUP("kdk bdl",rku_04.apr,12,FALSE),IF($D$1=$AN$7,HLOOKUP("kdk bdl",rku_05.mei,12,FALSE),IF($D$1=$AN$8,HLOOKUP("kdk bdl",rku_06.jun,12,FALSE),IF($D$1=$AN$9,HLOOKUP("kdk bdl",rku_07.jul,12,FALSE),IF($D$1=$AN$10,HLOOKUP("kdk bdl",rku_08.ags,12,FALSE),IF($D$1=$AN$11,HLOOKUP("kdk bdl",rku_09.sep,12,FALSE),IF($D$1=$AN$12,HLOOKUP("kdk bdl",rku_10.okt,12,FALSE),IF($D$1=$AN$13,HLOOKUP("kdk bdl",rku_11.nov,12,FALSE),IF($D$1=$AN$14,HLOOKUP("kdk bdl",rku_12.des,12,FALSE),IF($D$1=$AN$15,HLOOKUP("kdk bdl",rku_TW_I,12,FALSE),IF($D$1=$AN$16,HLOOKUP("kdk bdl",rku_TW_II,12,FALSE),IF($D$1=$AN$17,HLOOKUP("kdk bdl",rku_TW_III,12,FALSE),IF($D$1=$AN$18,HLOOKUP("kdk bdl",rku_TW_IV,12,FALSE),IF($D$1=$AN$19,HLOOKUP("kdk bdl",rku_SM_I,12,FALSE),IF($D$1=$AN$20,HLOOKUP("kdk bdl",rku_SM_II,12,FALSE),IF($D$1=$AN$21,HLOOKUP("kdk bdl",rku_2013,12,FALSE),IF($D$1=$AN$22,HLOOKUP("kdk bdl",rku_jan_apr,12,FALSE),IF($D$1=$AN$23,HLOOKUP("kdk bdl",rku_jan_mei,12,FALSE),IF($D$1=$AN$24,HLOOKUP("kdk bdl",rku_jan_jul,12,FALSE),IF($D$1=$AN$25,HLOOKUP("kdk bdl",rku_jan_ags,12,FALSE),IF($D$1=$AN$26,HLOOKUP("kdk bdl",rku_jan_sep,12,FALSE),IF($D$1=$AN$27,HLOOKUP("kdk bdl",rku_jan_okt,12,FALSE),IF($D$1=$AN$28,HLOOKUP("kdk bdl",rku_jan_nov,12,FALSE),0)))))))))))))))))))))))))))</f>
        <v>1134</v>
      </c>
      <c r="P40" s="84">
        <f>IF($D$1&lt;&gt;"",IF($D$1=$AN$3,HLOOKUP("kdk bdl",rku_01.jan,13,FALSE),IF($D$1=$AN$4,HLOOKUP("kdk bdl",rku_02.feb,13,FALSE),IF($D$1=$AN$5,HLOOKUP("kdk bdl",rku_03.mar,13,FALSE),IF($D$1=$AN$6,HLOOKUP("kdk bdl",rku_04.apr,13,FALSE),IF($D$1=$AN$7,HLOOKUP("kdk bdl",rku_05.mei,13,FALSE),IF($D$1=$AN$8,HLOOKUP("kdk bdl",rku_06.jun,13,FALSE),IF($D$1=$AN$9,HLOOKUP("kdk bdl",rku_07.jul,13,FALSE),IF($D$1=$AN$10,HLOOKUP("kdk bdl",rku_08.ags,13,FALSE),IF($D$1=$AN$11,HLOOKUP("kdk bdl",rku_09.sep,13,FALSE),IF($D$1=$AN$12,HLOOKUP("kdk bdl",rku_10.okt,13,FALSE),IF($D$1=$AN$13,HLOOKUP("kdk bdl",rku_11.nov,13,FALSE),IF($D$1=$AN$14,HLOOKUP("kdk bdl",rku_12.des,13,FALSE),IF($D$1=$AN$15,HLOOKUP("kdk bdl",rku_TW_I,13,FALSE),IF($D$1=$AN$16,HLOOKUP("kdk bdl",rku_TW_II,13,FALSE),IF($D$1=$AN$17,HLOOKUP("kdk bdl",rku_TW_III,13,FALSE),IF($D$1=$AN$18,HLOOKUP("kdk bdl",rku_TW_IV,13,FALSE),IF($D$1=$AN$19,HLOOKUP("kdk bdl",rku_SM_I,13,FALSE),IF($D$1=$AN$20,HLOOKUP("kdk bdl",rku_SM_II,13,FALSE),IF($D$1=$AN$21,HLOOKUP("kdk bdl",rku_2013,13,FALSE),IF($D$1=$AN$22,HLOOKUP("kdk bdl",rku_jan_apr,13,FALSE),IF($D$1=$AN$23,HLOOKUP("kdk bdl",rku_jan_mei,13,FALSE),IF($D$1=$AN$24,HLOOKUP("kdk bdl",rku_jan_jul,13,FALSE),IF($D$1=$AN$25,HLOOKUP("kdk bdl",rku_jan_ags,13,FALSE),IF($D$1=$AN$26,HLOOKUP("kdk bdl",rku_jan_sep,13,FALSE),IF($D$1=$AN$27,HLOOKUP("kdk bdl",rku_jan_okt,13,FALSE),IF($D$1=$AN$28,HLOOKUP("kdk bdl",rku_jan_nov,13,FALSE),0)))))))))))))))))))))))))))</f>
        <v>591</v>
      </c>
      <c r="Q40" s="84">
        <f>IF($D$1&lt;&gt;"",IF($D$1=$AN$3,HLOOKUP("kdk bdl",rku_01.jan,14,FALSE),IF($D$1=$AN$4,HLOOKUP("kdk bdl",rku_02.feb,14,FALSE),IF($D$1=$AN$5,HLOOKUP("kdk bdl",rku_03.mar,14,FALSE),IF($D$1=$AN$6,HLOOKUP("kdk bdl",rku_04.apr,14,FALSE),IF($D$1=$AN$7,HLOOKUP("kdk bdl",rku_05.mei,14,FALSE),IF($D$1=$AN$8,HLOOKUP("kdk bdl",rku_06.jun,14,FALSE),IF($D$1=$AN$9,HLOOKUP("kdk bdl",rku_07.jul,14,FALSE),IF($D$1=$AN$10,HLOOKUP("kdk bdl",rku_08.ags,14,FALSE),IF($D$1=$AN$11,HLOOKUP("kdk bdl",rku_09.sep,14,FALSE),IF($D$1=$AN$12,HLOOKUP("kdk bdl",rku_10.okt,14,FALSE),IF($D$1=$AN$13,HLOOKUP("kdk bdl",rku_11.nov,14,FALSE),IF($D$1=$AN$14,HLOOKUP("kdk bdl",rku_12.des,14,FALSE),IF($D$1=$AN$15,HLOOKUP("kdk bdl",rku_TW_I,14,FALSE),IF($D$1=$AN$16,HLOOKUP("kdk bdl",rku_TW_II,14,FALSE),IF($D$1=$AN$17,HLOOKUP("kdk bdl",rku_TW_III,14,FALSE),IF($D$1=$AN$18,HLOOKUP("kdk bdl",rku_TW_IV,14,FALSE),IF($D$1=$AN$19,HLOOKUP("kdk bdl",rku_SM_I,14,FALSE),IF($D$1=$AN$20,HLOOKUP("kdk bdl",rku_SM_II,14,FALSE),IF($D$1=$AN$21,HLOOKUP("kdk bdl",rku_2013,14,FALSE),IF($D$1=$AN$22,HLOOKUP("kdk bdl",rku_jan_apr,14,FALSE),IF($D$1=$AN$23,HLOOKUP("kdk bdl",rku_jan_mei,14,FALSE),IF($D$1=$AN$24,HLOOKUP("kdk bdl",rku_jan_jul,14,FALSE),IF($D$1=$AN$25,HLOOKUP("kdk bdl",rku_jan_ags,14,FALSE),IF($D$1=$AN$26,HLOOKUP("kdk bdl",rku_jan_sep,14,FALSE),IF($D$1=$AN$27,HLOOKUP("kdk bdl",rku_jan_okt,14,FALSE),IF($D$1=$AN$28,HLOOKUP("kdk bdl",rku_jan_nov,14,FALSE),0)))))))))))))))))))))))))))</f>
        <v>0</v>
      </c>
      <c r="R40" s="85">
        <f>+SUM(M40:Q40)</f>
        <v>17107.5</v>
      </c>
      <c r="S40" s="84">
        <f>+R40+L40</f>
        <v>6561127.5</v>
      </c>
      <c r="U40" s="81">
        <v>7</v>
      </c>
      <c r="V40" s="83" t="s">
        <v>207</v>
      </c>
      <c r="W40" s="83" t="s">
        <v>180</v>
      </c>
      <c r="X40" s="84">
        <f t="shared" ref="X40:AD41" si="47">E40/X$100</f>
        <v>2757</v>
      </c>
      <c r="Y40" s="84">
        <f t="shared" si="47"/>
        <v>561</v>
      </c>
      <c r="Z40" s="84">
        <f t="shared" si="47"/>
        <v>314</v>
      </c>
      <c r="AA40" s="84">
        <f t="shared" si="47"/>
        <v>676</v>
      </c>
      <c r="AB40" s="84">
        <f t="shared" si="47"/>
        <v>1327</v>
      </c>
      <c r="AC40" s="84">
        <f t="shared" si="47"/>
        <v>1706</v>
      </c>
      <c r="AD40" s="84">
        <f t="shared" si="47"/>
        <v>364</v>
      </c>
      <c r="AE40" s="85">
        <f>+SUM(X40:AD40)</f>
        <v>7705</v>
      </c>
      <c r="AF40" s="84">
        <f t="shared" ref="AF40:AJ41" si="48">M40/AF$100</f>
        <v>2098</v>
      </c>
      <c r="AG40" s="84">
        <f t="shared" si="48"/>
        <v>1957</v>
      </c>
      <c r="AH40" s="84">
        <f t="shared" si="48"/>
        <v>567</v>
      </c>
      <c r="AI40" s="84">
        <f t="shared" si="48"/>
        <v>591</v>
      </c>
      <c r="AJ40" s="84">
        <f t="shared" si="48"/>
        <v>0</v>
      </c>
      <c r="AK40" s="85">
        <f>+SUM(AF40:AJ40)</f>
        <v>5213</v>
      </c>
      <c r="AL40" s="84">
        <f>+AK40+AE40</f>
        <v>12918</v>
      </c>
    </row>
    <row r="41" spans="2:39" ht="14.25" x14ac:dyDescent="0.2">
      <c r="B41" s="86"/>
      <c r="C41" s="87"/>
      <c r="D41" s="87" t="s">
        <v>182</v>
      </c>
      <c r="E41" s="88">
        <f>IF($D$1&lt;&gt;"",IF($D$1=$AN$3,HLOOKUP("kdk bdl",real_rku_01.jan,2,FALSE),IF($D$1=$AN$4,HLOOKUP("kdk bdl",real_rku_02.feb,2,FALSE),IF($D$1=$AN$5,HLOOKUP("kdk bdl",real_rku_03.mar,2,FALSE),IF($D$1=$AN$6,HLOOKUP("kdk bdl",real_rku_04.apr,2,FALSE),IF($D$1=$AN$7,HLOOKUP("kdk bdl",real_rku_05.mei,2,FALSE),IF($D$1=$AN$8,HLOOKUP("kdk bdl",real_rku_06.jun,2,FALSE),IF($D$1=$AN$9,HLOOKUP("kdk bdl",real_rku_07.jul,2,FALSE),IF($D$1=$AN$10,HLOOKUP("kdk bdl",real_rku_08.ags,2,FALSE),IF($D$1=$AN$11,HLOOKUP("kdk bdl",real_rku_09.sep,2,FALSE),IF($D$1=$AN$12,HLOOKUP("kdk bdl",real_rku_10.okt,2,FALSE),IF($D$1=$AN$13,HLOOKUP("kdk bdl",real_rku_11.nov,2,FALSE),IF($D$1=$AN$14,HLOOKUP("kdk bdl",real_rku_12.des,2,FALSE),IF($D$1=$AN$15,HLOOKUP("kdk bdl",real_rku_TW_I,2,FALSE),IF($D$1=$AN$16,HLOOKUP("kdk bdl",real_rku_TW_II,2,FALSE),IF($D$1=$AN$17,HLOOKUP("kdk bdl",real_rku_TW_III,2,FALSE),IF($D$1=$AN$18,HLOOKUP("kdk bdl",real_rku_TW_IV,2,FALSE),IF($D$1=$AN$19,HLOOKUP("kdk bdl",real_rku_SM_I,2,FALSE),IF($D$1=$AN$20,HLOOKUP("kdk bdl",real_rku_SM_II,2,FALSE),IF($D$1=$AN$21,HLOOKUP("kdk bdl",real_rku_2013,2,FALSE),IF($D$1=$AN$22,HLOOKUP("kdk bdl",real_rku_jan_apr,2,FALSE),IF($D$1=$AN$23,HLOOKUP("kdk bdl",real_rku_jan_mei,2,FALSE),IF($D$1=$AN$24,HLOOKUP("kdk bdl",real_rku_jan_jul,2,FALSE),IF($D$1=$AN$25,HLOOKUP("kdk bdl",real_rku_jan_ags,2,FALSE),IF($D$1=$AN$26,HLOOKUP("kdk bdl",real_rku_jan_sep,2,FALSE),IF($D$1=$AN$27,HLOOKUP("kdk bdl",real_rku_jan_okt,2,FALSE),IF($D$1=$AN$28,HLOOKUP("kdk bdl",real_rku_jan_nov,2,FALSE),0)))))))))))))))))))))))))))</f>
        <v>5990000</v>
      </c>
      <c r="F41" s="88">
        <f>IF($D$1&lt;&gt;"",IF($D$1=$AN$3,HLOOKUP("kdk bdl",real_rku_01.jan,3,FALSE),IF($D$1=$AN$4,HLOOKUP("kdk bdl",real_rku_02.feb,3,FALSE),IF($D$1=$AN$5,HLOOKUP("kdk bdl",real_rku_03.mar,3,FALSE),IF($D$1=$AN$6,HLOOKUP("kdk bdl",real_rku_04.apr,3,FALSE),IF($D$1=$AN$7,HLOOKUP("kdk bdl",real_rku_05.mei,3,FALSE),IF($D$1=$AN$8,HLOOKUP("kdk bdl",real_rku_06.jun,3,FALSE),IF($D$1=$AN$9,HLOOKUP("kdk bdl",real_rku_07.jul,3,FALSE),IF($D$1=$AN$10,HLOOKUP("kdk bdl",real_rku_08.ags,3,FALSE),IF($D$1=$AN$11,HLOOKUP("kdk bdl",real_rku_09.sep,3,FALSE),IF($D$1=$AN$12,HLOOKUP("kdk bdl",real_rku_10.okt,3,FALSE),IF($D$1=$AN$13,HLOOKUP("kdk bdl",real_rku_11.nov,3,FALSE),IF($D$1=$AN$14,HLOOKUP("kdk bdl",real_rku_12.des,3,FALSE),IF($D$1=$AN$15,HLOOKUP("kdk bdl",real_rku_TW_I,3,FALSE),IF($D$1=$AN$16,HLOOKUP("kdk bdl",real_rku_TW_II,3,FALSE),IF($D$1=$AN$17,HLOOKUP("kdk bdl",real_rku_TW_III,3,FALSE),IF($D$1=$AN$18,HLOOKUP("kdk bdl",real_rku_TW_IV,3,FALSE),IF($D$1=$AN$19,HLOOKUP("kdk bdl",real_rku_SM_I,3,FALSE),IF($D$1=$AN$20,HLOOKUP("kdk bdl",real_rku_SM_II,3,FALSE),IF($D$1=$AN$21,HLOOKUP("kdk bdl",real_rku_2013,3,FALSE),IF($D$1=$AN$22,HLOOKUP("kdk bdl",real_rku_jan_apr,3,FALSE),IF($D$1=$AN$23,HLOOKUP("kdk bdl",real_rku_jan_mei,3,FALSE),IF($D$1=$AN$24,HLOOKUP("kdk bdl",real_rku_jan_jul,3,FALSE),IF($D$1=$AN$25,HLOOKUP("kdk bdl",real_rku_jan_ags,3,FALSE),IF($D$1=$AN$26,HLOOKUP("kdk bdl",real_rku_jan_sep,3,FALSE),IF($D$1=$AN$27,HLOOKUP("kdk bdl",real_rku_jan_okt,3,FALSE),IF($D$1=$AN$28,HLOOKUP("kdk bdl",real_rku_jan_nov,3,FALSE),0)))))))))))))))))))))))))))</f>
        <v>1905000</v>
      </c>
      <c r="G41" s="88">
        <f>IF($D$1&lt;&gt;"",IF($D$1=$AN$3,HLOOKUP("kdk bdl",real_rku_01.jan,4,FALSE),IF($D$1=$AN$4,HLOOKUP("kdk bdl",real_rku_02.feb,4,FALSE),IF($D$1=$AN$5,HLOOKUP("kdk bdl",real_rku_03.mar,4,FALSE),IF($D$1=$AN$6,HLOOKUP("kdk bdl",real_rku_04.apr,4,FALSE),IF($D$1=$AN$7,HLOOKUP("kdk bdl",real_rku_05.mei,4,FALSE),IF($D$1=$AN$8,HLOOKUP("kdk bdl",real_rku_06.jun,4,FALSE),IF($D$1=$AN$9,HLOOKUP("kdk bdl",real_rku_07.jul,4,FALSE),IF($D$1=$AN$10,HLOOKUP("kdk bdl",real_rku_08.ags,4,FALSE),IF($D$1=$AN$11,HLOOKUP("kdk bdl",real_rku_09.sep,4,FALSE),IF($D$1=$AN$12,HLOOKUP("kdk bdl",real_rku_10.okt,4,FALSE),IF($D$1=$AN$13,HLOOKUP("kdk bdl",real_rku_11.nov,4,FALSE),IF($D$1=$AN$14,HLOOKUP("kdk bdl",real_rku_12.des,4,FALSE),IF($D$1=$AN$15,HLOOKUP("kdk bdl",real_rku_TW_I,4,FALSE),IF($D$1=$AN$16,HLOOKUP("kdk bdl",real_rku_TW_II,4,FALSE),IF($D$1=$AN$17,HLOOKUP("kdk bdl",real_rku_TW_III,4,FALSE),IF($D$1=$AN$18,HLOOKUP("kdk bdl",real_rku_TW_IV,4,FALSE),IF($D$1=$AN$19,HLOOKUP("kdk bdl",real_rku_SM_I,4,FALSE),IF($D$1=$AN$20,HLOOKUP("kdk bdl",real_rku_SM_II,4,FALSE),IF($D$1=$AN$21,HLOOKUP("kdk bdl",real_rku_2013,4,FALSE),IF($D$1=$AN$22,HLOOKUP("kdk bdl",real_rku_jan_apr,4,FALSE),IF($D$1=$AN$23,HLOOKUP("kdk bdl",real_rku_jan_mei,4,FALSE),IF($D$1=$AN$24,HLOOKUP("kdk bdl",real_rku_jan_jul,4,FALSE),IF($D$1=$AN$25,HLOOKUP("kdk bdl",real_rku_jan_ags,4,FALSE),IF($D$1=$AN$26,HLOOKUP("kdk bdl",real_rku_jan_sep,4,FALSE),IF($D$1=$AN$27,HLOOKUP("kdk bdl",real_rku_jan_okt,4,FALSE),IF($D$1=$AN$28,HLOOKUP("kdk bdl",real_rku_jan_nov,4,FALSE),0)))))))))))))))))))))))))))</f>
        <v>360000</v>
      </c>
      <c r="H41" s="88">
        <f>IF($D$1&lt;&gt;"",IF($D$1=$AN$3,HLOOKUP("kdk bdl",real_rku_01.jan,5,FALSE),IF($D$1=$AN$4,HLOOKUP("kdk bdl",real_rku_02.feb,5,FALSE),IF($D$1=$AN$5,HLOOKUP("kdk bdl",real_rku_03.mar,5,FALSE),IF($D$1=$AN$6,HLOOKUP("kdk bdl",real_rku_04.apr,5,FALSE),IF($D$1=$AN$7,HLOOKUP("kdk bdl",real_rku_05.mei,5,FALSE),IF($D$1=$AN$8,HLOOKUP("kdk bdl",real_rku_06.jun,5,FALSE),IF($D$1=$AN$9,HLOOKUP("kdk bdl",real_rku_07.jul,5,FALSE),IF($D$1=$AN$10,HLOOKUP("kdk bdl",real_rku_08.ags,5,FALSE),IF($D$1=$AN$11,HLOOKUP("kdk bdl",real_rku_09.sep,5,FALSE),IF($D$1=$AN$12,HLOOKUP("kdk bdl",real_rku_10.okt,5,FALSE),IF($D$1=$AN$13,HLOOKUP("kdk bdl",real_rku_11.nov,5,FALSE),IF($D$1=$AN$14,HLOOKUP("kdk bdl",real_rku_12.des,5,FALSE),IF($D$1=$AN$15,HLOOKUP("kdk bdl",real_rku_TW_I,5,FALSE),IF($D$1=$AN$16,HLOOKUP("kdk bdl",real_rku_TW_II,5,FALSE),IF($D$1=$AN$17,HLOOKUP("kdk bdl",real_rku_TW_III,5,FALSE),IF($D$1=$AN$18,HLOOKUP("kdk bdl",real_rku_TW_IV,5,FALSE),IF($D$1=$AN$19,HLOOKUP("kdk bdl",real_rku_SM_I,5,FALSE),IF($D$1=$AN$20,HLOOKUP("kdk bdl",real_rku_SM_II,5,FALSE),IF($D$1=$AN$21,HLOOKUP("kdk bdl",real_rku_2013,5,FALSE),IF($D$1=$AN$22,HLOOKUP("kdk bdl",real_rku_jan_apr,5,FALSE),IF($D$1=$AN$23,HLOOKUP("kdk bdl",real_rku_jan_mei,5,FALSE),IF($D$1=$AN$24,HLOOKUP("kdk bdl",real_rku_jan_jul,5,FALSE),IF($D$1=$AN$25,HLOOKUP("kdk bdl",real_rku_jan_ags,5,FALSE),IF($D$1=$AN$26,HLOOKUP("kdk bdl",real_rku_jan_sep,5,FALSE),IF($D$1=$AN$27,HLOOKUP("kdk bdl",real_rku_jan_okt,5,FALSE),IF($D$1=$AN$28,HLOOKUP("kdk bdl",real_rku_jan_nov,5,FALSE),0)))))))))))))))))))))))))))</f>
        <v>380000</v>
      </c>
      <c r="I41" s="88">
        <f>IF($D$1&lt;&gt;"",IF($D$1=$AN$3,HLOOKUP("kdk bdl",real_rku_01.jan,6,FALSE),IF($D$1=$AN$4,HLOOKUP("kdk bdl",real_rku_02.feb,6,FALSE),IF($D$1=$AN$5,HLOOKUP("kdk bdl",real_rku_03.mar,6,FALSE),IF($D$1=$AN$6,HLOOKUP("kdk bdl",real_rku_04.apr,6,FALSE),IF($D$1=$AN$7,HLOOKUP("kdk bdl",real_rku_05.mei,6,FALSE),IF($D$1=$AN$8,HLOOKUP("kdk bdl",real_rku_06.jun,6,FALSE),IF($D$1=$AN$9,HLOOKUP("kdk bdl",real_rku_07.jul,6,FALSE),IF($D$1=$AN$10,HLOOKUP("kdk bdl",real_rku_08.ags,6,FALSE),IF($D$1=$AN$11,HLOOKUP("kdk bdl",real_rku_09.sep,6,FALSE),IF($D$1=$AN$12,HLOOKUP("kdk bdl",real_rku_10.okt,6,FALSE),IF($D$1=$AN$13,HLOOKUP("kdk bdl",real_rku_11.nov,6,FALSE),IF($D$1=$AN$14,HLOOKUP("kdk bdl",real_rku_12.des,6,FALSE),IF($D$1=$AN$15,HLOOKUP("kdk bdl",real_rku_TW_I,6,FALSE),IF($D$1=$AN$16,HLOOKUP("kdk bdl",real_rku_TW_II,6,FALSE),IF($D$1=$AN$17,HLOOKUP("kdk bdl",real_rku_TW_III,6,FALSE),IF($D$1=$AN$18,HLOOKUP("kdk bdl",real_rku_TW_IV,6,FALSE),IF($D$1=$AN$19,HLOOKUP("kdk bdl",real_rku_SM_I,6,FALSE),IF($D$1=$AN$20,HLOOKUP("kdk bdl",real_rku_SM_II,6,FALSE),IF($D$1=$AN$21,HLOOKUP("kdk bdl",real_rku_2013,6,FALSE),IF($D$1=$AN$22,HLOOKUP("kdk bdl",real_rku_jan_apr,6,FALSE),IF($D$1=$AN$23,HLOOKUP("kdk bdl",real_rku_jan_mei,6,FALSE),IF($D$1=$AN$24,HLOOKUP("kdk bdl",real_rku_jan_jul,6,FALSE),IF($D$1=$AN$25,HLOOKUP("kdk bdl",real_rku_jan_ags,6,FALSE),IF($D$1=$AN$26,HLOOKUP("kdk bdl",real_rku_jan_sep,6,FALSE),IF($D$1=$AN$27,HLOOKUP("kdk bdl",real_rku_jan_okt,6,FALSE),IF($D$1=$AN$28,HLOOKUP("kdk bdl",real_rku_jan_nov,6,FALSE),0)))))))))))))))))))))))))))</f>
        <v>290000</v>
      </c>
      <c r="J41" s="88">
        <f>IF($D$1&lt;&gt;"",IF($D$1=$AN$3,HLOOKUP("kdk bdl",real_rku_01.jan,7,FALSE),IF($D$1=$AN$4,HLOOKUP("kdk bdl",real_rku_02.feb,7,FALSE),IF($D$1=$AN$5,HLOOKUP("kdk bdl",real_rku_03.mar,7,FALSE),IF($D$1=$AN$6,HLOOKUP("kdk bdl",real_rku_04.apr,7,FALSE),IF($D$1=$AN$7,HLOOKUP("kdk bdl",real_rku_05.mei,7,FALSE),IF($D$1=$AN$8,HLOOKUP("kdk bdl",real_rku_06.jun,7,FALSE),IF($D$1=$AN$9,HLOOKUP("kdk bdl",real_rku_07.jul,7,FALSE),IF($D$1=$AN$10,HLOOKUP("kdk bdl",real_rku_08.ags,7,FALSE),IF($D$1=$AN$11,HLOOKUP("kdk bdl",real_rku_09.sep,7,FALSE),IF($D$1=$AN$12,HLOOKUP("kdk bdl",real_rku_10.okt,7,FALSE),IF($D$1=$AN$13,HLOOKUP("kdk bdl",real_rku_11.nov,7,FALSE),IF($D$1=$AN$14,HLOOKUP("kdk bdl",real_rku_12.des,7,FALSE),IF($D$1=$AN$15,HLOOKUP("kdk bdl",real_rku_TW_I,7,FALSE),IF($D$1=$AN$16,HLOOKUP("kdk bdl",real_rku_TW_II,7,FALSE),IF($D$1=$AN$17,HLOOKUP("kdk bdl",real_rku_TW_III,7,FALSE),IF($D$1=$AN$18,HLOOKUP("kdk bdl",real_rku_TW_IV,7,FALSE),IF($D$1=$AN$19,HLOOKUP("kdk bdl",real_rku_SM_I,7,FALSE),IF($D$1=$AN$20,HLOOKUP("kdk bdl",real_rku_SM_II,7,FALSE),IF($D$1=$AN$21,HLOOKUP("kdk bdl",real_rku_2013,7,FALSE),IF($D$1=$AN$22,HLOOKUP("kdk bdl",real_rku_jan_apr,7,FALSE),IF($D$1=$AN$23,HLOOKUP("kdk bdl",real_rku_jan_mei,7,FALSE),IF($D$1=$AN$24,HLOOKUP("kdk bdl",real_rku_jan_jul,7,FALSE),IF($D$1=$AN$25,HLOOKUP("kdk bdl",real_rku_jan_ags,7,FALSE),IF($D$1=$AN$26,HLOOKUP("kdk bdl",real_rku_jan_sep,7,FALSE),IF($D$1=$AN$27,HLOOKUP("kdk bdl",real_rku_jan_okt,7,FALSE),IF($D$1=$AN$28,HLOOKUP("kdk bdl",real_rku_jan_nov,7,FALSE),0)))))))))))))))))))))))))))</f>
        <v>116000</v>
      </c>
      <c r="K41" s="88">
        <f>IF($D$1&lt;&gt;"",IF($D$1=$AN$3,HLOOKUP("kdk bdl",real_rku_01.jan,8,FALSE),IF($D$1=$AN$4,HLOOKUP("kdk bdl",real_rku_02.feb,8,FALSE),IF($D$1=$AN$5,HLOOKUP("kdk bdl",real_rku_03.mar,8,FALSE),IF($D$1=$AN$6,HLOOKUP("kdk bdl",real_rku_04.apr,8,FALSE),IF($D$1=$AN$7,HLOOKUP("kdk bdl",real_rku_05.mei,8,FALSE),IF($D$1=$AN$8,HLOOKUP("kdk bdl",real_rku_06.jun,8,FALSE),IF($D$1=$AN$9,HLOOKUP("kdk bdl",real_rku_07.jul,8,FALSE),IF($D$1=$AN$10,HLOOKUP("kdk bdl",real_rku_08.ags,8,FALSE),IF($D$1=$AN$11,HLOOKUP("kdk bdl",real_rku_09.sep,8,FALSE),IF($D$1=$AN$12,HLOOKUP("kdk bdl",real_rku_10.okt,8,FALSE),IF($D$1=$AN$13,HLOOKUP("kdk bdl",real_rku_11.nov,8,FALSE),IF($D$1=$AN$14,HLOOKUP("kdk bdl",real_rku_12.des,8,FALSE),IF($D$1=$AN$15,HLOOKUP("kdk bdl",real_rku_TW_I,8,FALSE),IF($D$1=$AN$16,HLOOKUP("kdk bdl",real_rku_TW_II,8,FALSE),IF($D$1=$AN$17,HLOOKUP("kdk bdl",real_rku_TW_III,8,FALSE),IF($D$1=$AN$18,HLOOKUP("kdk bdl",real_rku_TW_IV,8,FALSE),IF($D$1=$AN$19,HLOOKUP("kdk bdl",real_rku_SM_I,8,FALSE),IF($D$1=$AN$20,HLOOKUP("kdk bdl",real_rku_SM_II,8,FALSE),IF($D$1=$AN$21,HLOOKUP("kdk bdl",real_rku_2013,8,FALSE),IF($D$1=$AN$22,HLOOKUP("kdk bdl",real_rku_jan_apr,8,FALSE),IF($D$1=$AN$23,HLOOKUP("kdk bdl",real_rku_jan_mei,8,FALSE),IF($D$1=$AN$24,HLOOKUP("kdk bdl",real_rku_jan_jul,8,FALSE),IF($D$1=$AN$25,HLOOKUP("kdk bdl",real_rku_jan_ags,8,FALSE),IF($D$1=$AN$26,HLOOKUP("kdk bdl",real_rku_jan_sep,8,FALSE),IF($D$1=$AN$27,HLOOKUP("kdk bdl",real_rku_jan_okt,8,FALSE),IF($D$1=$AN$28,HLOOKUP("kdk bdl",real_rku_jan_nov,8,FALSE),0)))))))))))))))))))))))))))</f>
        <v>7000</v>
      </c>
      <c r="L41" s="89">
        <f>+SUM(E41:K41)</f>
        <v>9048000</v>
      </c>
      <c r="M41" s="88">
        <f>IF($D$1&lt;&gt;"",IF($D$1=$AN$3,HLOOKUP("kdk bdl",real_rku_01.jan,10,FALSE),IF($D$1=$AN$4,HLOOKUP("kdk bdl",real_rku_02.feb,10,FALSE),IF($D$1=$AN$5,HLOOKUP("kdk bdl",real_rku_03.mar,10,FALSE),IF($D$1=$AN$6,HLOOKUP("kdk bdl",real_rku_04.apr,10,FALSE),IF($D$1=$AN$7,HLOOKUP("kdk bdl",real_rku_05.mei,10,FALSE),IF($D$1=$AN$8,HLOOKUP("kdk bdl",real_rku_06.jun,10,FALSE),IF($D$1=$AN$9,HLOOKUP("kdk bdl",real_rku_07.jul,10,FALSE),IF($D$1=$AN$10,HLOOKUP("kdk bdl",real_rku_08.ags,10,FALSE),IF($D$1=$AN$11,HLOOKUP("kdk bdl",real_rku_09.sep,10,FALSE),IF($D$1=$AN$12,HLOOKUP("kdk bdl",real_rku_10.okt,10,FALSE),IF($D$1=$AN$13,HLOOKUP("kdk bdl",real_rku_11.nov,10,FALSE),IF($D$1=$AN$14,HLOOKUP("kdk bdl",real_rku_12.des,10,FALSE),IF($D$1=$AN$15,HLOOKUP("kdk bdl",real_rku_TW_I,10,FALSE),IF($D$1=$AN$16,HLOOKUP("kdk bdl",real_rku_TW_II,10,FALSE),IF($D$1=$AN$17,HLOOKUP("kdk bdl",real_rku_TW_III,10,FALSE),IF($D$1=$AN$18,HLOOKUP("kdk bdl",real_rku_TW_IV,10,FALSE),IF($D$1=$AN$19,HLOOKUP("kdk bdl",real_rku_SM_I,10,FALSE),IF($D$1=$AN$20,HLOOKUP("kdk bdl",real_rku_SM_II,10,FALSE),IF($D$1=$AN$21,HLOOKUP("kdk bdl",real_rku_2013,10,FALSE),IF($D$1=$AN$22,HLOOKUP("kdk bdl",real_rku_jan_apr,10,FALSE),IF($D$1=$AN$23,HLOOKUP("kdk bdl",real_rku_jan_mei,10,FALSE),IF($D$1=$AN$24,HLOOKUP("kdk bdl",real_rku_jan_jul,10,FALSE),IF($D$1=$AN$25,HLOOKUP("kdk bdl",real_rku_jan_ags,10,FALSE),IF($D$1=$AN$26,HLOOKUP("kdk bdl",real_rku_jan_sep,10,FALSE),IF($D$1=$AN$27,HLOOKUP("kdk bdl",real_rku_jan_okt,10,FALSE),IF($D$1=$AN$28,HLOOKUP("kdk bdl",real_rku_jan_nov,10,FALSE),0)))))))))))))))))))))))))))</f>
        <v>10300</v>
      </c>
      <c r="N41" s="88">
        <f>IF($D$1&lt;&gt;"",IF($D$1=$AN$3,HLOOKUP("kdk bdl",real_rku_01.jan,11,FALSE),IF($D$1=$AN$4,HLOOKUP("kdk bdl",real_rku_02.feb,11,FALSE),IF($D$1=$AN$5,HLOOKUP("kdk bdl",real_rku_03.mar,11,FALSE),IF($D$1=$AN$6,HLOOKUP("kdk bdl",real_rku_04.apr,11,FALSE),IF($D$1=$AN$7,HLOOKUP("kdk bdl",real_rku_05.mei,11,FALSE),IF($D$1=$AN$8,HLOOKUP("kdk bdl",real_rku_06.jun,11,FALSE),IF($D$1=$AN$9,HLOOKUP("kdk bdl",real_rku_07.jul,11,FALSE),IF($D$1=$AN$10,HLOOKUP("kdk bdl",real_rku_08.ags,11,FALSE),IF($D$1=$AN$11,HLOOKUP("kdk bdl",real_rku_09.sep,11,FALSE),IF($D$1=$AN$12,HLOOKUP("kdk bdl",real_rku_10.okt,11,FALSE),IF($D$1=$AN$13,HLOOKUP("kdk bdl",real_rku_11.nov,11,FALSE),IF($D$1=$AN$14,HLOOKUP("kdk bdl",real_rku_12.des,11,FALSE),IF($D$1=$AN$15,HLOOKUP("kdk bdl",real_rku_TW_I,11,FALSE),IF($D$1=$AN$16,HLOOKUP("kdk bdl",real_rku_TW_II,11,FALSE),IF($D$1=$AN$17,HLOOKUP("kdk bdl",real_rku_TW_III,11,FALSE),IF($D$1=$AN$18,HLOOKUP("kdk bdl",real_rku_TW_IV,11,FALSE),IF($D$1=$AN$19,HLOOKUP("kdk bdl",real_rku_SM_I,11,FALSE),IF($D$1=$AN$20,HLOOKUP("kdk bdl",real_rku_SM_II,11,FALSE),IF($D$1=$AN$21,HLOOKUP("kdk bdl",real_rku_2013,11,FALSE),IF($D$1=$AN$22,HLOOKUP("kdk bdl",real_rku_jan_apr,11,FALSE),IF($D$1=$AN$23,HLOOKUP("kdk bdl",real_rku_jan_mei,11,FALSE),IF($D$1=$AN$24,HLOOKUP("kdk bdl",real_rku_jan_jul,11,FALSE),IF($D$1=$AN$25,HLOOKUP("kdk bdl",real_rku_jan_ags,11,FALSE),IF($D$1=$AN$26,HLOOKUP("kdk bdl",real_rku_jan_sep,11,FALSE),IF($D$1=$AN$27,HLOOKUP("kdk bdl",real_rku_jan_okt,11,FALSE),IF($D$1=$AN$28,HLOOKUP("kdk bdl",real_rku_jan_nov,11,FALSE),0)))))))))))))))))))))))))))</f>
        <v>4375</v>
      </c>
      <c r="O41" s="88">
        <f>IF($D$1&lt;&gt;"",IF($D$1=$AN$3,HLOOKUP("kdk bdl",real_rku_01.jan,12,FALSE),IF($D$1=$AN$4,HLOOKUP("kdk bdl",real_rku_02.feb,12,FALSE),IF($D$1=$AN$5,HLOOKUP("kdk bdl",real_rku_03.mar,12,FALSE),IF($D$1=$AN$6,HLOOKUP("kdk bdl",real_rku_04.apr,12,FALSE),IF($D$1=$AN$7,HLOOKUP("kdk bdl",real_rku_05.mei,12,FALSE),IF($D$1=$AN$8,HLOOKUP("kdk bdl",real_rku_06.jun,12,FALSE),IF($D$1=$AN$9,HLOOKUP("kdk bdl",real_rku_07.jul,12,FALSE),IF($D$1=$AN$10,HLOOKUP("kdk bdl",real_rku_08.ags,12,FALSE),IF($D$1=$AN$11,HLOOKUP("kdk bdl",real_rku_09.sep,12,FALSE),IF($D$1=$AN$12,HLOOKUP("kdk bdl",real_rku_10.okt,12,FALSE),IF($D$1=$AN$13,HLOOKUP("kdk bdl",real_rku_11.nov,12,FALSE),IF($D$1=$AN$14,HLOOKUP("kdk bdl",real_rku_12.des,12,FALSE),IF($D$1=$AN$15,HLOOKUP("kdk bdl",real_rku_TW_I,12,FALSE),IF($D$1=$AN$16,HLOOKUP("kdk bdl",real_rku_TW_II,12,FALSE),IF($D$1=$AN$17,HLOOKUP("kdk bdl",real_rku_TW_III,12,FALSE),IF($D$1=$AN$18,HLOOKUP("kdk bdl",real_rku_TW_IV,12,FALSE),IF($D$1=$AN$19,HLOOKUP("kdk bdl",real_rku_SM_I,12,FALSE),IF($D$1=$AN$20,HLOOKUP("kdk bdl",real_rku_SM_II,12,FALSE),IF($D$1=$AN$21,HLOOKUP("kdk bdl",real_rku_2013,12,FALSE),IF($D$1=$AN$22,HLOOKUP("kdk bdl",real_rku_jan_apr,12,FALSE),IF($D$1=$AN$23,HLOOKUP("kdk bdl",real_rku_jan_mei,12,FALSE),IF($D$1=$AN$24,HLOOKUP("kdk bdl",real_rku_jan_jul,12,FALSE),IF($D$1=$AN$25,HLOOKUP("kdk bdl",real_rku_jan_ags,12,FALSE),IF($D$1=$AN$26,HLOOKUP("kdk bdl",real_rku_jan_sep,12,FALSE),IF($D$1=$AN$27,HLOOKUP("kdk bdl",real_rku_jan_okt,12,FALSE),IF($D$1=$AN$28,HLOOKUP("kdk bdl",real_rku_jan_nov,12,FALSE),0)))))))))))))))))))))))))))</f>
        <v>1350</v>
      </c>
      <c r="P41" s="88">
        <f>IF($D$1&lt;&gt;"",IF($D$1=$AN$3,HLOOKUP("kdk bdl",real_rku_01.jan,13,FALSE),IF($D$1=$AN$4,HLOOKUP("kdk bdl",real_rku_02.feb,13,FALSE),IF($D$1=$AN$5,HLOOKUP("kdk bdl",real_rku_03.mar,13,FALSE),IF($D$1=$AN$6,HLOOKUP("kdk bdl",real_rku_04.apr,13,FALSE),IF($D$1=$AN$7,HLOOKUP("kdk bdl",real_rku_05.mei,13,FALSE),IF($D$1=$AN$8,HLOOKUP("kdk bdl",real_rku_06.jun,13,FALSE),IF($D$1=$AN$9,HLOOKUP("kdk bdl",real_rku_07.jul,13,FALSE),IF($D$1=$AN$10,HLOOKUP("kdk bdl",real_rku_08.ags,13,FALSE),IF($D$1=$AN$11,HLOOKUP("kdk bdl",real_rku_09.sep,13,FALSE),IF($D$1=$AN$12,HLOOKUP("kdk bdl",real_rku_10.okt,13,FALSE),IF($D$1=$AN$13,HLOOKUP("kdk bdl",real_rku_11.nov,13,FALSE),IF($D$1=$AN$14,HLOOKUP("kdk bdl",real_rku_12.des,13,FALSE),IF($D$1=$AN$15,HLOOKUP("kdk bdl",real_rku_TW_I,13,FALSE),IF($D$1=$AN$16,HLOOKUP("kdk bdl",real_rku_TW_II,13,FALSE),IF($D$1=$AN$17,HLOOKUP("kdk bdl",real_rku_TW_III,13,FALSE),IF($D$1=$AN$18,HLOOKUP("kdk bdl",real_rku_TW_IV,13,FALSE),IF($D$1=$AN$19,HLOOKUP("kdk bdl",real_rku_SM_I,13,FALSE),IF($D$1=$AN$20,HLOOKUP("kdk bdl",real_rku_SM_II,13,FALSE),IF($D$1=$AN$21,HLOOKUP("kdk bdl",real_rku_2013,13,FALSE),IF($D$1=$AN$22,HLOOKUP("kdk bdl",real_rku_jan_apr,13,FALSE),IF($D$1=$AN$23,HLOOKUP("kdk bdl",real_rku_jan_mei,13,FALSE),IF($D$1=$AN$24,HLOOKUP("kdk bdl",real_rku_jan_jul,13,FALSE),IF($D$1=$AN$25,HLOOKUP("kdk bdl",real_rku_jan_ags,13,FALSE),IF($D$1=$AN$26,HLOOKUP("kdk bdl",real_rku_jan_sep,13,FALSE),IF($D$1=$AN$27,HLOOKUP("kdk bdl",real_rku_jan_okt,13,FALSE),IF($D$1=$AN$28,HLOOKUP("kdk bdl",real_rku_jan_nov,13,FALSE),0)))))))))))))))))))))))))))</f>
        <v>665</v>
      </c>
      <c r="Q41" s="88">
        <f>IF($D$1&lt;&gt;"",IF($D$1=$AN$3,HLOOKUP("kdk bdl",real_rku_01.jan,14,FALSE),IF($D$1=$AN$4,HLOOKUP("kdk bdl",real_rku_02.feb,14,FALSE),IF($D$1=$AN$5,HLOOKUP("kdk bdl",real_rku_03.mar,14,FALSE),IF($D$1=$AN$6,HLOOKUP("kdk bdl",real_rku_04.apr,14,FALSE),IF($D$1=$AN$7,HLOOKUP("kdk bdl",real_rku_05.mei,14,FALSE),IF($D$1=$AN$8,HLOOKUP("kdk bdl",real_rku_06.jun,14,FALSE),IF($D$1=$AN$9,HLOOKUP("kdk bdl",real_rku_07.jul,14,FALSE),IF($D$1=$AN$10,HLOOKUP("kdk bdl",real_rku_08.ags,14,FALSE),IF($D$1=$AN$11,HLOOKUP("kdk bdl",real_rku_09.sep,14,FALSE),IF($D$1=$AN$12,HLOOKUP("kdk bdl",real_rku_10.okt,14,FALSE),IF($D$1=$AN$13,HLOOKUP("kdk bdl",real_rku_11.nov,14,FALSE),IF($D$1=$AN$14,HLOOKUP("kdk bdl",real_rku_12.des,14,FALSE),IF($D$1=$AN$15,HLOOKUP("kdk bdl",real_rku_TW_I,14,FALSE),IF($D$1=$AN$16,HLOOKUP("kdk bdl",real_rku_TW_II,14,FALSE),IF($D$1=$AN$17,HLOOKUP("kdk bdl",real_rku_TW_III,14,FALSE),IF($D$1=$AN$18,HLOOKUP("kdk bdl",real_rku_TW_IV,14,FALSE),IF($D$1=$AN$19,HLOOKUP("kdk bdl",real_rku_SM_I,14,FALSE),IF($D$1=$AN$20,HLOOKUP("kdk bdl",real_rku_SM_II,14,FALSE),IF($D$1=$AN$21,HLOOKUP("kdk bdl",real_rku_2013,14,FALSE),IF($D$1=$AN$22,HLOOKUP("kdk bdl",real_rku_jan_apr,14,FALSE),IF($D$1=$AN$23,HLOOKUP("kdk bdl",real_rku_jan_mei,14,FALSE),IF($D$1=$AN$24,HLOOKUP("kdk bdl",real_rku_jan_jul,14,FALSE),IF($D$1=$AN$25,HLOOKUP("kdk bdl",real_rku_jan_ags,14,FALSE),IF($D$1=$AN$26,HLOOKUP("kdk bdl",real_rku_jan_sep,14,FALSE),IF($D$1=$AN$27,HLOOKUP("kdk bdl",real_rku_jan_okt,14,FALSE),IF($D$1=$AN$28,HLOOKUP("kdk bdl",real_rku_jan_nov,14,FALSE),0)))))))))))))))))))))))))))</f>
        <v>0</v>
      </c>
      <c r="R41" s="89">
        <f>+SUM(M41:Q41)</f>
        <v>16690</v>
      </c>
      <c r="S41" s="88">
        <f>+R41+L41</f>
        <v>9064690</v>
      </c>
      <c r="T41" s="76"/>
      <c r="U41" s="86"/>
      <c r="V41" s="87"/>
      <c r="W41" s="87" t="s">
        <v>182</v>
      </c>
      <c r="X41" s="88">
        <f t="shared" si="47"/>
        <v>2995</v>
      </c>
      <c r="Y41" s="88">
        <f t="shared" si="47"/>
        <v>1905</v>
      </c>
      <c r="Z41" s="88">
        <f t="shared" si="47"/>
        <v>900</v>
      </c>
      <c r="AA41" s="88">
        <f t="shared" si="47"/>
        <v>1900</v>
      </c>
      <c r="AB41" s="88">
        <f t="shared" si="47"/>
        <v>2900</v>
      </c>
      <c r="AC41" s="88">
        <f t="shared" si="47"/>
        <v>2900</v>
      </c>
      <c r="AD41" s="88">
        <f t="shared" si="47"/>
        <v>350</v>
      </c>
      <c r="AE41" s="89">
        <f>+SUM(X41:AD41)</f>
        <v>13850</v>
      </c>
      <c r="AF41" s="88">
        <f t="shared" si="48"/>
        <v>2060</v>
      </c>
      <c r="AG41" s="88">
        <f t="shared" si="48"/>
        <v>1750</v>
      </c>
      <c r="AH41" s="88">
        <f t="shared" si="48"/>
        <v>675</v>
      </c>
      <c r="AI41" s="88">
        <f t="shared" si="48"/>
        <v>665</v>
      </c>
      <c r="AJ41" s="88">
        <f t="shared" si="48"/>
        <v>0</v>
      </c>
      <c r="AK41" s="89">
        <f>+SUM(AF41:AJ41)</f>
        <v>5150</v>
      </c>
      <c r="AL41" s="88">
        <f>+AK41+AE41</f>
        <v>19000</v>
      </c>
    </row>
    <row r="42" spans="2:39" ht="15" x14ac:dyDescent="0.25">
      <c r="B42" s="86"/>
      <c r="C42" s="87"/>
      <c r="D42" s="87" t="s">
        <v>184</v>
      </c>
      <c r="E42" s="88">
        <f t="shared" ref="E42:K42" si="49">+E40-E41</f>
        <v>-476000</v>
      </c>
      <c r="F42" s="88">
        <f t="shared" si="49"/>
        <v>-1344000</v>
      </c>
      <c r="G42" s="88">
        <f t="shared" si="49"/>
        <v>-234400</v>
      </c>
      <c r="H42" s="88">
        <f t="shared" si="49"/>
        <v>-244800</v>
      </c>
      <c r="I42" s="88">
        <f t="shared" si="49"/>
        <v>-157300</v>
      </c>
      <c r="J42" s="88">
        <f t="shared" si="49"/>
        <v>-47760</v>
      </c>
      <c r="K42" s="88">
        <f t="shared" si="49"/>
        <v>280</v>
      </c>
      <c r="L42" s="89">
        <f>+SUM(E42:K42)</f>
        <v>-2503980</v>
      </c>
      <c r="M42" s="88">
        <f>+M40-M41</f>
        <v>190</v>
      </c>
      <c r="N42" s="88">
        <f>+N40-N41</f>
        <v>517.5</v>
      </c>
      <c r="O42" s="88">
        <f>+O40-O41</f>
        <v>-216</v>
      </c>
      <c r="P42" s="88">
        <f>+P40-P41</f>
        <v>-74</v>
      </c>
      <c r="Q42" s="88">
        <f>+Q40-Q41</f>
        <v>0</v>
      </c>
      <c r="R42" s="89">
        <f>+SUM(M42:Q42)</f>
        <v>417.5</v>
      </c>
      <c r="S42" s="88">
        <f>+R42+L42</f>
        <v>-2503562.5</v>
      </c>
      <c r="T42" s="114"/>
      <c r="U42" s="86"/>
      <c r="V42" s="87"/>
      <c r="W42" s="87" t="s">
        <v>184</v>
      </c>
      <c r="X42" s="88">
        <f t="shared" ref="X42:AD42" si="50">+X40-X41</f>
        <v>-238</v>
      </c>
      <c r="Y42" s="88">
        <f t="shared" si="50"/>
        <v>-1344</v>
      </c>
      <c r="Z42" s="88">
        <f t="shared" si="50"/>
        <v>-586</v>
      </c>
      <c r="AA42" s="88">
        <f t="shared" si="50"/>
        <v>-1224</v>
      </c>
      <c r="AB42" s="88">
        <f t="shared" si="50"/>
        <v>-1573</v>
      </c>
      <c r="AC42" s="88">
        <f t="shared" si="50"/>
        <v>-1194</v>
      </c>
      <c r="AD42" s="88">
        <f t="shared" si="50"/>
        <v>14</v>
      </c>
      <c r="AE42" s="89">
        <f>+SUM(X42:AD42)</f>
        <v>-6145</v>
      </c>
      <c r="AF42" s="88">
        <f>+AF40-AF41</f>
        <v>38</v>
      </c>
      <c r="AG42" s="88">
        <f>+AG40-AG41</f>
        <v>207</v>
      </c>
      <c r="AH42" s="88">
        <f>+AH40-AH41</f>
        <v>-108</v>
      </c>
      <c r="AI42" s="88">
        <f>+AI40-AI41</f>
        <v>-74</v>
      </c>
      <c r="AJ42" s="88">
        <f>+AJ40-AJ41</f>
        <v>0</v>
      </c>
      <c r="AK42" s="89">
        <f>+SUM(AF42:AJ42)</f>
        <v>63</v>
      </c>
      <c r="AL42" s="88">
        <f>+AK42+AE42</f>
        <v>-6082</v>
      </c>
      <c r="AM42" s="91">
        <f>+AL42/1000</f>
        <v>-6.0819999999999999</v>
      </c>
    </row>
    <row r="43" spans="2:39" ht="14.25" x14ac:dyDescent="0.2">
      <c r="B43" s="86"/>
      <c r="C43" s="87"/>
      <c r="D43" s="92" t="s">
        <v>186</v>
      </c>
      <c r="E43" s="93">
        <f t="shared" ref="E43:S43" si="51">IF(E40=0,"-",E41/E40)</f>
        <v>1.0863257163583606</v>
      </c>
      <c r="F43" s="93">
        <f t="shared" si="51"/>
        <v>3.3957219251336896</v>
      </c>
      <c r="G43" s="93">
        <f t="shared" si="51"/>
        <v>2.8662420382165603</v>
      </c>
      <c r="H43" s="93">
        <f t="shared" si="51"/>
        <v>2.8106508875739644</v>
      </c>
      <c r="I43" s="93">
        <f t="shared" si="51"/>
        <v>2.1853805576488319</v>
      </c>
      <c r="J43" s="93">
        <f t="shared" si="51"/>
        <v>1.6998827667057443</v>
      </c>
      <c r="K43" s="93">
        <f t="shared" si="51"/>
        <v>0.96153846153846156</v>
      </c>
      <c r="L43" s="94">
        <f t="shared" si="51"/>
        <v>1.3826363611358157</v>
      </c>
      <c r="M43" s="93">
        <f t="shared" si="51"/>
        <v>0.98188751191611057</v>
      </c>
      <c r="N43" s="93">
        <f t="shared" si="51"/>
        <v>0.89422585590189063</v>
      </c>
      <c r="O43" s="93">
        <f>IF(O40=0,"-",O41/O40)</f>
        <v>1.1904761904761905</v>
      </c>
      <c r="P43" s="93">
        <f t="shared" si="51"/>
        <v>1.1252115059221659</v>
      </c>
      <c r="Q43" s="93" t="str">
        <f t="shared" si="51"/>
        <v>-</v>
      </c>
      <c r="R43" s="94">
        <f t="shared" si="51"/>
        <v>0.97559549905012422</v>
      </c>
      <c r="S43" s="93">
        <f t="shared" si="51"/>
        <v>1.3815750417896924</v>
      </c>
      <c r="T43" s="95">
        <f>+S43*$T$6</f>
        <v>0.96710252925278462</v>
      </c>
      <c r="U43" s="86"/>
      <c r="V43" s="87"/>
      <c r="W43" s="92" t="s">
        <v>186</v>
      </c>
      <c r="X43" s="93">
        <f t="shared" ref="X43:AL43" si="52">IF(X40=0,"-",X41/X40)</f>
        <v>1.0863257163583606</v>
      </c>
      <c r="Y43" s="93">
        <f t="shared" si="52"/>
        <v>3.3957219251336896</v>
      </c>
      <c r="Z43" s="93">
        <f t="shared" si="52"/>
        <v>2.8662420382165603</v>
      </c>
      <c r="AA43" s="93">
        <f t="shared" si="52"/>
        <v>2.8106508875739644</v>
      </c>
      <c r="AB43" s="93">
        <f t="shared" si="52"/>
        <v>2.1853805576488319</v>
      </c>
      <c r="AC43" s="93">
        <f t="shared" si="52"/>
        <v>1.6998827667057443</v>
      </c>
      <c r="AD43" s="93">
        <f t="shared" si="52"/>
        <v>0.96153846153846156</v>
      </c>
      <c r="AE43" s="94">
        <f t="shared" si="52"/>
        <v>1.7975340687865022</v>
      </c>
      <c r="AF43" s="93">
        <f t="shared" si="52"/>
        <v>0.98188751191611057</v>
      </c>
      <c r="AG43" s="93">
        <f t="shared" si="52"/>
        <v>0.89422585590189063</v>
      </c>
      <c r="AH43" s="93">
        <f t="shared" si="52"/>
        <v>1.1904761904761905</v>
      </c>
      <c r="AI43" s="93">
        <f t="shared" si="52"/>
        <v>1.1252115059221659</v>
      </c>
      <c r="AJ43" s="93" t="str">
        <f t="shared" si="52"/>
        <v>-</v>
      </c>
      <c r="AK43" s="94">
        <f t="shared" si="52"/>
        <v>0.98791482831383082</v>
      </c>
      <c r="AL43" s="93">
        <f t="shared" si="52"/>
        <v>1.470815915776436</v>
      </c>
    </row>
    <row r="44" spans="2:39" ht="14.25" x14ac:dyDescent="0.2">
      <c r="B44" s="96"/>
      <c r="C44" s="97"/>
      <c r="D44" s="97"/>
      <c r="E44" s="98">
        <f>+E43*$L$6</f>
        <v>0.32589771490750818</v>
      </c>
      <c r="F44" s="98">
        <f t="shared" ref="F44:K44" si="53">+F43*$L$6</f>
        <v>1.0187165775401068</v>
      </c>
      <c r="G44" s="98">
        <f t="shared" si="53"/>
        <v>0.85987261146496807</v>
      </c>
      <c r="H44" s="98">
        <f t="shared" si="53"/>
        <v>0.84319526627218933</v>
      </c>
      <c r="I44" s="98">
        <f t="shared" si="53"/>
        <v>0.6556141672946495</v>
      </c>
      <c r="J44" s="98">
        <f t="shared" si="53"/>
        <v>0.50996483001172332</v>
      </c>
      <c r="K44" s="98">
        <f t="shared" si="53"/>
        <v>0.28846153846153844</v>
      </c>
      <c r="L44" s="98"/>
      <c r="M44" s="98">
        <f t="shared" ref="M44:P44" si="54">+M43*$L$6</f>
        <v>0.29456625357483318</v>
      </c>
      <c r="N44" s="98">
        <f t="shared" si="54"/>
        <v>0.26826775677056719</v>
      </c>
      <c r="O44" s="98">
        <f t="shared" si="54"/>
        <v>0.35714285714285715</v>
      </c>
      <c r="P44" s="98">
        <f t="shared" si="54"/>
        <v>0.33756345177664976</v>
      </c>
      <c r="Q44" s="98"/>
      <c r="R44" s="99"/>
      <c r="S44" s="98">
        <f>+AVERAGE(E44:Q44)</f>
        <v>0.52356936592887182</v>
      </c>
      <c r="T44" s="100">
        <f>+S44+T43</f>
        <v>1.4906718951816564</v>
      </c>
      <c r="U44" s="96"/>
      <c r="V44" s="97"/>
      <c r="W44" s="97"/>
      <c r="X44" s="101"/>
      <c r="Y44" s="101"/>
      <c r="Z44" s="101"/>
      <c r="AA44" s="101"/>
      <c r="AB44" s="101"/>
      <c r="AC44" s="101"/>
      <c r="AD44" s="101"/>
      <c r="AE44" s="99">
        <f>+SUM(X44:AD44)</f>
        <v>0</v>
      </c>
      <c r="AF44" s="101"/>
      <c r="AG44" s="101"/>
      <c r="AH44" s="101"/>
      <c r="AI44" s="101"/>
      <c r="AJ44" s="101"/>
      <c r="AK44" s="99">
        <f>+SUM(AF44:AJ44)</f>
        <v>0</v>
      </c>
      <c r="AL44" s="101">
        <f>+AK44+AE44</f>
        <v>0</v>
      </c>
    </row>
    <row r="45" spans="2:39" ht="14.25" x14ac:dyDescent="0.2">
      <c r="B45" s="81">
        <v>8</v>
      </c>
      <c r="C45" s="83" t="s">
        <v>208</v>
      </c>
      <c r="D45" s="83" t="s">
        <v>180</v>
      </c>
      <c r="E45" s="84">
        <f>IF($D$1&lt;&gt;"",IF($D$1=$AN$3,HLOOKUP("kdk sm",rku_01.jan,2,FALSE),IF($D$1=$AN$4,HLOOKUP("kdk sm",rku_02.feb,2,FALSE),IF($D$1=$AN$5,HLOOKUP("kdk sm",rku_03.mar,2,FALSE),IF($D$1=$AN$6,HLOOKUP("kdk sm",rku_04.apr,2,FALSE),IF($D$1=$AN$7,HLOOKUP("kdk sm",rku_05.mei,2,FALSE),IF($D$1=$AN$8,HLOOKUP("kdk sm",rku_06.jun,2,FALSE),IF($D$1=$AN$9,HLOOKUP("kdk sm",rku_07.jul,2,FALSE),IF($D$1=$AN$10,HLOOKUP("kdk sm",rku_08.ags,2,FALSE),IF($D$1=$AN$11,HLOOKUP("kdk sm",rku_09.sep,2,FALSE),IF($D$1=$AN$12,HLOOKUP("kdk sm",rku_10.okt,2,FALSE),IF($D$1=$AN$13,HLOOKUP("kdk sm",rku_11.nov,2,FALSE),IF($D$1=$AN$14,HLOOKUP("kdk sm",rku_12.des,2,FALSE),IF($D$1=$AN$15,HLOOKUP("kdk sm",rku_TW_I,2,FALSE),IF($D$1=$AN$16,HLOOKUP("kdk sm",rku_TW_II,2,FALSE),IF($D$1=$AN$17,HLOOKUP("kdk sm",rku_TW_III,2,FALSE),IF($D$1=$AN$18,HLOOKUP("kdk sm",rku_TW_IV,2,FALSE),IF($D$1=$AN$19,HLOOKUP("kdk sm",rku_SM_I,2,FALSE),IF($D$1=$AN$20,HLOOKUP("kdk sm",rku_SM_II,2,FALSE),IF($D$1=$AN$21,HLOOKUP("kdk sm",rku_2013,2,FALSE),IF($D$1=$AN$22,HLOOKUP("kdk sm",rku_jan_apr,2,FALSE),IF($D$1=$AN$23,HLOOKUP("kdk sm",rku_jan_mei,2,FALSE),IF($D$1=$AN$24,HLOOKUP("kdk sm",rku_jan_jul,2,FALSE),IF($D$1=$AN$25,HLOOKUP("kdk sm",rku_jan_ags,2,FALSE),IF($D$1=$AN$26,HLOOKUP("kdk sm",rku_jan_sep,2,FALSE),IF($D$1=$AN$27,HLOOKUP("kdk sm",rku_jan_okt,2,FALSE),IF($D$1=$AN$28,HLOOKUP("kdk sm",rku_jan_nov,2,FALSE),0)))))))))))))))))))))))))))</f>
        <v>2434000</v>
      </c>
      <c r="F45" s="84">
        <f>IF($D$1&lt;&gt;"",IF($D$1=$AN$3,HLOOKUP("kdk sm",rku_01.jan,3,FALSE),IF($D$1=$AN$4,HLOOKUP("kdk sm",rku_02.feb,3,FALSE),IF($D$1=$AN$5,HLOOKUP("kdk sm",rku_03.mar,3,FALSE),IF($D$1=$AN$6,HLOOKUP("kdk sm",rku_04.apr,3,FALSE),IF($D$1=$AN$7,HLOOKUP("kdk sm",rku_05.mei,3,FALSE),IF($D$1=$AN$8,HLOOKUP("kdk sm",rku_06.jun,3,FALSE),IF($D$1=$AN$9,HLOOKUP("kdk sm",rku_07.jul,3,FALSE),IF($D$1=$AN$10,HLOOKUP("kdk sm",rku_08.ags,3,FALSE),IF($D$1=$AN$11,HLOOKUP("kdk sm",rku_09.sep,3,FALSE),IF($D$1=$AN$12,HLOOKUP("kdk sm",rku_10.okt,3,FALSE),IF($D$1=$AN$13,HLOOKUP("kdk sm",rku_11.nov,3,FALSE),IF($D$1=$AN$14,HLOOKUP("kdk sm",rku_12.des,3,FALSE),IF($D$1=$AN$15,HLOOKUP("kdk sm",rku_TW_I,3,FALSE),IF($D$1=$AN$16,HLOOKUP("kdk sm",rku_TW_II,3,FALSE),IF($D$1=$AN$17,HLOOKUP("kdk sm",rku_TW_III,3,FALSE),IF($D$1=$AN$18,HLOOKUP("kdk sm",rku_TW_IV,3,FALSE),IF($D$1=$AN$19,HLOOKUP("kdk sm",rku_SM_I,3,FALSE),IF($D$1=$AN$20,HLOOKUP("kdk sm",rku_SM_II,3,FALSE),IF($D$1=$AN$21,HLOOKUP("kdk sm",rku_2013,3,FALSE),IF($D$1=$AN$22,HLOOKUP("kdk sm",rku_jan_apr,3,FALSE),IF($D$1=$AN$23,HLOOKUP("kdk sm",rku_jan_mei,3,FALSE),IF($D$1=$AN$24,HLOOKUP("kdk sm",rku_jan_jul,3,FALSE),IF($D$1=$AN$25,HLOOKUP("kdk sm",rku_jan_ags,3,FALSE),IF($D$1=$AN$26,HLOOKUP("kdk sm",rku_jan_sep,3,FALSE),IF($D$1=$AN$27,HLOOKUP("kdk sm",rku_jan_okt,3,FALSE),IF($D$1=$AN$28,HLOOKUP("kdk sm",rku_jan_nov,3,FALSE),0)))))))))))))))))))))))))))</f>
        <v>-3362000</v>
      </c>
      <c r="G45" s="84">
        <f>IF($D$1&lt;&gt;"",IF($D$1=$AN$3,HLOOKUP("kdk sm",rku_01.jan,4,FALSE),IF($D$1=$AN$4,HLOOKUP("kdk sm",rku_02.feb,4,FALSE),IF($D$1=$AN$5,HLOOKUP("kdk sm",rku_03.mar,4,FALSE),IF($D$1=$AN$6,HLOOKUP("kdk sm",rku_04.apr,4,FALSE),IF($D$1=$AN$7,HLOOKUP("kdk sm",rku_05.mei,4,FALSE),IF($D$1=$AN$8,HLOOKUP("kdk sm",rku_06.jun,4,FALSE),IF($D$1=$AN$9,HLOOKUP("kdk sm",rku_07.jul,4,FALSE),IF($D$1=$AN$10,HLOOKUP("kdk sm",rku_08.ags,4,FALSE),IF($D$1=$AN$11,HLOOKUP("kdk sm",rku_09.sep,4,FALSE),IF($D$1=$AN$12,HLOOKUP("kdk sm",rku_10.okt,4,FALSE),IF($D$1=$AN$13,HLOOKUP("kdk sm",rku_11.nov,4,FALSE),IF($D$1=$AN$14,HLOOKUP("kdk sm",rku_12.des,4,FALSE),IF($D$1=$AN$15,HLOOKUP("kdk sm",rku_TW_I,4,FALSE),IF($D$1=$AN$16,HLOOKUP("kdk sm",rku_TW_II,4,FALSE),IF($D$1=$AN$17,HLOOKUP("kdk sm",rku_TW_III,4,FALSE),IF($D$1=$AN$18,HLOOKUP("kdk sm",rku_TW_IV,4,FALSE),IF($D$1=$AN$19,HLOOKUP("kdk sm",rku_SM_I,4,FALSE),IF($D$1=$AN$20,HLOOKUP("kdk sm",rku_SM_II,4,FALSE),IF($D$1=$AN$21,HLOOKUP("kdk sm",rku_2013,4,FALSE),IF($D$1=$AN$22,HLOOKUP("kdk sm",rku_jan_apr,4,FALSE),IF($D$1=$AN$23,HLOOKUP("kdk sm",rku_jan_mei,4,FALSE),IF($D$1=$AN$24,HLOOKUP("kdk sm",rku_jan_jul,4,FALSE),IF($D$1=$AN$25,HLOOKUP("kdk sm",rku_jan_ags,4,FALSE),IF($D$1=$AN$26,HLOOKUP("kdk sm",rku_jan_sep,4,FALSE),IF($D$1=$AN$27,HLOOKUP("kdk sm",rku_jan_okt,4,FALSE),IF($D$1=$AN$28,HLOOKUP("kdk sm",rku_jan_nov,4,FALSE),0)))))))))))))))))))))))))))</f>
        <v>70000</v>
      </c>
      <c r="H45" s="84">
        <f>IF($D$1&lt;&gt;"",IF($D$1=$AN$3,HLOOKUP("kdk sm",rku_01.jan,5,FALSE),IF($D$1=$AN$4,HLOOKUP("kdk sm",rku_02.feb,5,FALSE),IF($D$1=$AN$5,HLOOKUP("kdk sm",rku_03.mar,5,FALSE),IF($D$1=$AN$6,HLOOKUP("kdk sm",rku_04.apr,5,FALSE),IF($D$1=$AN$7,HLOOKUP("kdk sm",rku_05.mei,5,FALSE),IF($D$1=$AN$8,HLOOKUP("kdk sm",rku_06.jun,5,FALSE),IF($D$1=$AN$9,HLOOKUP("kdk sm",rku_07.jul,5,FALSE),IF($D$1=$AN$10,HLOOKUP("kdk sm",rku_08.ags,5,FALSE),IF($D$1=$AN$11,HLOOKUP("kdk sm",rku_09.sep,5,FALSE),IF($D$1=$AN$12,HLOOKUP("kdk sm",rku_10.okt,5,FALSE),IF($D$1=$AN$13,HLOOKUP("kdk sm",rku_11.nov,5,FALSE),IF($D$1=$AN$14,HLOOKUP("kdk sm",rku_12.des,5,FALSE),IF($D$1=$AN$15,HLOOKUP("kdk sm",rku_TW_I,5,FALSE),IF($D$1=$AN$16,HLOOKUP("kdk sm",rku_TW_II,5,FALSE),IF($D$1=$AN$17,HLOOKUP("kdk sm",rku_TW_III,5,FALSE),IF($D$1=$AN$18,HLOOKUP("kdk sm",rku_TW_IV,5,FALSE),IF($D$1=$AN$19,HLOOKUP("kdk sm",rku_SM_I,5,FALSE),IF($D$1=$AN$20,HLOOKUP("kdk sm",rku_SM_II,5,FALSE),IF($D$1=$AN$21,HLOOKUP("kdk sm",rku_2013,5,FALSE),IF($D$1=$AN$22,HLOOKUP("kdk sm",rku_jan_apr,5,FALSE),IF($D$1=$AN$23,HLOOKUP("kdk sm",rku_jan_mei,5,FALSE),IF($D$1=$AN$24,HLOOKUP("kdk sm",rku_jan_jul,5,FALSE),IF($D$1=$AN$25,HLOOKUP("kdk sm",rku_jan_ags,5,FALSE),IF($D$1=$AN$26,HLOOKUP("kdk sm",rku_jan_sep,5,FALSE),IF($D$1=$AN$27,HLOOKUP("kdk sm",rku_jan_okt,5,FALSE),IF($D$1=$AN$28,HLOOKUP("kdk sm",rku_jan_nov,5,FALSE),0)))))))))))))))))))))))))))</f>
        <v>59200</v>
      </c>
      <c r="I45" s="84">
        <f>IF($D$1&lt;&gt;"",IF($D$1=$AN$3,HLOOKUP("kdk sm",rku_01.jan,6,FALSE),IF($D$1=$AN$4,HLOOKUP("kdk sm",rku_02.feb,6,FALSE),IF($D$1=$AN$5,HLOOKUP("kdk sm",rku_03.mar,6,FALSE),IF($D$1=$AN$6,HLOOKUP("kdk sm",rku_04.apr,6,FALSE),IF($D$1=$AN$7,HLOOKUP("kdk sm",rku_05.mei,6,FALSE),IF($D$1=$AN$8,HLOOKUP("kdk sm",rku_06.jun,6,FALSE),IF($D$1=$AN$9,HLOOKUP("kdk sm",rku_07.jul,6,FALSE),IF($D$1=$AN$10,HLOOKUP("kdk sm",rku_08.ags,6,FALSE),IF($D$1=$AN$11,HLOOKUP("kdk sm",rku_09.sep,6,FALSE),IF($D$1=$AN$12,HLOOKUP("kdk sm",rku_10.okt,6,FALSE),IF($D$1=$AN$13,HLOOKUP("kdk sm",rku_11.nov,6,FALSE),IF($D$1=$AN$14,HLOOKUP("kdk sm",rku_12.des,6,FALSE),IF($D$1=$AN$15,HLOOKUP("kdk sm",rku_TW_I,6,FALSE),IF($D$1=$AN$16,HLOOKUP("kdk sm",rku_TW_II,6,FALSE),IF($D$1=$AN$17,HLOOKUP("kdk sm",rku_TW_III,6,FALSE),IF($D$1=$AN$18,HLOOKUP("kdk sm",rku_TW_IV,6,FALSE),IF($D$1=$AN$19,HLOOKUP("kdk sm",rku_SM_I,6,FALSE),IF($D$1=$AN$20,HLOOKUP("kdk sm",rku_SM_II,6,FALSE),IF($D$1=$AN$21,HLOOKUP("kdk sm",rku_2013,6,FALSE),IF($D$1=$AN$22,HLOOKUP("kdk sm",rku_jan_apr,6,FALSE),IF($D$1=$AN$23,HLOOKUP("kdk sm",rku_jan_mei,6,FALSE),IF($D$1=$AN$24,HLOOKUP("kdk sm",rku_jan_jul,6,FALSE),IF($D$1=$AN$25,HLOOKUP("kdk sm",rku_jan_ags,6,FALSE),IF($D$1=$AN$26,HLOOKUP("kdk sm",rku_jan_sep,6,FALSE),IF($D$1=$AN$27,HLOOKUP("kdk sm",rku_jan_okt,6,FALSE),IF($D$1=$AN$28,HLOOKUP("kdk sm",rku_jan_nov,6,FALSE),0)))))))))))))))))))))))))))</f>
        <v>208400</v>
      </c>
      <c r="J45" s="84">
        <f>IF($D$1&lt;&gt;"",IF($D$1=$AN$3,HLOOKUP("kdk sm",rku_01.jan,7,FALSE),IF($D$1=$AN$4,HLOOKUP("kdk sm",rku_02.feb,7,FALSE),IF($D$1=$AN$5,HLOOKUP("kdk sm",rku_03.mar,7,FALSE),IF($D$1=$AN$6,HLOOKUP("kdk sm",rku_04.apr,7,FALSE),IF($D$1=$AN$7,HLOOKUP("kdk sm",rku_05.mei,7,FALSE),IF($D$1=$AN$8,HLOOKUP("kdk sm",rku_06.jun,7,FALSE),IF($D$1=$AN$9,HLOOKUP("kdk sm",rku_07.jul,7,FALSE),IF($D$1=$AN$10,HLOOKUP("kdk sm",rku_08.ags,7,FALSE),IF($D$1=$AN$11,HLOOKUP("kdk sm",rku_09.sep,7,FALSE),IF($D$1=$AN$12,HLOOKUP("kdk sm",rku_10.okt,7,FALSE),IF($D$1=$AN$13,HLOOKUP("kdk sm",rku_11.nov,7,FALSE),IF($D$1=$AN$14,HLOOKUP("kdk sm",rku_12.des,7,FALSE),IF($D$1=$AN$15,HLOOKUP("kdk sm",rku_TW_I,7,FALSE),IF($D$1=$AN$16,HLOOKUP("kdk sm",rku_TW_II,7,FALSE),IF($D$1=$AN$17,HLOOKUP("kdk sm",rku_TW_III,7,FALSE),IF($D$1=$AN$18,HLOOKUP("kdk sm",rku_TW_IV,7,FALSE),IF($D$1=$AN$19,HLOOKUP("kdk sm",rku_SM_I,7,FALSE),IF($D$1=$AN$20,HLOOKUP("kdk sm",rku_SM_II,7,FALSE),IF($D$1=$AN$21,HLOOKUP("kdk sm",rku_2013,7,FALSE),IF($D$1=$AN$22,HLOOKUP("kdk sm",rku_jan_apr,7,FALSE),IF($D$1=$AN$23,HLOOKUP("kdk sm",rku_jan_mei,7,FALSE),IF($D$1=$AN$24,HLOOKUP("kdk sm",rku_jan_jul,7,FALSE),IF($D$1=$AN$25,HLOOKUP("kdk sm",rku_jan_ags,7,FALSE),IF($D$1=$AN$26,HLOOKUP("kdk sm",rku_jan_sep,7,FALSE),IF($D$1=$AN$27,HLOOKUP("kdk sm",rku_jan_okt,7,FALSE),IF($D$1=$AN$28,HLOOKUP("kdk sm",rku_jan_nov,7,FALSE),0)))))))))))))))))))))))))))</f>
        <v>131800</v>
      </c>
      <c r="K45" s="84">
        <f>IF($D$1&lt;&gt;"",IF($D$1=$AN$3,HLOOKUP("kdk sm",rku_01.jan,8,FALSE),IF($D$1=$AN$4,HLOOKUP("kdk sm",rku_02.feb,8,FALSE),IF($D$1=$AN$5,HLOOKUP("kdk sm",rku_03.mar,8,FALSE),IF($D$1=$AN$6,HLOOKUP("kdk sm",rku_04.apr,8,FALSE),IF($D$1=$AN$7,HLOOKUP("kdk sm",rku_05.mei,8,FALSE),IF($D$1=$AN$8,HLOOKUP("kdk sm",rku_06.jun,8,FALSE),IF($D$1=$AN$9,HLOOKUP("kdk sm",rku_07.jul,8,FALSE),IF($D$1=$AN$10,HLOOKUP("kdk sm",rku_08.ags,8,FALSE),IF($D$1=$AN$11,HLOOKUP("kdk sm",rku_09.sep,8,FALSE),IF($D$1=$AN$12,HLOOKUP("kdk sm",rku_10.okt,8,FALSE),IF($D$1=$AN$13,HLOOKUP("kdk sm",rku_11.nov,8,FALSE),IF($D$1=$AN$14,HLOOKUP("kdk sm",rku_12.des,8,FALSE),IF($D$1=$AN$15,HLOOKUP("kdk sm",rku_TW_I,8,FALSE),IF($D$1=$AN$16,HLOOKUP("kdk sm",rku_TW_II,8,FALSE),IF($D$1=$AN$17,HLOOKUP("kdk sm",rku_TW_III,8,FALSE),IF($D$1=$AN$18,HLOOKUP("kdk sm",rku_TW_IV,8,FALSE),IF($D$1=$AN$19,HLOOKUP("kdk sm",rku_SM_I,8,FALSE),IF($D$1=$AN$20,HLOOKUP("kdk sm",rku_SM_II,8,FALSE),IF($D$1=$AN$21,HLOOKUP("kdk sm",rku_2013,8,FALSE),IF($D$1=$AN$22,HLOOKUP("kdk sm",rku_jan_apr,8,FALSE),IF($D$1=$AN$23,HLOOKUP("kdk sm",rku_jan_mei,8,FALSE),IF($D$1=$AN$24,HLOOKUP("kdk sm",rku_jan_jul,8,FALSE),IF($D$1=$AN$25,HLOOKUP("kdk sm",rku_jan_ags,8,FALSE),IF($D$1=$AN$26,HLOOKUP("kdk sm",rku_jan_sep,8,FALSE),IF($D$1=$AN$27,HLOOKUP("kdk sm",rku_jan_okt,8,FALSE),IF($D$1=$AN$28,HLOOKUP("kdk sm",rku_jan_nov,8,FALSE),0)))))))))))))))))))))))))))</f>
        <v>18000</v>
      </c>
      <c r="L45" s="85">
        <f>+SUM(E45:K45)</f>
        <v>-440600</v>
      </c>
      <c r="M45" s="84">
        <f>IF($D$1&lt;&gt;"",IF($D$1=$AN$3,HLOOKUP("kdk sm",rku_01.jan,10,FALSE),IF($D$1=$AN$4,HLOOKUP("kdk sm",rku_02.feb,10,FALSE),IF($D$1=$AN$5,HLOOKUP("kdk sm",rku_03.mar,10,FALSE),IF($D$1=$AN$6,HLOOKUP("kdk sm",rku_04.apr,10,FALSE),IF($D$1=$AN$7,HLOOKUP("kdk sm",rku_05.mei,10,FALSE),IF($D$1=$AN$8,HLOOKUP("kdk sm",rku_06.jun,10,FALSE),IF($D$1=$AN$9,HLOOKUP("kdk sm",rku_07.jul,10,FALSE),IF($D$1=$AN$10,HLOOKUP("kdk sm",rku_08.ags,10,FALSE),IF($D$1=$AN$11,HLOOKUP("kdk sm",rku_09.sep,10,FALSE),IF($D$1=$AN$12,HLOOKUP("kdk sm",rku_10.okt,10,FALSE),IF($D$1=$AN$13,HLOOKUP("kdk sm",rku_11.nov,10,FALSE),IF($D$1=$AN$14,HLOOKUP("kdk sm",rku_12.des,10,FALSE),IF($D$1=$AN$15,HLOOKUP("kdk sm",rku_TW_I,10,FALSE),IF($D$1=$AN$16,HLOOKUP("kdk sm",rku_TW_II,10,FALSE),IF($D$1=$AN$17,HLOOKUP("kdk sm",rku_TW_III,10,FALSE),IF($D$1=$AN$18,HLOOKUP("kdk sm",rku_TW_IV,10,FALSE),IF($D$1=$AN$19,HLOOKUP("kdk sm",rku_SM_I,10,FALSE),IF($D$1=$AN$20,HLOOKUP("kdk sm",rku_SM_II,10,FALSE),IF($D$1=$AN$21,HLOOKUP("kdk sm",rku_2013,10,FALSE),IF($D$1=$AN$22,HLOOKUP("kdk sm",rku_jan_apr,10,FALSE),IF($D$1=$AN$23,HLOOKUP("kdk sm",rku_jan_mei,10,FALSE),IF($D$1=$AN$24,HLOOKUP("kdk sm",rku_jan_jul,10,FALSE),IF($D$1=$AN$25,HLOOKUP("kdk sm",rku_jan_ags,10,FALSE),IF($D$1=$AN$26,HLOOKUP("kdk sm",rku_jan_sep,10,FALSE),IF($D$1=$AN$27,HLOOKUP("kdk sm",rku_jan_okt,10,FALSE),IF($D$1=$AN$28,HLOOKUP("kdk sm",rku_jan_nov,10,FALSE),0)))))))))))))))))))))))))))</f>
        <v>-7465</v>
      </c>
      <c r="N45" s="84">
        <f>IF($D$1&lt;&gt;"",IF($D$1=$AN$3,HLOOKUP("kdk sm",rku_01.jan,11,FALSE),IF($D$1=$AN$4,HLOOKUP("kdk sm",rku_02.feb,11,FALSE),IF($D$1=$AN$5,HLOOKUP("kdk sm",rku_03.mar,11,FALSE),IF($D$1=$AN$6,HLOOKUP("kdk sm",rku_04.apr,11,FALSE),IF($D$1=$AN$7,HLOOKUP("kdk sm",rku_05.mei,11,FALSE),IF($D$1=$AN$8,HLOOKUP("kdk sm",rku_06.jun,11,FALSE),IF($D$1=$AN$9,HLOOKUP("kdk sm",rku_07.jul,11,FALSE),IF($D$1=$AN$10,HLOOKUP("kdk sm",rku_08.ags,11,FALSE),IF($D$1=$AN$11,HLOOKUP("kdk sm",rku_09.sep,11,FALSE),IF($D$1=$AN$12,HLOOKUP("kdk sm",rku_10.okt,11,FALSE),IF($D$1=$AN$13,HLOOKUP("kdk sm",rku_11.nov,11,FALSE),IF($D$1=$AN$14,HLOOKUP("kdk sm",rku_12.des,11,FALSE),IF($D$1=$AN$15,HLOOKUP("kdk sm",rku_TW_I,11,FALSE),IF($D$1=$AN$16,HLOOKUP("kdk sm",rku_TW_II,11,FALSE),IF($D$1=$AN$17,HLOOKUP("kdk sm",rku_TW_III,11,FALSE),IF($D$1=$AN$18,HLOOKUP("kdk sm",rku_TW_IV,11,FALSE),IF($D$1=$AN$19,HLOOKUP("kdk sm",rku_SM_I,11,FALSE),IF($D$1=$AN$20,HLOOKUP("kdk sm",rku_SM_II,11,FALSE),IF($D$1=$AN$21,HLOOKUP("kdk sm",rku_2013,11,FALSE),IF($D$1=$AN$22,HLOOKUP("kdk sm",rku_jan_apr,11,FALSE),IF($D$1=$AN$23,HLOOKUP("kdk sm",rku_jan_mei,11,FALSE),IF($D$1=$AN$24,HLOOKUP("kdk sm",rku_jan_jul,11,FALSE),IF($D$1=$AN$25,HLOOKUP("kdk sm",rku_jan_ags,11,FALSE),IF($D$1=$AN$26,HLOOKUP("kdk sm",rku_jan_sep,11,FALSE),IF($D$1=$AN$27,HLOOKUP("kdk sm",rku_jan_okt,11,FALSE),IF($D$1=$AN$28,HLOOKUP("kdk sm",rku_jan_nov,11,FALSE),0)))))))))))))))))))))))))))</f>
        <v>6032.5</v>
      </c>
      <c r="O45" s="84">
        <f>IF($D$1&lt;&gt;"",IF($D$1=$AN$3,HLOOKUP("kdk sm",rku_01.jan,12,FALSE),IF($D$1=$AN$4,HLOOKUP("kdk sm",rku_02.feb,12,FALSE),IF($D$1=$AN$5,HLOOKUP("kdk sm",rku_03.mar,12,FALSE),IF($D$1=$AN$6,HLOOKUP("kdk sm",rku_04.apr,12,FALSE),IF($D$1=$AN$7,HLOOKUP("kdk sm",rku_05.mei,12,FALSE),IF($D$1=$AN$8,HLOOKUP("kdk sm",rku_06.jun,12,FALSE),IF($D$1=$AN$9,HLOOKUP("kdk sm",rku_07.jul,12,FALSE),IF($D$1=$AN$10,HLOOKUP("kdk sm",rku_08.ags,12,FALSE),IF($D$1=$AN$11,HLOOKUP("kdk sm",rku_09.sep,12,FALSE),IF($D$1=$AN$12,HLOOKUP("kdk sm",rku_10.okt,12,FALSE),IF($D$1=$AN$13,HLOOKUP("kdk sm",rku_11.nov,12,FALSE),IF($D$1=$AN$14,HLOOKUP("kdk sm",rku_12.des,12,FALSE),IF($D$1=$AN$15,HLOOKUP("kdk sm",rku_TW_I,12,FALSE),IF($D$1=$AN$16,HLOOKUP("kdk sm",rku_TW_II,12,FALSE),IF($D$1=$AN$17,HLOOKUP("kdk sm",rku_TW_III,12,FALSE),IF($D$1=$AN$18,HLOOKUP("kdk sm",rku_TW_IV,12,FALSE),IF($D$1=$AN$19,HLOOKUP("kdk sm",rku_SM_I,12,FALSE),IF($D$1=$AN$20,HLOOKUP("kdk sm",rku_SM_II,12,FALSE),IF($D$1=$AN$21,HLOOKUP("kdk sm",rku_2013,12,FALSE),IF($D$1=$AN$22,HLOOKUP("kdk sm",rku_jan_apr,12,FALSE),IF($D$1=$AN$23,HLOOKUP("kdk sm",rku_jan_mei,12,FALSE),IF($D$1=$AN$24,HLOOKUP("kdk sm",rku_jan_jul,12,FALSE),IF($D$1=$AN$25,HLOOKUP("kdk sm",rku_jan_ags,12,FALSE),IF($D$1=$AN$26,HLOOKUP("kdk sm",rku_jan_sep,12,FALSE),IF($D$1=$AN$27,HLOOKUP("kdk sm",rku_jan_okt,12,FALSE),IF($D$1=$AN$28,HLOOKUP("kdk sm",rku_jan_nov,12,FALSE),0)))))))))))))))))))))))))))</f>
        <v>4930</v>
      </c>
      <c r="P45" s="84">
        <f>IF($D$1&lt;&gt;"",IF($D$1=$AN$3,HLOOKUP("kdk sm",rku_01.jan,13,FALSE),IF($D$1=$AN$4,HLOOKUP("kdk sm",rku_02.feb,13,FALSE),IF($D$1=$AN$5,HLOOKUP("kdk sm",rku_03.mar,13,FALSE),IF($D$1=$AN$6,HLOOKUP("kdk sm",rku_04.apr,13,FALSE),IF($D$1=$AN$7,HLOOKUP("kdk sm",rku_05.mei,13,FALSE),IF($D$1=$AN$8,HLOOKUP("kdk sm",rku_06.jun,13,FALSE),IF($D$1=$AN$9,HLOOKUP("kdk sm",rku_07.jul,13,FALSE),IF($D$1=$AN$10,HLOOKUP("kdk sm",rku_08.ags,13,FALSE),IF($D$1=$AN$11,HLOOKUP("kdk sm",rku_09.sep,13,FALSE),IF($D$1=$AN$12,HLOOKUP("kdk sm",rku_10.okt,13,FALSE),IF($D$1=$AN$13,HLOOKUP("kdk sm",rku_11.nov,13,FALSE),IF($D$1=$AN$14,HLOOKUP("kdk sm",rku_12.des,13,FALSE),IF($D$1=$AN$15,HLOOKUP("kdk sm",rku_TW_I,13,FALSE),IF($D$1=$AN$16,HLOOKUP("kdk sm",rku_TW_II,13,FALSE),IF($D$1=$AN$17,HLOOKUP("kdk sm",rku_TW_III,13,FALSE),IF($D$1=$AN$18,HLOOKUP("kdk sm",rku_TW_IV,13,FALSE),IF($D$1=$AN$19,HLOOKUP("kdk sm",rku_SM_I,13,FALSE),IF($D$1=$AN$20,HLOOKUP("kdk sm",rku_SM_II,13,FALSE),IF($D$1=$AN$21,HLOOKUP("kdk sm",rku_2013,13,FALSE),IF($D$1=$AN$22,HLOOKUP("kdk sm",rku_jan_apr,13,FALSE),IF($D$1=$AN$23,HLOOKUP("kdk sm",rku_jan_mei,13,FALSE),IF($D$1=$AN$24,HLOOKUP("kdk sm",rku_jan_jul,13,FALSE),IF($D$1=$AN$25,HLOOKUP("kdk sm",rku_jan_ags,13,FALSE),IF($D$1=$AN$26,HLOOKUP("kdk sm",rku_jan_sep,13,FALSE),IF($D$1=$AN$27,HLOOKUP("kdk sm",rku_jan_okt,13,FALSE),IF($D$1=$AN$28,HLOOKUP("kdk sm",rku_jan_nov,13,FALSE),0)))))))))))))))))))))))))))</f>
        <v>1535</v>
      </c>
      <c r="Q45" s="84">
        <f>IF($D$1&lt;&gt;"",IF($D$1=$AN$3,HLOOKUP("kdk sm",rku_01.jan,14,FALSE),IF($D$1=$AN$4,HLOOKUP("kdk sm",rku_02.feb,14,FALSE),IF($D$1=$AN$5,HLOOKUP("kdk sm",rku_03.mar,14,FALSE),IF($D$1=$AN$6,HLOOKUP("kdk sm",rku_04.apr,14,FALSE),IF($D$1=$AN$7,HLOOKUP("kdk sm",rku_05.mei,14,FALSE),IF($D$1=$AN$8,HLOOKUP("kdk sm",rku_06.jun,14,FALSE),IF($D$1=$AN$9,HLOOKUP("kdk sm",rku_07.jul,14,FALSE),IF($D$1=$AN$10,HLOOKUP("kdk sm",rku_08.ags,14,FALSE),IF($D$1=$AN$11,HLOOKUP("kdk sm",rku_09.sep,14,FALSE),IF($D$1=$AN$12,HLOOKUP("kdk sm",rku_10.okt,14,FALSE),IF($D$1=$AN$13,HLOOKUP("kdk sm",rku_11.nov,14,FALSE),IF($D$1=$AN$14,HLOOKUP("kdk sm",rku_12.des,14,FALSE),IF($D$1=$AN$15,HLOOKUP("kdk sm",rku_TW_I,14,FALSE),IF($D$1=$AN$16,HLOOKUP("kdk sm",rku_TW_II,14,FALSE),IF($D$1=$AN$17,HLOOKUP("kdk sm",rku_TW_III,14,FALSE),IF($D$1=$AN$18,HLOOKUP("kdk sm",rku_TW_IV,14,FALSE),IF($D$1=$AN$19,HLOOKUP("kdk sm",rku_SM_I,14,FALSE),IF($D$1=$AN$20,HLOOKUP("kdk sm",rku_SM_II,14,FALSE),IF($D$1=$AN$21,HLOOKUP("kdk sm",rku_2013,14,FALSE),IF($D$1=$AN$22,HLOOKUP("kdk sm",rku_jan_apr,14,FALSE),IF($D$1=$AN$23,HLOOKUP("kdk sm",rku_jan_mei,14,FALSE),IF($D$1=$AN$24,HLOOKUP("kdk sm",rku_jan_jul,14,FALSE),IF($D$1=$AN$25,HLOOKUP("kdk sm",rku_jan_ags,14,FALSE),IF($D$1=$AN$26,HLOOKUP("kdk sm",rku_jan_sep,14,FALSE),IF($D$1=$AN$27,HLOOKUP("kdk sm",rku_jan_okt,14,FALSE),IF($D$1=$AN$28,HLOOKUP("kdk sm",rku_jan_nov,14,FALSE),0)))))))))))))))))))))))))))</f>
        <v>0</v>
      </c>
      <c r="R45" s="85">
        <f>+SUM(M45:Q45)</f>
        <v>5032.5</v>
      </c>
      <c r="S45" s="84">
        <f>+R45+L45</f>
        <v>-435567.5</v>
      </c>
      <c r="U45" s="81">
        <v>8</v>
      </c>
      <c r="V45" s="83" t="s">
        <v>208</v>
      </c>
      <c r="W45" s="83" t="s">
        <v>180</v>
      </c>
      <c r="X45" s="84">
        <f t="shared" ref="X45:AD46" si="55">E45/X$100</f>
        <v>1217</v>
      </c>
      <c r="Y45" s="84">
        <f t="shared" si="55"/>
        <v>-3362</v>
      </c>
      <c r="Z45" s="84">
        <f t="shared" si="55"/>
        <v>175</v>
      </c>
      <c r="AA45" s="84">
        <f t="shared" si="55"/>
        <v>296</v>
      </c>
      <c r="AB45" s="84">
        <f t="shared" si="55"/>
        <v>2084</v>
      </c>
      <c r="AC45" s="84">
        <f t="shared" si="55"/>
        <v>3295</v>
      </c>
      <c r="AD45" s="84">
        <f t="shared" si="55"/>
        <v>900</v>
      </c>
      <c r="AE45" s="85">
        <f>+SUM(X45:AD45)</f>
        <v>4605</v>
      </c>
      <c r="AF45" s="84">
        <f t="shared" ref="AF45:AJ46" si="56">M45/AF$100</f>
        <v>-1493</v>
      </c>
      <c r="AG45" s="84">
        <f t="shared" si="56"/>
        <v>2413</v>
      </c>
      <c r="AH45" s="84">
        <f t="shared" si="56"/>
        <v>2465</v>
      </c>
      <c r="AI45" s="84">
        <f t="shared" si="56"/>
        <v>1535</v>
      </c>
      <c r="AJ45" s="84">
        <f t="shared" si="56"/>
        <v>0</v>
      </c>
      <c r="AK45" s="85">
        <f>+SUM(AF45:AJ45)</f>
        <v>4920</v>
      </c>
      <c r="AL45" s="84">
        <f>+AK45+AE45</f>
        <v>9525</v>
      </c>
    </row>
    <row r="46" spans="2:39" ht="14.25" x14ac:dyDescent="0.2">
      <c r="B46" s="86"/>
      <c r="C46" s="87"/>
      <c r="D46" s="87" t="s">
        <v>182</v>
      </c>
      <c r="E46" s="88">
        <f>IF($D$1&lt;&gt;"",IF($D$1=$AN$3,HLOOKUP("kdk sm",real_rku_01.jan,2,FALSE),IF($D$1=$AN$4,HLOOKUP("kdk sm",real_rku_02.feb,2,FALSE),IF($D$1=$AN$5,HLOOKUP("kdk sm",real_rku_03.mar,2,FALSE),IF($D$1=$AN$6,HLOOKUP("kdk sm",real_rku_04.apr,2,FALSE),IF($D$1=$AN$7,HLOOKUP("kdk sm",real_rku_05.mei,2,FALSE),IF($D$1=$AN$8,HLOOKUP("kdk sm",real_rku_06.jun,2,FALSE),IF($D$1=$AN$9,HLOOKUP("kdk sm",real_rku_07.jul,2,FALSE),IF($D$1=$AN$10,HLOOKUP("kdk sm",real_rku_08.ags,2,FALSE),IF($D$1=$AN$11,HLOOKUP("kdk sm",real_rku_09.sep,2,FALSE),IF($D$1=$AN$12,HLOOKUP("kdk sm",real_rku_10.okt,2,FALSE),IF($D$1=$AN$13,HLOOKUP("kdk sm",real_rku_11.nov,2,FALSE),IF($D$1=$AN$14,HLOOKUP("kdk sm",real_rku_12.des,2,FALSE),IF($D$1=$AN$15,HLOOKUP("kdk sm",real_rku_TW_I,2,FALSE),IF($D$1=$AN$16,HLOOKUP("kdk sm",real_rku_TW_II,2,FALSE),IF($D$1=$AN$17,HLOOKUP("kdk sm",real_rku_TW_III,2,FALSE),IF($D$1=$AN$18,HLOOKUP("kdk sm",real_rku_TW_IV,2,FALSE),IF($D$1=$AN$19,HLOOKUP("kdk sm",real_rku_SM_I,2,FALSE),IF($D$1=$AN$20,HLOOKUP("kdk sm",real_rku_SM_II,2,FALSE),IF($D$1=$AN$21,HLOOKUP("kdk sm",real_rku_2013,2,FALSE),IF($D$1=$AN$22,HLOOKUP("kdk sm",real_rku_jan_apr,2,FALSE),IF($D$1=$AN$23,HLOOKUP("kdk sm",real_rku_jan_mei,2,FALSE),IF($D$1=$AN$24,HLOOKUP("kdk sm",real_rku_jan_jul,2,FALSE),IF($D$1=$AN$25,HLOOKUP("kdk sm",real_rku_jan_ags,2,FALSE),IF($D$1=$AN$26,HLOOKUP("kdk sm",real_rku_jan_sep,2,FALSE),IF($D$1=$AN$27,HLOOKUP("kdk sm",real_rku_jan_okt,2,FALSE),IF($D$1=$AN$28,HLOOKUP("kdk sm",real_rku_jan_nov,2,FALSE),0)))))))))))))))))))))))))))</f>
        <v>4386000</v>
      </c>
      <c r="F46" s="88">
        <f>IF($D$1&lt;&gt;"",IF($D$1=$AN$3,HLOOKUP("kdk sm",real_rku_01.jan,3,FALSE),IF($D$1=$AN$4,HLOOKUP("kdk sm",real_rku_02.feb,3,FALSE),IF($D$1=$AN$5,HLOOKUP("kdk sm",real_rku_03.mar,3,FALSE),IF($D$1=$AN$6,HLOOKUP("kdk sm",real_rku_04.apr,3,FALSE),IF($D$1=$AN$7,HLOOKUP("kdk sm",real_rku_05.mei,3,FALSE),IF($D$1=$AN$8,HLOOKUP("kdk sm",real_rku_06.jun,3,FALSE),IF($D$1=$AN$9,HLOOKUP("kdk sm",real_rku_07.jul,3,FALSE),IF($D$1=$AN$10,HLOOKUP("kdk sm",real_rku_08.ags,3,FALSE),IF($D$1=$AN$11,HLOOKUP("kdk sm",real_rku_09.sep,3,FALSE),IF($D$1=$AN$12,HLOOKUP("kdk sm",real_rku_10.okt,3,FALSE),IF($D$1=$AN$13,HLOOKUP("kdk sm",real_rku_11.nov,3,FALSE),IF($D$1=$AN$14,HLOOKUP("kdk sm",real_rku_12.des,3,FALSE),IF($D$1=$AN$15,HLOOKUP("kdk sm",real_rku_TW_I,3,FALSE),IF($D$1=$AN$16,HLOOKUP("kdk sm",real_rku_TW_II,3,FALSE),IF($D$1=$AN$17,HLOOKUP("kdk sm",real_rku_TW_III,3,FALSE),IF($D$1=$AN$18,HLOOKUP("kdk sm",real_rku_TW_IV,3,FALSE),IF($D$1=$AN$19,HLOOKUP("kdk sm",real_rku_SM_I,3,FALSE),IF($D$1=$AN$20,HLOOKUP("kdk sm",real_rku_SM_II,3,FALSE),IF($D$1=$AN$21,HLOOKUP("kdk sm",real_rku_2013,3,FALSE),IF($D$1=$AN$22,HLOOKUP("kdk sm",real_rku_jan_apr,3,FALSE),IF($D$1=$AN$23,HLOOKUP("kdk sm",real_rku_jan_mei,3,FALSE),IF($D$1=$AN$24,HLOOKUP("kdk sm",real_rku_jan_jul,3,FALSE),IF($D$1=$AN$25,HLOOKUP("kdk sm",real_rku_jan_ags,3,FALSE),IF($D$1=$AN$26,HLOOKUP("kdk sm",real_rku_jan_sep,3,FALSE),IF($D$1=$AN$27,HLOOKUP("kdk sm",real_rku_jan_okt,3,FALSE),IF($D$1=$AN$28,HLOOKUP("kdk sm",real_rku_jan_nov,3,FALSE),0)))))))))))))))))))))))))))</f>
        <v>640000</v>
      </c>
      <c r="G46" s="88">
        <f>IF($D$1&lt;&gt;"",IF($D$1=$AN$3,HLOOKUP("kdk sm",real_rku_01.jan,4,FALSE),IF($D$1=$AN$4,HLOOKUP("kdk sm",real_rku_02.feb,4,FALSE),IF($D$1=$AN$5,HLOOKUP("kdk sm",real_rku_03.mar,4,FALSE),IF($D$1=$AN$6,HLOOKUP("kdk sm",real_rku_04.apr,4,FALSE),IF($D$1=$AN$7,HLOOKUP("kdk sm",real_rku_05.mei,4,FALSE),IF($D$1=$AN$8,HLOOKUP("kdk sm",real_rku_06.jun,4,FALSE),IF($D$1=$AN$9,HLOOKUP("kdk sm",real_rku_07.jul,4,FALSE),IF($D$1=$AN$10,HLOOKUP("kdk sm",real_rku_08.ags,4,FALSE),IF($D$1=$AN$11,HLOOKUP("kdk sm",real_rku_09.sep,4,FALSE),IF($D$1=$AN$12,HLOOKUP("kdk sm",real_rku_10.okt,4,FALSE),IF($D$1=$AN$13,HLOOKUP("kdk sm",real_rku_11.nov,4,FALSE),IF($D$1=$AN$14,HLOOKUP("kdk sm",real_rku_12.des,4,FALSE),IF($D$1=$AN$15,HLOOKUP("kdk sm",real_rku_TW_I,4,FALSE),IF($D$1=$AN$16,HLOOKUP("kdk sm",real_rku_TW_II,4,FALSE),IF($D$1=$AN$17,HLOOKUP("kdk sm",real_rku_TW_III,4,FALSE),IF($D$1=$AN$18,HLOOKUP("kdk sm",real_rku_TW_IV,4,FALSE),IF($D$1=$AN$19,HLOOKUP("kdk sm",real_rku_SM_I,4,FALSE),IF($D$1=$AN$20,HLOOKUP("kdk sm",real_rku_SM_II,4,FALSE),IF($D$1=$AN$21,HLOOKUP("kdk sm",real_rku_2013,4,FALSE),IF($D$1=$AN$22,HLOOKUP("kdk sm",real_rku_jan_apr,4,FALSE),IF($D$1=$AN$23,HLOOKUP("kdk sm",real_rku_jan_mei,4,FALSE),IF($D$1=$AN$24,HLOOKUP("kdk sm",real_rku_jan_jul,4,FALSE),IF($D$1=$AN$25,HLOOKUP("kdk sm",real_rku_jan_ags,4,FALSE),IF($D$1=$AN$26,HLOOKUP("kdk sm",real_rku_jan_sep,4,FALSE),IF($D$1=$AN$27,HLOOKUP("kdk sm",real_rku_jan_okt,4,FALSE),IF($D$1=$AN$28,HLOOKUP("kdk sm",real_rku_jan_nov,4,FALSE),0)))))))))))))))))))))))))))</f>
        <v>1360000</v>
      </c>
      <c r="H46" s="88">
        <f>IF($D$1&lt;&gt;"",IF($D$1=$AN$3,HLOOKUP("kdk sm",real_rku_01.jan,5,FALSE),IF($D$1=$AN$4,HLOOKUP("kdk sm",real_rku_02.feb,5,FALSE),IF($D$1=$AN$5,HLOOKUP("kdk sm",real_rku_03.mar,5,FALSE),IF($D$1=$AN$6,HLOOKUP("kdk sm",real_rku_04.apr,5,FALSE),IF($D$1=$AN$7,HLOOKUP("kdk sm",real_rku_05.mei,5,FALSE),IF($D$1=$AN$8,HLOOKUP("kdk sm",real_rku_06.jun,5,FALSE),IF($D$1=$AN$9,HLOOKUP("kdk sm",real_rku_07.jul,5,FALSE),IF($D$1=$AN$10,HLOOKUP("kdk sm",real_rku_08.ags,5,FALSE),IF($D$1=$AN$11,HLOOKUP("kdk sm",real_rku_09.sep,5,FALSE),IF($D$1=$AN$12,HLOOKUP("kdk sm",real_rku_10.okt,5,FALSE),IF($D$1=$AN$13,HLOOKUP("kdk sm",real_rku_11.nov,5,FALSE),IF($D$1=$AN$14,HLOOKUP("kdk sm",real_rku_12.des,5,FALSE),IF($D$1=$AN$15,HLOOKUP("kdk sm",real_rku_TW_I,5,FALSE),IF($D$1=$AN$16,HLOOKUP("kdk sm",real_rku_TW_II,5,FALSE),IF($D$1=$AN$17,HLOOKUP("kdk sm",real_rku_TW_III,5,FALSE),IF($D$1=$AN$18,HLOOKUP("kdk sm",real_rku_TW_IV,5,FALSE),IF($D$1=$AN$19,HLOOKUP("kdk sm",real_rku_SM_I,5,FALSE),IF($D$1=$AN$20,HLOOKUP("kdk sm",real_rku_SM_II,5,FALSE),IF($D$1=$AN$21,HLOOKUP("kdk sm",real_rku_2013,5,FALSE),IF($D$1=$AN$22,HLOOKUP("kdk sm",real_rku_jan_apr,5,FALSE),IF($D$1=$AN$23,HLOOKUP("kdk sm",real_rku_jan_mei,5,FALSE),IF($D$1=$AN$24,HLOOKUP("kdk sm",real_rku_jan_jul,5,FALSE),IF($D$1=$AN$25,HLOOKUP("kdk sm",real_rku_jan_ags,5,FALSE),IF($D$1=$AN$26,HLOOKUP("kdk sm",real_rku_jan_sep,5,FALSE),IF($D$1=$AN$27,HLOOKUP("kdk sm",real_rku_jan_okt,5,FALSE),IF($D$1=$AN$28,HLOOKUP("kdk sm",real_rku_jan_nov,5,FALSE),0)))))))))))))))))))))))))))</f>
        <v>760000</v>
      </c>
      <c r="I46" s="88">
        <f>IF($D$1&lt;&gt;"",IF($D$1=$AN$3,HLOOKUP("kdk sm",real_rku_01.jan,6,FALSE),IF($D$1=$AN$4,HLOOKUP("kdk sm",real_rku_02.feb,6,FALSE),IF($D$1=$AN$5,HLOOKUP("kdk sm",real_rku_03.mar,6,FALSE),IF($D$1=$AN$6,HLOOKUP("kdk sm",real_rku_04.apr,6,FALSE),IF($D$1=$AN$7,HLOOKUP("kdk sm",real_rku_05.mei,6,FALSE),IF($D$1=$AN$8,HLOOKUP("kdk sm",real_rku_06.jun,6,FALSE),IF($D$1=$AN$9,HLOOKUP("kdk sm",real_rku_07.jul,6,FALSE),IF($D$1=$AN$10,HLOOKUP("kdk sm",real_rku_08.ags,6,FALSE),IF($D$1=$AN$11,HLOOKUP("kdk sm",real_rku_09.sep,6,FALSE),IF($D$1=$AN$12,HLOOKUP("kdk sm",real_rku_10.okt,6,FALSE),IF($D$1=$AN$13,HLOOKUP("kdk sm",real_rku_11.nov,6,FALSE),IF($D$1=$AN$14,HLOOKUP("kdk sm",real_rku_12.des,6,FALSE),IF($D$1=$AN$15,HLOOKUP("kdk sm",real_rku_TW_I,6,FALSE),IF($D$1=$AN$16,HLOOKUP("kdk sm",real_rku_TW_II,6,FALSE),IF($D$1=$AN$17,HLOOKUP("kdk sm",real_rku_TW_III,6,FALSE),IF($D$1=$AN$18,HLOOKUP("kdk sm",real_rku_TW_IV,6,FALSE),IF($D$1=$AN$19,HLOOKUP("kdk sm",real_rku_SM_I,6,FALSE),IF($D$1=$AN$20,HLOOKUP("kdk sm",real_rku_SM_II,6,FALSE),IF($D$1=$AN$21,HLOOKUP("kdk sm",real_rku_2013,6,FALSE),IF($D$1=$AN$22,HLOOKUP("kdk sm",real_rku_jan_apr,6,FALSE),IF($D$1=$AN$23,HLOOKUP("kdk sm",real_rku_jan_mei,6,FALSE),IF($D$1=$AN$24,HLOOKUP("kdk sm",real_rku_jan_jul,6,FALSE),IF($D$1=$AN$25,HLOOKUP("kdk sm",real_rku_jan_ags,6,FALSE),IF($D$1=$AN$26,HLOOKUP("kdk sm",real_rku_jan_sep,6,FALSE),IF($D$1=$AN$27,HLOOKUP("kdk sm",real_rku_jan_okt,6,FALSE),IF($D$1=$AN$28,HLOOKUP("kdk sm",real_rku_jan_nov,6,FALSE),0)))))))))))))))))))))))))))</f>
        <v>763700</v>
      </c>
      <c r="J46" s="88">
        <f>IF($D$1&lt;&gt;"",IF($D$1=$AN$3,HLOOKUP("kdk sm",real_rku_01.jan,7,FALSE),IF($D$1=$AN$4,HLOOKUP("kdk sm",real_rku_02.feb,7,FALSE),IF($D$1=$AN$5,HLOOKUP("kdk sm",real_rku_03.mar,7,FALSE),IF($D$1=$AN$6,HLOOKUP("kdk sm",real_rku_04.apr,7,FALSE),IF($D$1=$AN$7,HLOOKUP("kdk sm",real_rku_05.mei,7,FALSE),IF($D$1=$AN$8,HLOOKUP("kdk sm",real_rku_06.jun,7,FALSE),IF($D$1=$AN$9,HLOOKUP("kdk sm",real_rku_07.jul,7,FALSE),IF($D$1=$AN$10,HLOOKUP("kdk sm",real_rku_08.ags,7,FALSE),IF($D$1=$AN$11,HLOOKUP("kdk sm",real_rku_09.sep,7,FALSE),IF($D$1=$AN$12,HLOOKUP("kdk sm",real_rku_10.okt,7,FALSE),IF($D$1=$AN$13,HLOOKUP("kdk sm",real_rku_11.nov,7,FALSE),IF($D$1=$AN$14,HLOOKUP("kdk sm",real_rku_12.des,7,FALSE),IF($D$1=$AN$15,HLOOKUP("kdk sm",real_rku_TW_I,7,FALSE),IF($D$1=$AN$16,HLOOKUP("kdk sm",real_rku_TW_II,7,FALSE),IF($D$1=$AN$17,HLOOKUP("kdk sm",real_rku_TW_III,7,FALSE),IF($D$1=$AN$18,HLOOKUP("kdk sm",real_rku_TW_IV,7,FALSE),IF($D$1=$AN$19,HLOOKUP("kdk sm",real_rku_SM_I,7,FALSE),IF($D$1=$AN$20,HLOOKUP("kdk sm",real_rku_SM_II,7,FALSE),IF($D$1=$AN$21,HLOOKUP("kdk sm",real_rku_2013,7,FALSE),IF($D$1=$AN$22,HLOOKUP("kdk sm",real_rku_jan_apr,7,FALSE),IF($D$1=$AN$23,HLOOKUP("kdk sm",real_rku_jan_mei,7,FALSE),IF($D$1=$AN$24,HLOOKUP("kdk sm",real_rku_jan_jul,7,FALSE),IF($D$1=$AN$25,HLOOKUP("kdk sm",real_rku_jan_ags,7,FALSE),IF($D$1=$AN$26,HLOOKUP("kdk sm",real_rku_jan_sep,7,FALSE),IF($D$1=$AN$27,HLOOKUP("kdk sm",real_rku_jan_okt,7,FALSE),IF($D$1=$AN$28,HLOOKUP("kdk sm",real_rku_jan_nov,7,FALSE),0)))))))))))))))))))))))))))</f>
        <v>296000</v>
      </c>
      <c r="K46" s="88">
        <f>IF($D$1&lt;&gt;"",IF($D$1=$AN$3,HLOOKUP("kdk sm",real_rku_01.jan,8,FALSE),IF($D$1=$AN$4,HLOOKUP("kdk sm",real_rku_02.feb,8,FALSE),IF($D$1=$AN$5,HLOOKUP("kdk sm",real_rku_03.mar,8,FALSE),IF($D$1=$AN$6,HLOOKUP("kdk sm",real_rku_04.apr,8,FALSE),IF($D$1=$AN$7,HLOOKUP("kdk sm",real_rku_05.mei,8,FALSE),IF($D$1=$AN$8,HLOOKUP("kdk sm",real_rku_06.jun,8,FALSE),IF($D$1=$AN$9,HLOOKUP("kdk sm",real_rku_07.jul,8,FALSE),IF($D$1=$AN$10,HLOOKUP("kdk sm",real_rku_08.ags,8,FALSE),IF($D$1=$AN$11,HLOOKUP("kdk sm",real_rku_09.sep,8,FALSE),IF($D$1=$AN$12,HLOOKUP("kdk sm",real_rku_10.okt,8,FALSE),IF($D$1=$AN$13,HLOOKUP("kdk sm",real_rku_11.nov,8,FALSE),IF($D$1=$AN$14,HLOOKUP("kdk sm",real_rku_12.des,8,FALSE),IF($D$1=$AN$15,HLOOKUP("kdk sm",real_rku_TW_I,8,FALSE),IF($D$1=$AN$16,HLOOKUP("kdk sm",real_rku_TW_II,8,FALSE),IF($D$1=$AN$17,HLOOKUP("kdk sm",real_rku_TW_III,8,FALSE),IF($D$1=$AN$18,HLOOKUP("kdk sm",real_rku_TW_IV,8,FALSE),IF($D$1=$AN$19,HLOOKUP("kdk sm",real_rku_SM_I,8,FALSE),IF($D$1=$AN$20,HLOOKUP("kdk sm",real_rku_SM_II,8,FALSE),IF($D$1=$AN$21,HLOOKUP("kdk sm",real_rku_2013,8,FALSE),IF($D$1=$AN$22,HLOOKUP("kdk sm",real_rku_jan_apr,8,FALSE),IF($D$1=$AN$23,HLOOKUP("kdk sm",real_rku_jan_mei,8,FALSE),IF($D$1=$AN$24,HLOOKUP("kdk sm",real_rku_jan_jul,8,FALSE),IF($D$1=$AN$25,HLOOKUP("kdk sm",real_rku_jan_ags,8,FALSE),IF($D$1=$AN$26,HLOOKUP("kdk sm",real_rku_jan_sep,8,FALSE),IF($D$1=$AN$27,HLOOKUP("kdk sm",real_rku_jan_okt,8,FALSE),IF($D$1=$AN$28,HLOOKUP("kdk sm",real_rku_jan_nov,8,FALSE),0)))))))))))))))))))))))))))</f>
        <v>22000</v>
      </c>
      <c r="L46" s="89">
        <f>+SUM(E46:K46)</f>
        <v>8227700</v>
      </c>
      <c r="M46" s="88">
        <f>IF($D$1&lt;&gt;"",IF($D$1=$AN$3,HLOOKUP("kdk sm",real_rku_01.jan,10,FALSE),IF($D$1=$AN$4,HLOOKUP("kdk sm",real_rku_02.feb,10,FALSE),IF($D$1=$AN$5,HLOOKUP("kdk sm",real_rku_03.mar,10,FALSE),IF($D$1=$AN$6,HLOOKUP("kdk sm",real_rku_04.apr,10,FALSE),IF($D$1=$AN$7,HLOOKUP("kdk sm",real_rku_05.mei,10,FALSE),IF($D$1=$AN$8,HLOOKUP("kdk sm",real_rku_06.jun,10,FALSE),IF($D$1=$AN$9,HLOOKUP("kdk sm",real_rku_07.jul,10,FALSE),IF($D$1=$AN$10,HLOOKUP("kdk sm",real_rku_08.ags,10,FALSE),IF($D$1=$AN$11,HLOOKUP("kdk sm",real_rku_09.sep,10,FALSE),IF($D$1=$AN$12,HLOOKUP("kdk sm",real_rku_10.okt,10,FALSE),IF($D$1=$AN$13,HLOOKUP("kdk sm",real_rku_11.nov,10,FALSE),IF($D$1=$AN$14,HLOOKUP("kdk sm",real_rku_12.des,10,FALSE),IF($D$1=$AN$15,HLOOKUP("kdk sm",real_rku_TW_I,10,FALSE),IF($D$1=$AN$16,HLOOKUP("kdk sm",real_rku_TW_II,10,FALSE),IF($D$1=$AN$17,HLOOKUP("kdk sm",real_rku_TW_III,10,FALSE),IF($D$1=$AN$18,HLOOKUP("kdk sm",real_rku_TW_IV,10,FALSE),IF($D$1=$AN$19,HLOOKUP("kdk sm",real_rku_SM_I,10,FALSE),IF($D$1=$AN$20,HLOOKUP("kdk sm",real_rku_SM_II,10,FALSE),IF($D$1=$AN$21,HLOOKUP("kdk sm",real_rku_2013,10,FALSE),IF($D$1=$AN$22,HLOOKUP("kdk sm",real_rku_jan_apr,10,FALSE),IF($D$1=$AN$23,HLOOKUP("kdk sm",real_rku_jan_mei,10,FALSE),IF($D$1=$AN$24,HLOOKUP("kdk sm",real_rku_jan_jul,10,FALSE),IF($D$1=$AN$25,HLOOKUP("kdk sm",real_rku_jan_ags,10,FALSE),IF($D$1=$AN$26,HLOOKUP("kdk sm",real_rku_jan_sep,10,FALSE),IF($D$1=$AN$27,HLOOKUP("kdk sm",real_rku_jan_okt,10,FALSE),IF($D$1=$AN$28,HLOOKUP("kdk sm",real_rku_jan_nov,10,FALSE),0)))))))))))))))))))))))))))</f>
        <v>2900</v>
      </c>
      <c r="N46" s="88">
        <f>IF($D$1&lt;&gt;"",IF($D$1=$AN$3,HLOOKUP("kdk sm",real_rku_01.jan,11,FALSE),IF($D$1=$AN$4,HLOOKUP("kdk sm",real_rku_02.feb,11,FALSE),IF($D$1=$AN$5,HLOOKUP("kdk sm",real_rku_03.mar,11,FALSE),IF($D$1=$AN$6,HLOOKUP("kdk sm",real_rku_04.apr,11,FALSE),IF($D$1=$AN$7,HLOOKUP("kdk sm",real_rku_05.mei,11,FALSE),IF($D$1=$AN$8,HLOOKUP("kdk sm",real_rku_06.jun,11,FALSE),IF($D$1=$AN$9,HLOOKUP("kdk sm",real_rku_07.jul,11,FALSE),IF($D$1=$AN$10,HLOOKUP("kdk sm",real_rku_08.ags,11,FALSE),IF($D$1=$AN$11,HLOOKUP("kdk sm",real_rku_09.sep,11,FALSE),IF($D$1=$AN$12,HLOOKUP("kdk sm",real_rku_10.okt,11,FALSE),IF($D$1=$AN$13,HLOOKUP("kdk sm",real_rku_11.nov,11,FALSE),IF($D$1=$AN$14,HLOOKUP("kdk sm",real_rku_12.des,11,FALSE),IF($D$1=$AN$15,HLOOKUP("kdk sm",real_rku_TW_I,11,FALSE),IF($D$1=$AN$16,HLOOKUP("kdk sm",real_rku_TW_II,11,FALSE),IF($D$1=$AN$17,HLOOKUP("kdk sm",real_rku_TW_III,11,FALSE),IF($D$1=$AN$18,HLOOKUP("kdk sm",real_rku_TW_IV,11,FALSE),IF($D$1=$AN$19,HLOOKUP("kdk sm",real_rku_SM_I,11,FALSE),IF($D$1=$AN$20,HLOOKUP("kdk sm",real_rku_SM_II,11,FALSE),IF($D$1=$AN$21,HLOOKUP("kdk sm",real_rku_2013,11,FALSE),IF($D$1=$AN$22,HLOOKUP("kdk sm",real_rku_jan_apr,11,FALSE),IF($D$1=$AN$23,HLOOKUP("kdk sm",real_rku_jan_mei,11,FALSE),IF($D$1=$AN$24,HLOOKUP("kdk sm",real_rku_jan_jul,11,FALSE),IF($D$1=$AN$25,HLOOKUP("kdk sm",real_rku_jan_ags,11,FALSE),IF($D$1=$AN$26,HLOOKUP("kdk sm",real_rku_jan_sep,11,FALSE),IF($D$1=$AN$27,HLOOKUP("kdk sm",real_rku_jan_okt,11,FALSE),IF($D$1=$AN$28,HLOOKUP("kdk sm",real_rku_jan_nov,11,FALSE),0)))))))))))))))))))))))))))</f>
        <v>7550</v>
      </c>
      <c r="O46" s="88">
        <f>IF($D$1&lt;&gt;"",IF($D$1=$AN$3,HLOOKUP("kdk sm",real_rku_01.jan,12,FALSE),IF($D$1=$AN$4,HLOOKUP("kdk sm",real_rku_02.feb,12,FALSE),IF($D$1=$AN$5,HLOOKUP("kdk sm",real_rku_03.mar,12,FALSE),IF($D$1=$AN$6,HLOOKUP("kdk sm",real_rku_04.apr,12,FALSE),IF($D$1=$AN$7,HLOOKUP("kdk sm",real_rku_05.mei,12,FALSE),IF($D$1=$AN$8,HLOOKUP("kdk sm",real_rku_06.jun,12,FALSE),IF($D$1=$AN$9,HLOOKUP("kdk sm",real_rku_07.jul,12,FALSE),IF($D$1=$AN$10,HLOOKUP("kdk sm",real_rku_08.ags,12,FALSE),IF($D$1=$AN$11,HLOOKUP("kdk sm",real_rku_09.sep,12,FALSE),IF($D$1=$AN$12,HLOOKUP("kdk sm",real_rku_10.okt,12,FALSE),IF($D$1=$AN$13,HLOOKUP("kdk sm",real_rku_11.nov,12,FALSE),IF($D$1=$AN$14,HLOOKUP("kdk sm",real_rku_12.des,12,FALSE),IF($D$1=$AN$15,HLOOKUP("kdk sm",real_rku_TW_I,12,FALSE),IF($D$1=$AN$16,HLOOKUP("kdk sm",real_rku_TW_II,12,FALSE),IF($D$1=$AN$17,HLOOKUP("kdk sm",real_rku_TW_III,12,FALSE),IF($D$1=$AN$18,HLOOKUP("kdk sm",real_rku_TW_IV,12,FALSE),IF($D$1=$AN$19,HLOOKUP("kdk sm",real_rku_SM_I,12,FALSE),IF($D$1=$AN$20,HLOOKUP("kdk sm",real_rku_SM_II,12,FALSE),IF($D$1=$AN$21,HLOOKUP("kdk sm",real_rku_2013,12,FALSE),IF($D$1=$AN$22,HLOOKUP("kdk sm",real_rku_jan_apr,12,FALSE),IF($D$1=$AN$23,HLOOKUP("kdk sm",real_rku_jan_mei,12,FALSE),IF($D$1=$AN$24,HLOOKUP("kdk sm",real_rku_jan_jul,12,FALSE),IF($D$1=$AN$25,HLOOKUP("kdk sm",real_rku_jan_ags,12,FALSE),IF($D$1=$AN$26,HLOOKUP("kdk sm",real_rku_jan_sep,12,FALSE),IF($D$1=$AN$27,HLOOKUP("kdk sm",real_rku_jan_okt,12,FALSE),IF($D$1=$AN$28,HLOOKUP("kdk sm",real_rku_jan_nov,12,FALSE),0)))))))))))))))))))))))))))</f>
        <v>5500</v>
      </c>
      <c r="P46" s="88">
        <f>IF($D$1&lt;&gt;"",IF($D$1=$AN$3,HLOOKUP("kdk sm",real_rku_01.jan,13,FALSE),IF($D$1=$AN$4,HLOOKUP("kdk sm",real_rku_02.feb,13,FALSE),IF($D$1=$AN$5,HLOOKUP("kdk sm",real_rku_03.mar,13,FALSE),IF($D$1=$AN$6,HLOOKUP("kdk sm",real_rku_04.apr,13,FALSE),IF($D$1=$AN$7,HLOOKUP("kdk sm",real_rku_05.mei,13,FALSE),IF($D$1=$AN$8,HLOOKUP("kdk sm",real_rku_06.jun,13,FALSE),IF($D$1=$AN$9,HLOOKUP("kdk sm",real_rku_07.jul,13,FALSE),IF($D$1=$AN$10,HLOOKUP("kdk sm",real_rku_08.ags,13,FALSE),IF($D$1=$AN$11,HLOOKUP("kdk sm",real_rku_09.sep,13,FALSE),IF($D$1=$AN$12,HLOOKUP("kdk sm",real_rku_10.okt,13,FALSE),IF($D$1=$AN$13,HLOOKUP("kdk sm",real_rku_11.nov,13,FALSE),IF($D$1=$AN$14,HLOOKUP("kdk sm",real_rku_12.des,13,FALSE),IF($D$1=$AN$15,HLOOKUP("kdk sm",real_rku_TW_I,13,FALSE),IF($D$1=$AN$16,HLOOKUP("kdk sm",real_rku_TW_II,13,FALSE),IF($D$1=$AN$17,HLOOKUP("kdk sm",real_rku_TW_III,13,FALSE),IF($D$1=$AN$18,HLOOKUP("kdk sm",real_rku_TW_IV,13,FALSE),IF($D$1=$AN$19,HLOOKUP("kdk sm",real_rku_SM_I,13,FALSE),IF($D$1=$AN$20,HLOOKUP("kdk sm",real_rku_SM_II,13,FALSE),IF($D$1=$AN$21,HLOOKUP("kdk sm",real_rku_2013,13,FALSE),IF($D$1=$AN$22,HLOOKUP("kdk sm",real_rku_jan_apr,13,FALSE),IF($D$1=$AN$23,HLOOKUP("kdk sm",real_rku_jan_mei,13,FALSE),IF($D$1=$AN$24,HLOOKUP("kdk sm",real_rku_jan_jul,13,FALSE),IF($D$1=$AN$25,HLOOKUP("kdk sm",real_rku_jan_ags,13,FALSE),IF($D$1=$AN$26,HLOOKUP("kdk sm",real_rku_jan_sep,13,FALSE),IF($D$1=$AN$27,HLOOKUP("kdk sm",real_rku_jan_okt,13,FALSE),IF($D$1=$AN$28,HLOOKUP("kdk sm",real_rku_jan_nov,13,FALSE),0)))))))))))))))))))))))))))</f>
        <v>1850</v>
      </c>
      <c r="Q46" s="88">
        <f>IF($D$1&lt;&gt;"",IF($D$1=$AN$3,HLOOKUP("kdk sm",real_rku_01.jan,14,FALSE),IF($D$1=$AN$4,HLOOKUP("kdk sm",real_rku_02.feb,14,FALSE),IF($D$1=$AN$5,HLOOKUP("kdk sm",real_rku_03.mar,14,FALSE),IF($D$1=$AN$6,HLOOKUP("kdk sm",real_rku_04.apr,14,FALSE),IF($D$1=$AN$7,HLOOKUP("kdk sm",real_rku_05.mei,14,FALSE),IF($D$1=$AN$8,HLOOKUP("kdk sm",real_rku_06.jun,14,FALSE),IF($D$1=$AN$9,HLOOKUP("kdk sm",real_rku_07.jul,14,FALSE),IF($D$1=$AN$10,HLOOKUP("kdk sm",real_rku_08.ags,14,FALSE),IF($D$1=$AN$11,HLOOKUP("kdk sm",real_rku_09.sep,14,FALSE),IF($D$1=$AN$12,HLOOKUP("kdk sm",real_rku_10.okt,14,FALSE),IF($D$1=$AN$13,HLOOKUP("kdk sm",real_rku_11.nov,14,FALSE),IF($D$1=$AN$14,HLOOKUP("kdk sm",real_rku_12.des,14,FALSE),IF($D$1=$AN$15,HLOOKUP("kdk sm",real_rku_TW_I,14,FALSE),IF($D$1=$AN$16,HLOOKUP("kdk sm",real_rku_TW_II,14,FALSE),IF($D$1=$AN$17,HLOOKUP("kdk sm",real_rku_TW_III,14,FALSE),IF($D$1=$AN$18,HLOOKUP("kdk sm",real_rku_TW_IV,14,FALSE),IF($D$1=$AN$19,HLOOKUP("kdk sm",real_rku_SM_I,14,FALSE),IF($D$1=$AN$20,HLOOKUP("kdk sm",real_rku_SM_II,14,FALSE),IF($D$1=$AN$21,HLOOKUP("kdk sm",real_rku_2013,14,FALSE),IF($D$1=$AN$22,HLOOKUP("kdk sm",real_rku_jan_apr,14,FALSE),IF($D$1=$AN$23,HLOOKUP("kdk sm",real_rku_jan_mei,14,FALSE),IF($D$1=$AN$24,HLOOKUP("kdk sm",real_rku_jan_jul,14,FALSE),IF($D$1=$AN$25,HLOOKUP("kdk sm",real_rku_jan_ags,14,FALSE),IF($D$1=$AN$26,HLOOKUP("kdk sm",real_rku_jan_sep,14,FALSE),IF($D$1=$AN$27,HLOOKUP("kdk sm",real_rku_jan_okt,14,FALSE),IF($D$1=$AN$28,HLOOKUP("kdk sm",real_rku_jan_nov,14,FALSE),0)))))))))))))))))))))))))))</f>
        <v>0</v>
      </c>
      <c r="R46" s="89">
        <f>+SUM(M46:Q46)</f>
        <v>17800</v>
      </c>
      <c r="S46" s="88">
        <f>+R46+L46</f>
        <v>8245500</v>
      </c>
      <c r="T46" s="76"/>
      <c r="U46" s="86"/>
      <c r="V46" s="87"/>
      <c r="W46" s="87" t="s">
        <v>182</v>
      </c>
      <c r="X46" s="88">
        <f t="shared" si="55"/>
        <v>2193</v>
      </c>
      <c r="Y46" s="88">
        <f t="shared" si="55"/>
        <v>640</v>
      </c>
      <c r="Z46" s="88">
        <f t="shared" si="55"/>
        <v>3400</v>
      </c>
      <c r="AA46" s="88">
        <f t="shared" si="55"/>
        <v>3800</v>
      </c>
      <c r="AB46" s="88">
        <f t="shared" si="55"/>
        <v>7637</v>
      </c>
      <c r="AC46" s="88">
        <f t="shared" si="55"/>
        <v>7400</v>
      </c>
      <c r="AD46" s="88">
        <f t="shared" si="55"/>
        <v>1100</v>
      </c>
      <c r="AE46" s="89">
        <f>+SUM(X46:AD46)</f>
        <v>26170</v>
      </c>
      <c r="AF46" s="88">
        <f t="shared" si="56"/>
        <v>580</v>
      </c>
      <c r="AG46" s="88">
        <f t="shared" si="56"/>
        <v>3020</v>
      </c>
      <c r="AH46" s="88">
        <f t="shared" si="56"/>
        <v>2750</v>
      </c>
      <c r="AI46" s="88">
        <f t="shared" si="56"/>
        <v>1850</v>
      </c>
      <c r="AJ46" s="88">
        <f t="shared" si="56"/>
        <v>0</v>
      </c>
      <c r="AK46" s="89">
        <f>+SUM(AF46:AJ46)</f>
        <v>8200</v>
      </c>
      <c r="AL46" s="88">
        <f>+AK46+AE46</f>
        <v>34370</v>
      </c>
    </row>
    <row r="47" spans="2:39" ht="15" x14ac:dyDescent="0.25">
      <c r="B47" s="86"/>
      <c r="C47" s="87"/>
      <c r="D47" s="87" t="s">
        <v>184</v>
      </c>
      <c r="E47" s="88">
        <f t="shared" ref="E47:K47" si="57">+E45-E46</f>
        <v>-1952000</v>
      </c>
      <c r="F47" s="88">
        <f t="shared" si="57"/>
        <v>-4002000</v>
      </c>
      <c r="G47" s="88">
        <f t="shared" si="57"/>
        <v>-1290000</v>
      </c>
      <c r="H47" s="88">
        <f t="shared" si="57"/>
        <v>-700800</v>
      </c>
      <c r="I47" s="88">
        <f t="shared" si="57"/>
        <v>-555300</v>
      </c>
      <c r="J47" s="88">
        <f t="shared" si="57"/>
        <v>-164200</v>
      </c>
      <c r="K47" s="88">
        <f t="shared" si="57"/>
        <v>-4000</v>
      </c>
      <c r="L47" s="89">
        <f>+SUM(E47:K47)</f>
        <v>-8668300</v>
      </c>
      <c r="M47" s="88">
        <f>+M45-M46</f>
        <v>-10365</v>
      </c>
      <c r="N47" s="88">
        <f>+N45-N46</f>
        <v>-1517.5</v>
      </c>
      <c r="O47" s="88">
        <f>+O45-O46</f>
        <v>-570</v>
      </c>
      <c r="P47" s="88">
        <f>+P45-P46</f>
        <v>-315</v>
      </c>
      <c r="Q47" s="88">
        <f>+Q45-Q46</f>
        <v>0</v>
      </c>
      <c r="R47" s="89">
        <f>+SUM(M47:Q47)</f>
        <v>-12767.5</v>
      </c>
      <c r="S47" s="88">
        <f>+R47+L47</f>
        <v>-8681067.5</v>
      </c>
      <c r="T47" s="88"/>
      <c r="U47" s="86"/>
      <c r="V47" s="87"/>
      <c r="W47" s="87" t="s">
        <v>184</v>
      </c>
      <c r="X47" s="88">
        <f t="shared" ref="X47:AD47" si="58">+X45-X46</f>
        <v>-976</v>
      </c>
      <c r="Y47" s="88">
        <f t="shared" si="58"/>
        <v>-4002</v>
      </c>
      <c r="Z47" s="88">
        <f t="shared" si="58"/>
        <v>-3225</v>
      </c>
      <c r="AA47" s="88">
        <f t="shared" si="58"/>
        <v>-3504</v>
      </c>
      <c r="AB47" s="88">
        <f t="shared" si="58"/>
        <v>-5553</v>
      </c>
      <c r="AC47" s="88">
        <f t="shared" si="58"/>
        <v>-4105</v>
      </c>
      <c r="AD47" s="88">
        <f t="shared" si="58"/>
        <v>-200</v>
      </c>
      <c r="AE47" s="89">
        <f>+SUM(X47:AD47)</f>
        <v>-21565</v>
      </c>
      <c r="AF47" s="88">
        <f>+AF45-AF46</f>
        <v>-2073</v>
      </c>
      <c r="AG47" s="88">
        <f>+AG45-AG46</f>
        <v>-607</v>
      </c>
      <c r="AH47" s="88">
        <f>+AH45-AH46</f>
        <v>-285</v>
      </c>
      <c r="AI47" s="88">
        <f>+AI45-AI46</f>
        <v>-315</v>
      </c>
      <c r="AJ47" s="88">
        <f>+AJ45-AJ46</f>
        <v>0</v>
      </c>
      <c r="AK47" s="89">
        <f>+SUM(AF47:AJ47)</f>
        <v>-3280</v>
      </c>
      <c r="AL47" s="88">
        <f>+AK47+AE47</f>
        <v>-24845</v>
      </c>
      <c r="AM47" s="91">
        <f>+AL47/1000</f>
        <v>-24.844999999999999</v>
      </c>
    </row>
    <row r="48" spans="2:39" ht="14.25" x14ac:dyDescent="0.2">
      <c r="B48" s="86"/>
      <c r="C48" s="108"/>
      <c r="D48" s="109" t="s">
        <v>186</v>
      </c>
      <c r="E48" s="110">
        <f t="shared" ref="E48:S48" si="59">IF(E45=0,"-",E46/E45)</f>
        <v>1.8019720624486442</v>
      </c>
      <c r="F48" s="110">
        <f t="shared" si="59"/>
        <v>-0.19036287923854847</v>
      </c>
      <c r="G48" s="110">
        <f t="shared" si="59"/>
        <v>19.428571428571427</v>
      </c>
      <c r="H48" s="110">
        <f t="shared" si="59"/>
        <v>12.837837837837839</v>
      </c>
      <c r="I48" s="110">
        <f t="shared" si="59"/>
        <v>3.6645873320537428</v>
      </c>
      <c r="J48" s="110">
        <f t="shared" si="59"/>
        <v>2.245827010622155</v>
      </c>
      <c r="K48" s="110">
        <f t="shared" si="59"/>
        <v>1.2222222222222223</v>
      </c>
      <c r="L48" s="111">
        <f t="shared" si="59"/>
        <v>-18.673853835678621</v>
      </c>
      <c r="M48" s="110">
        <f t="shared" si="59"/>
        <v>-0.3884795713328868</v>
      </c>
      <c r="N48" s="110">
        <f t="shared" si="59"/>
        <v>1.2515540820555324</v>
      </c>
      <c r="O48" s="110">
        <f t="shared" si="59"/>
        <v>1.1156186612576064</v>
      </c>
      <c r="P48" s="110">
        <f t="shared" si="59"/>
        <v>1.2052117263843649</v>
      </c>
      <c r="Q48" s="110" t="str">
        <f t="shared" si="59"/>
        <v>-</v>
      </c>
      <c r="R48" s="111">
        <f t="shared" si="59"/>
        <v>3.5370094386487829</v>
      </c>
      <c r="S48" s="110">
        <f t="shared" si="59"/>
        <v>-18.930475758636721</v>
      </c>
      <c r="T48" s="95">
        <f>+S48*$T$6</f>
        <v>-13.251333031045704</v>
      </c>
      <c r="U48" s="86"/>
      <c r="V48" s="108"/>
      <c r="W48" s="109" t="s">
        <v>186</v>
      </c>
      <c r="X48" s="110">
        <f t="shared" ref="X48:AL48" si="60">IF(X45=0,"-",X46/X45)</f>
        <v>1.8019720624486442</v>
      </c>
      <c r="Y48" s="110">
        <f t="shared" si="60"/>
        <v>-0.19036287923854847</v>
      </c>
      <c r="Z48" s="110">
        <f t="shared" si="60"/>
        <v>19.428571428571427</v>
      </c>
      <c r="AA48" s="110">
        <f t="shared" si="60"/>
        <v>12.837837837837839</v>
      </c>
      <c r="AB48" s="110">
        <f t="shared" si="60"/>
        <v>3.6645873320537428</v>
      </c>
      <c r="AC48" s="110">
        <f t="shared" si="60"/>
        <v>2.245827010622155</v>
      </c>
      <c r="AD48" s="110">
        <f t="shared" si="60"/>
        <v>1.2222222222222223</v>
      </c>
      <c r="AE48" s="111">
        <f t="shared" si="60"/>
        <v>5.6829533116178066</v>
      </c>
      <c r="AF48" s="110">
        <f t="shared" si="60"/>
        <v>-0.3884795713328868</v>
      </c>
      <c r="AG48" s="110">
        <f t="shared" si="60"/>
        <v>1.2515540820555324</v>
      </c>
      <c r="AH48" s="110">
        <f t="shared" si="60"/>
        <v>1.1156186612576064</v>
      </c>
      <c r="AI48" s="110">
        <f t="shared" si="60"/>
        <v>1.2052117263843649</v>
      </c>
      <c r="AJ48" s="110" t="str">
        <f t="shared" si="60"/>
        <v>-</v>
      </c>
      <c r="AK48" s="111">
        <f t="shared" si="60"/>
        <v>1.6666666666666667</v>
      </c>
      <c r="AL48" s="110">
        <f t="shared" si="60"/>
        <v>3.6083989501312335</v>
      </c>
    </row>
    <row r="49" spans="2:39" ht="14.25" x14ac:dyDescent="0.2">
      <c r="B49" s="103"/>
      <c r="C49" s="104"/>
      <c r="D49" s="104"/>
      <c r="E49" s="98">
        <f>+E48*$L$6</f>
        <v>0.54059161873459327</v>
      </c>
      <c r="F49" s="98">
        <f t="shared" ref="F49:K49" si="61">+F48*$L$6</f>
        <v>-5.7108863771564537E-2</v>
      </c>
      <c r="G49" s="98">
        <f t="shared" si="61"/>
        <v>5.8285714285714283</v>
      </c>
      <c r="H49" s="98">
        <f t="shared" si="61"/>
        <v>3.8513513513513513</v>
      </c>
      <c r="I49" s="98">
        <f t="shared" si="61"/>
        <v>1.0993761996161229</v>
      </c>
      <c r="J49" s="98">
        <f t="shared" si="61"/>
        <v>0.67374810318664646</v>
      </c>
      <c r="K49" s="98">
        <f t="shared" si="61"/>
        <v>0.3666666666666667</v>
      </c>
      <c r="L49" s="98"/>
      <c r="M49" s="98">
        <f t="shared" ref="M49:P49" si="62">+M48*$L$6</f>
        <v>-0.11654387139986604</v>
      </c>
      <c r="N49" s="98">
        <f t="shared" si="62"/>
        <v>0.37546622461665974</v>
      </c>
      <c r="O49" s="98">
        <f t="shared" si="62"/>
        <v>0.3346855983772819</v>
      </c>
      <c r="P49" s="98">
        <f t="shared" si="62"/>
        <v>0.36156351791530944</v>
      </c>
      <c r="Q49" s="98"/>
      <c r="R49" s="105"/>
      <c r="S49" s="98">
        <f>+AVERAGE(E49:Q49)</f>
        <v>1.2053061794422388</v>
      </c>
      <c r="T49" s="100">
        <f>+S49+T48</f>
        <v>-12.046026851603465</v>
      </c>
      <c r="U49" s="103"/>
      <c r="V49" s="104"/>
      <c r="W49" s="104"/>
      <c r="X49" s="106"/>
      <c r="Y49" s="106"/>
      <c r="Z49" s="106"/>
      <c r="AA49" s="106"/>
      <c r="AB49" s="106"/>
      <c r="AC49" s="106"/>
      <c r="AD49" s="106"/>
      <c r="AE49" s="105">
        <f>+SUM(X49:AD49)</f>
        <v>0</v>
      </c>
      <c r="AF49" s="106"/>
      <c r="AG49" s="106"/>
      <c r="AH49" s="106"/>
      <c r="AI49" s="106"/>
      <c r="AJ49" s="106"/>
      <c r="AK49" s="105">
        <f>+SUM(AF49:AJ49)</f>
        <v>0</v>
      </c>
      <c r="AL49" s="107">
        <f>+AK49+AE49</f>
        <v>0</v>
      </c>
    </row>
    <row r="50" spans="2:39" ht="14.25" x14ac:dyDescent="0.2">
      <c r="B50" s="81">
        <v>9</v>
      </c>
      <c r="C50" s="83" t="s">
        <v>209</v>
      </c>
      <c r="D50" s="83" t="s">
        <v>180</v>
      </c>
      <c r="E50" s="84">
        <f>IF($D$1&lt;&gt;"",IF($D$1=$AN$3,HLOOKUP("kdk sb",rku_01.jan,2,FALSE),IF($D$1=$AN$4,HLOOKUP("kdk sb",rku_02.feb,2,FALSE),IF($D$1=$AN$5,HLOOKUP("kdk sb",rku_03.mar,2,FALSE),IF($D$1=$AN$6,HLOOKUP("kdk sb",rku_04.apr,2,FALSE),IF($D$1=$AN$7,HLOOKUP("kdk sb",rku_05.mei,2,FALSE),IF($D$1=$AN$8,HLOOKUP("kdk sb",rku_06.jun,2,FALSE),IF($D$1=$AN$9,HLOOKUP("kdk sb",rku_07.jul,2,FALSE),IF($D$1=$AN$10,HLOOKUP("kdk sb",rku_08.ags,2,FALSE),IF($D$1=$AN$11,HLOOKUP("kdk sb",rku_09.sep,2,FALSE),IF($D$1=$AN$12,HLOOKUP("kdk sb",rku_10.okt,2,FALSE),IF($D$1=$AN$13,HLOOKUP("kdk sb",rku_11.nov,2,FALSE),IF($D$1=$AN$14,HLOOKUP("kdk sb",rku_12.des,2,FALSE),IF($D$1=$AN$15,HLOOKUP("kdk sb",rku_TW_I,2,FALSE),IF($D$1=$AN$16,HLOOKUP("kdk sb",rku_TW_II,2,FALSE),IF($D$1=$AN$17,HLOOKUP("kdk sb",rku_TW_III,2,FALSE),IF($D$1=$AN$18,HLOOKUP("kdk sb",rku_TW_IV,2,FALSE),IF($D$1=$AN$19,HLOOKUP("kdk sb",rku_SM_I,2,FALSE),IF($D$1=$AN$20,HLOOKUP("kdk sb",rku_SM_II,2,FALSE),IF($D$1=$AN$21,HLOOKUP("kdk sb",rku_2013,2,FALSE),IF($D$1=$AN$22,HLOOKUP("kdk sb",rku_jan_apr,2,FALSE),IF($D$1=$AN$23,HLOOKUP("kdk sb",rku_jan_mei,2,FALSE),IF($D$1=$AN$24,HLOOKUP("kdk sb",rku_jan_jul,2,FALSE),IF($D$1=$AN$25,HLOOKUP("kdk sb",rku_jan_ags,2,FALSE),IF($D$1=$AN$26,HLOOKUP("kdk sb",rku_jan_sep,2,FALSE),IF($D$1=$AN$27,HLOOKUP("kdk sb",rku_jan_okt,2,FALSE),IF($D$1=$AN$28,HLOOKUP("kdk sb",rku_jan_nov,2,FALSE),0)))))))))))))))))))))))))))</f>
        <v>16234000</v>
      </c>
      <c r="F50" s="84">
        <f>IF($D$1&lt;&gt;"",IF($D$1=$AN$3,HLOOKUP("kdk sb",rku_01.jan,3,FALSE),IF($D$1=$AN$4,HLOOKUP("kdk sb",rku_02.feb,3,FALSE),IF($D$1=$AN$5,HLOOKUP("kdk sb",rku_03.mar,3,FALSE),IF($D$1=$AN$6,HLOOKUP("kdk sb",rku_04.apr,3,FALSE),IF($D$1=$AN$7,HLOOKUP("kdk sb",rku_05.mei,3,FALSE),IF($D$1=$AN$8,HLOOKUP("kdk sb",rku_06.jun,3,FALSE),IF($D$1=$AN$9,HLOOKUP("kdk sb",rku_07.jul,3,FALSE),IF($D$1=$AN$10,HLOOKUP("kdk sb",rku_08.ags,3,FALSE),IF($D$1=$AN$11,HLOOKUP("kdk sb",rku_09.sep,3,FALSE),IF($D$1=$AN$12,HLOOKUP("kdk sb",rku_10.okt,3,FALSE),IF($D$1=$AN$13,HLOOKUP("kdk sb",rku_11.nov,3,FALSE),IF($D$1=$AN$14,HLOOKUP("kdk sb",rku_12.des,3,FALSE),IF($D$1=$AN$15,HLOOKUP("kdk sb",rku_TW_I,3,FALSE),IF($D$1=$AN$16,HLOOKUP("kdk sb",rku_TW_II,3,FALSE),IF($D$1=$AN$17,HLOOKUP("kdk sb",rku_TW_III,3,FALSE),IF($D$1=$AN$18,HLOOKUP("kdk sb",rku_TW_IV,3,FALSE),IF($D$1=$AN$19,HLOOKUP("kdk sb",rku_SM_I,3,FALSE),IF($D$1=$AN$20,HLOOKUP("kdk sb",rku_SM_II,3,FALSE),IF($D$1=$AN$21,HLOOKUP("kdk sb",rku_2013,3,FALSE),IF($D$1=$AN$22,HLOOKUP("kdk sb",rku_jan_apr,3,FALSE),IF($D$1=$AN$23,HLOOKUP("kdk sb",rku_jan_mei,3,FALSE),IF($D$1=$AN$24,HLOOKUP("kdk sb",rku_jan_jul,3,FALSE),IF($D$1=$AN$25,HLOOKUP("kdk sb",rku_jan_ags,3,FALSE),IF($D$1=$AN$26,HLOOKUP("kdk sb",rku_jan_sep,3,FALSE),IF($D$1=$AN$27,HLOOKUP("kdk sb",rku_jan_okt,3,FALSE),IF($D$1=$AN$28,HLOOKUP("kdk sb",rku_jan_nov,3,FALSE),0)))))))))))))))))))))))))))</f>
        <v>2884000</v>
      </c>
      <c r="G50" s="84">
        <f>IF($D$1&lt;&gt;"",IF($D$1=$AN$3,HLOOKUP("kdk sb",rku_01.jan,4,FALSE),IF($D$1=$AN$4,HLOOKUP("kdk sb",rku_02.feb,4,FALSE),IF($D$1=$AN$5,HLOOKUP("kdk sb",rku_03.mar,4,FALSE),IF($D$1=$AN$6,HLOOKUP("kdk sb",rku_04.apr,4,FALSE),IF($D$1=$AN$7,HLOOKUP("kdk sb",rku_05.mei,4,FALSE),IF($D$1=$AN$8,HLOOKUP("kdk sb",rku_06.jun,4,FALSE),IF($D$1=$AN$9,HLOOKUP("kdk sb",rku_07.jul,4,FALSE),IF($D$1=$AN$10,HLOOKUP("kdk sb",rku_08.ags,4,FALSE),IF($D$1=$AN$11,HLOOKUP("kdk sb",rku_09.sep,4,FALSE),IF($D$1=$AN$12,HLOOKUP("kdk sb",rku_10.okt,4,FALSE),IF($D$1=$AN$13,HLOOKUP("kdk sb",rku_11.nov,4,FALSE),IF($D$1=$AN$14,HLOOKUP("kdk sb",rku_12.des,4,FALSE),IF($D$1=$AN$15,HLOOKUP("kdk sb",rku_TW_I,4,FALSE),IF($D$1=$AN$16,HLOOKUP("kdk sb",rku_TW_II,4,FALSE),IF($D$1=$AN$17,HLOOKUP("kdk sb",rku_TW_III,4,FALSE),IF($D$1=$AN$18,HLOOKUP("kdk sb",rku_TW_IV,4,FALSE),IF($D$1=$AN$19,HLOOKUP("kdk sb",rku_SM_I,4,FALSE),IF($D$1=$AN$20,HLOOKUP("kdk sb",rku_SM_II,4,FALSE),IF($D$1=$AN$21,HLOOKUP("kdk sb",rku_2013,4,FALSE),IF($D$1=$AN$22,HLOOKUP("kdk sb",rku_jan_apr,4,FALSE),IF($D$1=$AN$23,HLOOKUP("kdk sb",rku_jan_mei,4,FALSE),IF($D$1=$AN$24,HLOOKUP("kdk sb",rku_jan_jul,4,FALSE),IF($D$1=$AN$25,HLOOKUP("kdk sb",rku_jan_ags,4,FALSE),IF($D$1=$AN$26,HLOOKUP("kdk sb",rku_jan_sep,4,FALSE),IF($D$1=$AN$27,HLOOKUP("kdk sb",rku_jan_okt,4,FALSE),IF($D$1=$AN$28,HLOOKUP("kdk sb",rku_jan_nov,4,FALSE),0)))))))))))))))))))))))))))</f>
        <v>-723200</v>
      </c>
      <c r="H50" s="84">
        <f>IF($D$1&lt;&gt;"",IF($D$1=$AN$3,HLOOKUP("kdk sb",rku_01.jan,5,FALSE),IF($D$1=$AN$4,HLOOKUP("kdk sb",rku_02.feb,5,FALSE),IF($D$1=$AN$5,HLOOKUP("kdk sb",rku_03.mar,5,FALSE),IF($D$1=$AN$6,HLOOKUP("kdk sb",rku_04.apr,5,FALSE),IF($D$1=$AN$7,HLOOKUP("kdk sb",rku_05.mei,5,FALSE),IF($D$1=$AN$8,HLOOKUP("kdk sb",rku_06.jun,5,FALSE),IF($D$1=$AN$9,HLOOKUP("kdk sb",rku_07.jul,5,FALSE),IF($D$1=$AN$10,HLOOKUP("kdk sb",rku_08.ags,5,FALSE),IF($D$1=$AN$11,HLOOKUP("kdk sb",rku_09.sep,5,FALSE),IF($D$1=$AN$12,HLOOKUP("kdk sb",rku_10.okt,5,FALSE),IF($D$1=$AN$13,HLOOKUP("kdk sb",rku_11.nov,5,FALSE),IF($D$1=$AN$14,HLOOKUP("kdk sb",rku_12.des,5,FALSE),IF($D$1=$AN$15,HLOOKUP("kdk sb",rku_TW_I,5,FALSE),IF($D$1=$AN$16,HLOOKUP("kdk sb",rku_TW_II,5,FALSE),IF($D$1=$AN$17,HLOOKUP("kdk sb",rku_TW_III,5,FALSE),IF($D$1=$AN$18,HLOOKUP("kdk sb",rku_TW_IV,5,FALSE),IF($D$1=$AN$19,HLOOKUP("kdk sb",rku_SM_I,5,FALSE),IF($D$1=$AN$20,HLOOKUP("kdk sb",rku_SM_II,5,FALSE),IF($D$1=$AN$21,HLOOKUP("kdk sb",rku_2013,5,FALSE),IF($D$1=$AN$22,HLOOKUP("kdk sb",rku_jan_apr,5,FALSE),IF($D$1=$AN$23,HLOOKUP("kdk sb",rku_jan_mei,5,FALSE),IF($D$1=$AN$24,HLOOKUP("kdk sb",rku_jan_jul,5,FALSE),IF($D$1=$AN$25,HLOOKUP("kdk sb",rku_jan_ags,5,FALSE),IF($D$1=$AN$26,HLOOKUP("kdk sb",rku_jan_sep,5,FALSE),IF($D$1=$AN$27,HLOOKUP("kdk sb",rku_jan_okt,5,FALSE),IF($D$1=$AN$28,HLOOKUP("kdk sb",rku_jan_nov,5,FALSE),0)))))))))))))))))))))))))))</f>
        <v>274200</v>
      </c>
      <c r="I50" s="84">
        <f>IF($D$1&lt;&gt;"",IF($D$1=$AN$3,HLOOKUP("kdk sb",rku_01.jan,6,FALSE),IF($D$1=$AN$4,HLOOKUP("kdk sb",rku_02.feb,6,FALSE),IF($D$1=$AN$5,HLOOKUP("kdk sb",rku_03.mar,6,FALSE),IF($D$1=$AN$6,HLOOKUP("kdk sb",rku_04.apr,6,FALSE),IF($D$1=$AN$7,HLOOKUP("kdk sb",rku_05.mei,6,FALSE),IF($D$1=$AN$8,HLOOKUP("kdk sb",rku_06.jun,6,FALSE),IF($D$1=$AN$9,HLOOKUP("kdk sb",rku_07.jul,6,FALSE),IF($D$1=$AN$10,HLOOKUP("kdk sb",rku_08.ags,6,FALSE),IF($D$1=$AN$11,HLOOKUP("kdk sb",rku_09.sep,6,FALSE),IF($D$1=$AN$12,HLOOKUP("kdk sb",rku_10.okt,6,FALSE),IF($D$1=$AN$13,HLOOKUP("kdk sb",rku_11.nov,6,FALSE),IF($D$1=$AN$14,HLOOKUP("kdk sb",rku_12.des,6,FALSE),IF($D$1=$AN$15,HLOOKUP("kdk sb",rku_TW_I,6,FALSE),IF($D$1=$AN$16,HLOOKUP("kdk sb",rku_TW_II,6,FALSE),IF($D$1=$AN$17,HLOOKUP("kdk sb",rku_TW_III,6,FALSE),IF($D$1=$AN$18,HLOOKUP("kdk sb",rku_TW_IV,6,FALSE),IF($D$1=$AN$19,HLOOKUP("kdk sb",rku_SM_I,6,FALSE),IF($D$1=$AN$20,HLOOKUP("kdk sb",rku_SM_II,6,FALSE),IF($D$1=$AN$21,HLOOKUP("kdk sb",rku_2013,6,FALSE),IF($D$1=$AN$22,HLOOKUP("kdk sb",rku_jan_apr,6,FALSE),IF($D$1=$AN$23,HLOOKUP("kdk sb",rku_jan_mei,6,FALSE),IF($D$1=$AN$24,HLOOKUP("kdk sb",rku_jan_jul,6,FALSE),IF($D$1=$AN$25,HLOOKUP("kdk sb",rku_jan_ags,6,FALSE),IF($D$1=$AN$26,HLOOKUP("kdk sb",rku_jan_sep,6,FALSE),IF($D$1=$AN$27,HLOOKUP("kdk sb",rku_jan_okt,6,FALSE),IF($D$1=$AN$28,HLOOKUP("kdk sb",rku_jan_nov,6,FALSE),0)))))))))))))))))))))))))))</f>
        <v>471900</v>
      </c>
      <c r="J50" s="84">
        <f>IF($D$1&lt;&gt;"",IF($D$1=$AN$3,HLOOKUP("kdk sb",rku_01.jan,7,FALSE),IF($D$1=$AN$4,HLOOKUP("kdk sb",rku_02.feb,7,FALSE),IF($D$1=$AN$5,HLOOKUP("kdk sb",rku_03.mar,7,FALSE),IF($D$1=$AN$6,HLOOKUP("kdk sb",rku_04.apr,7,FALSE),IF($D$1=$AN$7,HLOOKUP("kdk sb",rku_05.mei,7,FALSE),IF($D$1=$AN$8,HLOOKUP("kdk sb",rku_06.jun,7,FALSE),IF($D$1=$AN$9,HLOOKUP("kdk sb",rku_07.jul,7,FALSE),IF($D$1=$AN$10,HLOOKUP("kdk sb",rku_08.ags,7,FALSE),IF($D$1=$AN$11,HLOOKUP("kdk sb",rku_09.sep,7,FALSE),IF($D$1=$AN$12,HLOOKUP("kdk sb",rku_10.okt,7,FALSE),IF($D$1=$AN$13,HLOOKUP("kdk sb",rku_11.nov,7,FALSE),IF($D$1=$AN$14,HLOOKUP("kdk sb",rku_12.des,7,FALSE),IF($D$1=$AN$15,HLOOKUP("kdk sb",rku_TW_I,7,FALSE),IF($D$1=$AN$16,HLOOKUP("kdk sb",rku_TW_II,7,FALSE),IF($D$1=$AN$17,HLOOKUP("kdk sb",rku_TW_III,7,FALSE),IF($D$1=$AN$18,HLOOKUP("kdk sb",rku_TW_IV,7,FALSE),IF($D$1=$AN$19,HLOOKUP("kdk sb",rku_SM_I,7,FALSE),IF($D$1=$AN$20,HLOOKUP("kdk sb",rku_SM_II,7,FALSE),IF($D$1=$AN$21,HLOOKUP("kdk sb",rku_2013,7,FALSE),IF($D$1=$AN$22,HLOOKUP("kdk sb",rku_jan_apr,7,FALSE),IF($D$1=$AN$23,HLOOKUP("kdk sb",rku_jan_mei,7,FALSE),IF($D$1=$AN$24,HLOOKUP("kdk sb",rku_jan_jul,7,FALSE),IF($D$1=$AN$25,HLOOKUP("kdk sb",rku_jan_ags,7,FALSE),IF($D$1=$AN$26,HLOOKUP("kdk sb",rku_jan_sep,7,FALSE),IF($D$1=$AN$27,HLOOKUP("kdk sb",rku_jan_okt,7,FALSE),IF($D$1=$AN$28,HLOOKUP("kdk sb",rku_jan_nov,7,FALSE),0)))))))))))))))))))))))))))</f>
        <v>291920</v>
      </c>
      <c r="K50" s="84">
        <f>IF($D$1&lt;&gt;"",IF($D$1=$AN$3,HLOOKUP("kdk sb",rku_01.jan,8,FALSE),IF($D$1=$AN$4,HLOOKUP("kdk sb",rku_02.feb,8,FALSE),IF($D$1=$AN$5,HLOOKUP("kdk sb",rku_03.mar,8,FALSE),IF($D$1=$AN$6,HLOOKUP("kdk sb",rku_04.apr,8,FALSE),IF($D$1=$AN$7,HLOOKUP("kdk sb",rku_05.mei,8,FALSE),IF($D$1=$AN$8,HLOOKUP("kdk sb",rku_06.jun,8,FALSE),IF($D$1=$AN$9,HLOOKUP("kdk sb",rku_07.jul,8,FALSE),IF($D$1=$AN$10,HLOOKUP("kdk sb",rku_08.ags,8,FALSE),IF($D$1=$AN$11,HLOOKUP("kdk sb",rku_09.sep,8,FALSE),IF($D$1=$AN$12,HLOOKUP("kdk sb",rku_10.okt,8,FALSE),IF($D$1=$AN$13,HLOOKUP("kdk sb",rku_11.nov,8,FALSE),IF($D$1=$AN$14,HLOOKUP("kdk sb",rku_12.des,8,FALSE),IF($D$1=$AN$15,HLOOKUP("kdk sb",rku_TW_I,8,FALSE),IF($D$1=$AN$16,HLOOKUP("kdk sb",rku_TW_II,8,FALSE),IF($D$1=$AN$17,HLOOKUP("kdk sb",rku_TW_III,8,FALSE),IF($D$1=$AN$18,HLOOKUP("kdk sb",rku_TW_IV,8,FALSE),IF($D$1=$AN$19,HLOOKUP("kdk sb",rku_SM_I,8,FALSE),IF($D$1=$AN$20,HLOOKUP("kdk sb",rku_SM_II,8,FALSE),IF($D$1=$AN$21,HLOOKUP("kdk sb",rku_2013,8,FALSE),IF($D$1=$AN$22,HLOOKUP("kdk sb",rku_jan_apr,8,FALSE),IF($D$1=$AN$23,HLOOKUP("kdk sb",rku_jan_mei,8,FALSE),IF($D$1=$AN$24,HLOOKUP("kdk sb",rku_jan_jul,8,FALSE),IF($D$1=$AN$25,HLOOKUP("kdk sb",rku_jan_ags,8,FALSE),IF($D$1=$AN$26,HLOOKUP("kdk sb",rku_jan_sep,8,FALSE),IF($D$1=$AN$27,HLOOKUP("kdk sb",rku_jan_okt,8,FALSE),IF($D$1=$AN$28,HLOOKUP("kdk sb",rku_jan_nov,8,FALSE),0)))))))))))))))))))))))))))</f>
        <v>14860</v>
      </c>
      <c r="L50" s="85">
        <f>+SUM(E50:K50)</f>
        <v>19447680</v>
      </c>
      <c r="M50" s="84">
        <f>IF($D$1&lt;&gt;"",IF($D$1=$AN$3,HLOOKUP("kdk sb",rku_01.jan,10,FALSE),IF($D$1=$AN$4,HLOOKUP("kdk sb",rku_02.feb,10,FALSE),IF($D$1=$AN$5,HLOOKUP("kdk sb",rku_03.mar,10,FALSE),IF($D$1=$AN$6,HLOOKUP("kdk sb",rku_04.apr,10,FALSE),IF($D$1=$AN$7,HLOOKUP("kdk sb",rku_05.mei,10,FALSE),IF($D$1=$AN$8,HLOOKUP("kdk sb",rku_06.jun,10,FALSE),IF($D$1=$AN$9,HLOOKUP("kdk sb",rku_07.jul,10,FALSE),IF($D$1=$AN$10,HLOOKUP("kdk sb",rku_08.ags,10,FALSE),IF($D$1=$AN$11,HLOOKUP("kdk sb",rku_09.sep,10,FALSE),IF($D$1=$AN$12,HLOOKUP("kdk sb",rku_10.okt,10,FALSE),IF($D$1=$AN$13,HLOOKUP("kdk sb",rku_11.nov,10,FALSE),IF($D$1=$AN$14,HLOOKUP("kdk sb",rku_12.des,10,FALSE),IF($D$1=$AN$15,HLOOKUP("kdk sb",rku_TW_I,10,FALSE),IF($D$1=$AN$16,HLOOKUP("kdk sb",rku_TW_II,10,FALSE),IF($D$1=$AN$17,HLOOKUP("kdk sb",rku_TW_III,10,FALSE),IF($D$1=$AN$18,HLOOKUP("kdk sb",rku_TW_IV,10,FALSE),IF($D$1=$AN$19,HLOOKUP("kdk sb",rku_SM_I,10,FALSE),IF($D$1=$AN$20,HLOOKUP("kdk sb",rku_SM_II,10,FALSE),IF($D$1=$AN$21,HLOOKUP("kdk sb",rku_2013,10,FALSE),IF($D$1=$AN$22,HLOOKUP("kdk sb",rku_jan_apr,10,FALSE),IF($D$1=$AN$23,HLOOKUP("kdk sb",rku_jan_mei,10,FALSE),IF($D$1=$AN$24,HLOOKUP("kdk sb",rku_jan_jul,10,FALSE),IF($D$1=$AN$25,HLOOKUP("kdk sb",rku_jan_ags,10,FALSE),IF($D$1=$AN$26,HLOOKUP("kdk sb",rku_jan_sep,10,FALSE),IF($D$1=$AN$27,HLOOKUP("kdk sb",rku_jan_okt,10,FALSE),IF($D$1=$AN$28,HLOOKUP("kdk sb",rku_jan_nov,10,FALSE),0)))))))))))))))))))))))))))</f>
        <v>20035</v>
      </c>
      <c r="N50" s="84">
        <f>IF($D$1&lt;&gt;"",IF($D$1=$AN$3,HLOOKUP("kdk sb",rku_01.jan,11,FALSE),IF($D$1=$AN$4,HLOOKUP("kdk sb",rku_02.feb,11,FALSE),IF($D$1=$AN$5,HLOOKUP("kdk sb",rku_03.mar,11,FALSE),IF($D$1=$AN$6,HLOOKUP("kdk sb",rku_04.apr,11,FALSE),IF($D$1=$AN$7,HLOOKUP("kdk sb",rku_05.mei,11,FALSE),IF($D$1=$AN$8,HLOOKUP("kdk sb",rku_06.jun,11,FALSE),IF($D$1=$AN$9,HLOOKUP("kdk sb",rku_07.jul,11,FALSE),IF($D$1=$AN$10,HLOOKUP("kdk sb",rku_08.ags,11,FALSE),IF($D$1=$AN$11,HLOOKUP("kdk sb",rku_09.sep,11,FALSE),IF($D$1=$AN$12,HLOOKUP("kdk sb",rku_10.okt,11,FALSE),IF($D$1=$AN$13,HLOOKUP("kdk sb",rku_11.nov,11,FALSE),IF($D$1=$AN$14,HLOOKUP("kdk sb",rku_12.des,11,FALSE),IF($D$1=$AN$15,HLOOKUP("kdk sb",rku_TW_I,11,FALSE),IF($D$1=$AN$16,HLOOKUP("kdk sb",rku_TW_II,11,FALSE),IF($D$1=$AN$17,HLOOKUP("kdk sb",rku_TW_III,11,FALSE),IF($D$1=$AN$18,HLOOKUP("kdk sb",rku_TW_IV,11,FALSE),IF($D$1=$AN$19,HLOOKUP("kdk sb",rku_SM_I,11,FALSE),IF($D$1=$AN$20,HLOOKUP("kdk sb",rku_SM_II,11,FALSE),IF($D$1=$AN$21,HLOOKUP("kdk sb",rku_2013,11,FALSE),IF($D$1=$AN$22,HLOOKUP("kdk sb",rku_jan_apr,11,FALSE),IF($D$1=$AN$23,HLOOKUP("kdk sb",rku_jan_mei,11,FALSE),IF($D$1=$AN$24,HLOOKUP("kdk sb",rku_jan_jul,11,FALSE),IF($D$1=$AN$25,HLOOKUP("kdk sb",rku_jan_ags,11,FALSE),IF($D$1=$AN$26,HLOOKUP("kdk sb",rku_jan_sep,11,FALSE),IF($D$1=$AN$27,HLOOKUP("kdk sb",rku_jan_okt,11,FALSE),IF($D$1=$AN$28,HLOOKUP("kdk sb",rku_jan_nov,11,FALSE),0)))))))))))))))))))))))))))</f>
        <v>20002.5</v>
      </c>
      <c r="O50" s="84">
        <f>IF($D$1&lt;&gt;"",IF($D$1=$AN$3,HLOOKUP("kdk sb",rku_01.jan,12,FALSE),IF($D$1=$AN$4,HLOOKUP("kdk sb",rku_02.feb,12,FALSE),IF($D$1=$AN$5,HLOOKUP("kdk sb",rku_03.mar,12,FALSE),IF($D$1=$AN$6,HLOOKUP("kdk sb",rku_04.apr,12,FALSE),IF($D$1=$AN$7,HLOOKUP("kdk sb",rku_05.mei,12,FALSE),IF($D$1=$AN$8,HLOOKUP("kdk sb",rku_06.jun,12,FALSE),IF($D$1=$AN$9,HLOOKUP("kdk sb",rku_07.jul,12,FALSE),IF($D$1=$AN$10,HLOOKUP("kdk sb",rku_08.ags,12,FALSE),IF($D$1=$AN$11,HLOOKUP("kdk sb",rku_09.sep,12,FALSE),IF($D$1=$AN$12,HLOOKUP("kdk sb",rku_10.okt,12,FALSE),IF($D$1=$AN$13,HLOOKUP("kdk sb",rku_11.nov,12,FALSE),IF($D$1=$AN$14,HLOOKUP("kdk sb",rku_12.des,12,FALSE),IF($D$1=$AN$15,HLOOKUP("kdk sb",rku_TW_I,12,FALSE),IF($D$1=$AN$16,HLOOKUP("kdk sb",rku_TW_II,12,FALSE),IF($D$1=$AN$17,HLOOKUP("kdk sb",rku_TW_III,12,FALSE),IF($D$1=$AN$18,HLOOKUP("kdk sb",rku_TW_IV,12,FALSE),IF($D$1=$AN$19,HLOOKUP("kdk sb",rku_SM_I,12,FALSE),IF($D$1=$AN$20,HLOOKUP("kdk sb",rku_SM_II,12,FALSE),IF($D$1=$AN$21,HLOOKUP("kdk sb",rku_2013,12,FALSE),IF($D$1=$AN$22,HLOOKUP("kdk sb",rku_jan_apr,12,FALSE),IF($D$1=$AN$23,HLOOKUP("kdk sb",rku_jan_mei,12,FALSE),IF($D$1=$AN$24,HLOOKUP("kdk sb",rku_jan_jul,12,FALSE),IF($D$1=$AN$25,HLOOKUP("kdk sb",rku_jan_ags,12,FALSE),IF($D$1=$AN$26,HLOOKUP("kdk sb",rku_jan_sep,12,FALSE),IF($D$1=$AN$27,HLOOKUP("kdk sb",rku_jan_okt,12,FALSE),IF($D$1=$AN$28,HLOOKUP("kdk sb",rku_jan_nov,12,FALSE),0)))))))))))))))))))))))))))</f>
        <v>5586</v>
      </c>
      <c r="P50" s="84">
        <f>IF($D$1&lt;&gt;"",IF($D$1=$AN$3,HLOOKUP("kdk sb",rku_01.jan,13,FALSE),IF($D$1=$AN$4,HLOOKUP("kdk sb",rku_02.feb,13,FALSE),IF($D$1=$AN$5,HLOOKUP("kdk sb",rku_03.mar,13,FALSE),IF($D$1=$AN$6,HLOOKUP("kdk sb",rku_04.apr,13,FALSE),IF($D$1=$AN$7,HLOOKUP("kdk sb",rku_05.mei,13,FALSE),IF($D$1=$AN$8,HLOOKUP("kdk sb",rku_06.jun,13,FALSE),IF($D$1=$AN$9,HLOOKUP("kdk sb",rku_07.jul,13,FALSE),IF($D$1=$AN$10,HLOOKUP("kdk sb",rku_08.ags,13,FALSE),IF($D$1=$AN$11,HLOOKUP("kdk sb",rku_09.sep,13,FALSE),IF($D$1=$AN$12,HLOOKUP("kdk sb",rku_10.okt,13,FALSE),IF($D$1=$AN$13,HLOOKUP("kdk sb",rku_11.nov,13,FALSE),IF($D$1=$AN$14,HLOOKUP("kdk sb",rku_12.des,13,FALSE),IF($D$1=$AN$15,HLOOKUP("kdk sb",rku_TW_I,13,FALSE),IF($D$1=$AN$16,HLOOKUP("kdk sb",rku_TW_II,13,FALSE),IF($D$1=$AN$17,HLOOKUP("kdk sb",rku_TW_III,13,FALSE),IF($D$1=$AN$18,HLOOKUP("kdk sb",rku_TW_IV,13,FALSE),IF($D$1=$AN$19,HLOOKUP("kdk sb",rku_SM_I,13,FALSE),IF($D$1=$AN$20,HLOOKUP("kdk sb",rku_SM_II,13,FALSE),IF($D$1=$AN$21,HLOOKUP("kdk sb",rku_2013,13,FALSE),IF($D$1=$AN$22,HLOOKUP("kdk sb",rku_jan_apr,13,FALSE),IF($D$1=$AN$23,HLOOKUP("kdk sb",rku_jan_mei,13,FALSE),IF($D$1=$AN$24,HLOOKUP("kdk sb",rku_jan_jul,13,FALSE),IF($D$1=$AN$25,HLOOKUP("kdk sb",rku_jan_ags,13,FALSE),IF($D$1=$AN$26,HLOOKUP("kdk sb",rku_jan_sep,13,FALSE),IF($D$1=$AN$27,HLOOKUP("kdk sb",rku_jan_okt,13,FALSE),IF($D$1=$AN$28,HLOOKUP("kdk sb",rku_jan_nov,13,FALSE),0)))))))))))))))))))))))))))</f>
        <v>2511</v>
      </c>
      <c r="Q50" s="84">
        <f>IF($D$1&lt;&gt;"",IF($D$1=$AN$3,HLOOKUP("kdk sb",rku_01.jan,14,FALSE),IF($D$1=$AN$4,HLOOKUP("kdk sb",rku_02.feb,14,FALSE),IF($D$1=$AN$5,HLOOKUP("kdk sb",rku_03.mar,14,FALSE),IF($D$1=$AN$6,HLOOKUP("kdk sb",rku_04.apr,14,FALSE),IF($D$1=$AN$7,HLOOKUP("kdk sb",rku_05.mei,14,FALSE),IF($D$1=$AN$8,HLOOKUP("kdk sb",rku_06.jun,14,FALSE),IF($D$1=$AN$9,HLOOKUP("kdk sb",rku_07.jul,14,FALSE),IF($D$1=$AN$10,HLOOKUP("kdk sb",rku_08.ags,14,FALSE),IF($D$1=$AN$11,HLOOKUP("kdk sb",rku_09.sep,14,FALSE),IF($D$1=$AN$12,HLOOKUP("kdk sb",rku_10.okt,14,FALSE),IF($D$1=$AN$13,HLOOKUP("kdk sb",rku_11.nov,14,FALSE),IF($D$1=$AN$14,HLOOKUP("kdk sb",rku_12.des,14,FALSE),IF($D$1=$AN$15,HLOOKUP("kdk sb",rku_TW_I,14,FALSE),IF($D$1=$AN$16,HLOOKUP("kdk sb",rku_TW_II,14,FALSE),IF($D$1=$AN$17,HLOOKUP("kdk sb",rku_TW_III,14,FALSE),IF($D$1=$AN$18,HLOOKUP("kdk sb",rku_TW_IV,14,FALSE),IF($D$1=$AN$19,HLOOKUP("kdk sb",rku_SM_I,14,FALSE),IF($D$1=$AN$20,HLOOKUP("kdk sb",rku_SM_II,14,FALSE),IF($D$1=$AN$21,HLOOKUP("kdk sb",rku_2013,14,FALSE),IF($D$1=$AN$22,HLOOKUP("kdk sb",rku_jan_apr,14,FALSE),IF($D$1=$AN$23,HLOOKUP("kdk sb",rku_jan_mei,14,FALSE),IF($D$1=$AN$24,HLOOKUP("kdk sb",rku_jan_jul,14,FALSE),IF($D$1=$AN$25,HLOOKUP("kdk sb",rku_jan_ags,14,FALSE),IF($D$1=$AN$26,HLOOKUP("kdk sb",rku_jan_sep,14,FALSE),IF($D$1=$AN$27,HLOOKUP("kdk sb",rku_jan_okt,14,FALSE),IF($D$1=$AN$28,HLOOKUP("kdk sb",rku_jan_nov,14,FALSE),0)))))))))))))))))))))))))))</f>
        <v>0</v>
      </c>
      <c r="R50" s="85">
        <f>+SUM(M50:Q50)</f>
        <v>48134.5</v>
      </c>
      <c r="S50" s="84">
        <f>+R50+L50</f>
        <v>19495814.5</v>
      </c>
      <c r="U50" s="81">
        <v>9</v>
      </c>
      <c r="V50" s="83" t="s">
        <v>209</v>
      </c>
      <c r="W50" s="83" t="s">
        <v>180</v>
      </c>
      <c r="X50" s="84">
        <f t="shared" ref="X50:AD51" si="63">E50/X$100</f>
        <v>8117</v>
      </c>
      <c r="Y50" s="84">
        <f t="shared" si="63"/>
        <v>2884</v>
      </c>
      <c r="Z50" s="84">
        <f t="shared" si="63"/>
        <v>-1808</v>
      </c>
      <c r="AA50" s="84">
        <f t="shared" si="63"/>
        <v>1371</v>
      </c>
      <c r="AB50" s="84">
        <f t="shared" si="63"/>
        <v>4719</v>
      </c>
      <c r="AC50" s="84">
        <f t="shared" si="63"/>
        <v>7298</v>
      </c>
      <c r="AD50" s="84">
        <f t="shared" si="63"/>
        <v>743</v>
      </c>
      <c r="AE50" s="85">
        <f>+SUM(X50:AD50)</f>
        <v>23324</v>
      </c>
      <c r="AF50" s="84">
        <f t="shared" ref="AF50:AJ51" si="64">M50/AF$100</f>
        <v>4007</v>
      </c>
      <c r="AG50" s="84">
        <f t="shared" si="64"/>
        <v>8001</v>
      </c>
      <c r="AH50" s="84">
        <f t="shared" si="64"/>
        <v>2793</v>
      </c>
      <c r="AI50" s="84">
        <f t="shared" si="64"/>
        <v>2511</v>
      </c>
      <c r="AJ50" s="84">
        <f t="shared" si="64"/>
        <v>0</v>
      </c>
      <c r="AK50" s="85">
        <f>+SUM(AF50:AJ50)</f>
        <v>17312</v>
      </c>
      <c r="AL50" s="84">
        <f>+AK50+AE50</f>
        <v>40636</v>
      </c>
      <c r="AM50" s="113"/>
    </row>
    <row r="51" spans="2:39" ht="14.25" x14ac:dyDescent="0.2">
      <c r="B51" s="86"/>
      <c r="C51" s="87"/>
      <c r="D51" s="87" t="s">
        <v>182</v>
      </c>
      <c r="E51" s="88">
        <f>IF($D$1&lt;&gt;"",IF($D$1=$AN$3,HLOOKUP("kdk sb",real_rku_01.jan,2,FALSE),IF($D$1=$AN$4,HLOOKUP("kdk sb",real_rku_02.feb,2,FALSE),IF($D$1=$AN$5,HLOOKUP("kdk sb",real_rku_03.mar,2,FALSE),IF($D$1=$AN$6,HLOOKUP("kdk sb",real_rku_04.apr,2,FALSE),IF($D$1=$AN$7,HLOOKUP("kdk sb",real_rku_05.mei,2,FALSE),IF($D$1=$AN$8,HLOOKUP("kdk sb",real_rku_06.jun,2,FALSE),IF($D$1=$AN$9,HLOOKUP("kdk sb",real_rku_07.jul,2,FALSE),IF($D$1=$AN$10,HLOOKUP("kdk sb",real_rku_08.ags,2,FALSE),IF($D$1=$AN$11,HLOOKUP("kdk sb",real_rku_09.sep,2,FALSE),IF($D$1=$AN$12,HLOOKUP("kdk sb",real_rku_10.okt,2,FALSE),IF($D$1=$AN$13,HLOOKUP("kdk sb",real_rku_11.nov,2,FALSE),IF($D$1=$AN$14,HLOOKUP("kdk sb",real_rku_12.des,2,FALSE),IF($D$1=$AN$15,HLOOKUP("kdk sb",real_rku_TW_I,2,FALSE),IF($D$1=$AN$16,HLOOKUP("kdk sb",real_rku_TW_II,2,FALSE),IF($D$1=$AN$17,HLOOKUP("kdk sb",real_rku_TW_III,2,FALSE),IF($D$1=$AN$18,HLOOKUP("kdk sb",real_rku_TW_IV,2,FALSE),IF($D$1=$AN$19,HLOOKUP("kdk sb",real_rku_SM_I,2,FALSE),IF($D$1=$AN$20,HLOOKUP("kdk sb",real_rku_SM_II,2,FALSE),IF($D$1=$AN$21,HLOOKUP("kdk sb",real_rku_2013,2,FALSE),IF($D$1=$AN$22,HLOOKUP("kdk sb",real_rku_jan_apr,2,FALSE),IF($D$1=$AN$23,HLOOKUP("kdk sb",real_rku_jan_mei,2,FALSE),IF($D$1=$AN$24,HLOOKUP("kdk sb",real_rku_jan_jul,2,FALSE),IF($D$1=$AN$25,HLOOKUP("kdk sb",real_rku_jan_ags,2,FALSE),IF($D$1=$AN$26,HLOOKUP("kdk sb",real_rku_jan_sep,2,FALSE),IF($D$1=$AN$27,HLOOKUP("kdk sb",real_rku_jan_okt,2,FALSE),IF($D$1=$AN$28,HLOOKUP("kdk sb",real_rku_jan_nov,2,FALSE),0)))))))))))))))))))))))))))</f>
        <v>12700000</v>
      </c>
      <c r="F51" s="88">
        <f>IF($D$1&lt;&gt;"",IF($D$1=$AN$3,HLOOKUP("kdk sb",real_rku_01.jan,3,FALSE),IF($D$1=$AN$4,HLOOKUP("kdk sb",real_rku_02.feb,3,FALSE),IF($D$1=$AN$5,HLOOKUP("kdk sb",real_rku_03.mar,3,FALSE),IF($D$1=$AN$6,HLOOKUP("kdk sb",real_rku_04.apr,3,FALSE),IF($D$1=$AN$7,HLOOKUP("kdk sb",real_rku_05.mei,3,FALSE),IF($D$1=$AN$8,HLOOKUP("kdk sb",real_rku_06.jun,3,FALSE),IF($D$1=$AN$9,HLOOKUP("kdk sb",real_rku_07.jul,3,FALSE),IF($D$1=$AN$10,HLOOKUP("kdk sb",real_rku_08.ags,3,FALSE),IF($D$1=$AN$11,HLOOKUP("kdk sb",real_rku_09.sep,3,FALSE),IF($D$1=$AN$12,HLOOKUP("kdk sb",real_rku_10.okt,3,FALSE),IF($D$1=$AN$13,HLOOKUP("kdk sb",real_rku_11.nov,3,FALSE),IF($D$1=$AN$14,HLOOKUP("kdk sb",real_rku_12.des,3,FALSE),IF($D$1=$AN$15,HLOOKUP("kdk sb",real_rku_TW_I,3,FALSE),IF($D$1=$AN$16,HLOOKUP("kdk sb",real_rku_TW_II,3,FALSE),IF($D$1=$AN$17,HLOOKUP("kdk sb",real_rku_TW_III,3,FALSE),IF($D$1=$AN$18,HLOOKUP("kdk sb",real_rku_TW_IV,3,FALSE),IF($D$1=$AN$19,HLOOKUP("kdk sb",real_rku_SM_I,3,FALSE),IF($D$1=$AN$20,HLOOKUP("kdk sb",real_rku_SM_II,3,FALSE),IF($D$1=$AN$21,HLOOKUP("kdk sb",real_rku_2013,3,FALSE),IF($D$1=$AN$22,HLOOKUP("kdk sb",real_rku_jan_apr,3,FALSE),IF($D$1=$AN$23,HLOOKUP("kdk sb",real_rku_jan_mei,3,FALSE),IF($D$1=$AN$24,HLOOKUP("kdk sb",real_rku_jan_jul,3,FALSE),IF($D$1=$AN$25,HLOOKUP("kdk sb",real_rku_jan_ags,3,FALSE),IF($D$1=$AN$26,HLOOKUP("kdk sb",real_rku_jan_sep,3,FALSE),IF($D$1=$AN$27,HLOOKUP("kdk sb",real_rku_jan_okt,3,FALSE),IF($D$1=$AN$28,HLOOKUP("kdk sb",real_rku_jan_nov,3,FALSE),0)))))))))))))))))))))))))))</f>
        <v>4010000</v>
      </c>
      <c r="G51" s="88">
        <f>IF($D$1&lt;&gt;"",IF($D$1=$AN$3,HLOOKUP("kdk sb",real_rku_01.jan,4,FALSE),IF($D$1=$AN$4,HLOOKUP("kdk sb",real_rku_02.feb,4,FALSE),IF($D$1=$AN$5,HLOOKUP("kdk sb",real_rku_03.mar,4,FALSE),IF($D$1=$AN$6,HLOOKUP("kdk sb",real_rku_04.apr,4,FALSE),IF($D$1=$AN$7,HLOOKUP("kdk sb",real_rku_05.mei,4,FALSE),IF($D$1=$AN$8,HLOOKUP("kdk sb",real_rku_06.jun,4,FALSE),IF($D$1=$AN$9,HLOOKUP("kdk sb",real_rku_07.jul,4,FALSE),IF($D$1=$AN$10,HLOOKUP("kdk sb",real_rku_08.ags,4,FALSE),IF($D$1=$AN$11,HLOOKUP("kdk sb",real_rku_09.sep,4,FALSE),IF($D$1=$AN$12,HLOOKUP("kdk sb",real_rku_10.okt,4,FALSE),IF($D$1=$AN$13,HLOOKUP("kdk sb",real_rku_11.nov,4,FALSE),IF($D$1=$AN$14,HLOOKUP("kdk sb",real_rku_12.des,4,FALSE),IF($D$1=$AN$15,HLOOKUP("kdk sb",real_rku_TW_I,4,FALSE),IF($D$1=$AN$16,HLOOKUP("kdk sb",real_rku_TW_II,4,FALSE),IF($D$1=$AN$17,HLOOKUP("kdk sb",real_rku_TW_III,4,FALSE),IF($D$1=$AN$18,HLOOKUP("kdk sb",real_rku_TW_IV,4,FALSE),IF($D$1=$AN$19,HLOOKUP("kdk sb",real_rku_SM_I,4,FALSE),IF($D$1=$AN$20,HLOOKUP("kdk sb",real_rku_SM_II,4,FALSE),IF($D$1=$AN$21,HLOOKUP("kdk sb",real_rku_2013,4,FALSE),IF($D$1=$AN$22,HLOOKUP("kdk sb",real_rku_jan_apr,4,FALSE),IF($D$1=$AN$23,HLOOKUP("kdk sb",real_rku_jan_mei,4,FALSE),IF($D$1=$AN$24,HLOOKUP("kdk sb",real_rku_jan_jul,4,FALSE),IF($D$1=$AN$25,HLOOKUP("kdk sb",real_rku_jan_ags,4,FALSE),IF($D$1=$AN$26,HLOOKUP("kdk sb",real_rku_jan_sep,4,FALSE),IF($D$1=$AN$27,HLOOKUP("kdk sb",real_rku_jan_okt,4,FALSE),IF($D$1=$AN$28,HLOOKUP("kdk sb",real_rku_jan_nov,4,FALSE),0)))))))))))))))))))))))))))</f>
        <v>760000</v>
      </c>
      <c r="H51" s="88">
        <f>IF($D$1&lt;&gt;"",IF($D$1=$AN$3,HLOOKUP("kdk sb",real_rku_01.jan,5,FALSE),IF($D$1=$AN$4,HLOOKUP("kdk sb",real_rku_02.feb,5,FALSE),IF($D$1=$AN$5,HLOOKUP("kdk sb",real_rku_03.mar,5,FALSE),IF($D$1=$AN$6,HLOOKUP("kdk sb",real_rku_04.apr,5,FALSE),IF($D$1=$AN$7,HLOOKUP("kdk sb",real_rku_05.mei,5,FALSE),IF($D$1=$AN$8,HLOOKUP("kdk sb",real_rku_06.jun,5,FALSE),IF($D$1=$AN$9,HLOOKUP("kdk sb",real_rku_07.jul,5,FALSE),IF($D$1=$AN$10,HLOOKUP("kdk sb",real_rku_08.ags,5,FALSE),IF($D$1=$AN$11,HLOOKUP("kdk sb",real_rku_09.sep,5,FALSE),IF($D$1=$AN$12,HLOOKUP("kdk sb",real_rku_10.okt,5,FALSE),IF($D$1=$AN$13,HLOOKUP("kdk sb",real_rku_11.nov,5,FALSE),IF($D$1=$AN$14,HLOOKUP("kdk sb",real_rku_12.des,5,FALSE),IF($D$1=$AN$15,HLOOKUP("kdk sb",real_rku_TW_I,5,FALSE),IF($D$1=$AN$16,HLOOKUP("kdk sb",real_rku_TW_II,5,FALSE),IF($D$1=$AN$17,HLOOKUP("kdk sb",real_rku_TW_III,5,FALSE),IF($D$1=$AN$18,HLOOKUP("kdk sb",real_rku_TW_IV,5,FALSE),IF($D$1=$AN$19,HLOOKUP("kdk sb",real_rku_SM_I,5,FALSE),IF($D$1=$AN$20,HLOOKUP("kdk sb",real_rku_SM_II,5,FALSE),IF($D$1=$AN$21,HLOOKUP("kdk sb",real_rku_2013,5,FALSE),IF($D$1=$AN$22,HLOOKUP("kdk sb",real_rku_jan_apr,5,FALSE),IF($D$1=$AN$23,HLOOKUP("kdk sb",real_rku_jan_mei,5,FALSE),IF($D$1=$AN$24,HLOOKUP("kdk sb",real_rku_jan_jul,5,FALSE),IF($D$1=$AN$25,HLOOKUP("kdk sb",real_rku_jan_ags,5,FALSE),IF($D$1=$AN$26,HLOOKUP("kdk sb",real_rku_jan_sep,5,FALSE),IF($D$1=$AN$27,HLOOKUP("kdk sb",real_rku_jan_okt,5,FALSE),IF($D$1=$AN$28,HLOOKUP("kdk sb",real_rku_jan_nov,5,FALSE),0)))))))))))))))))))))))))))</f>
        <v>640000</v>
      </c>
      <c r="I51" s="88">
        <f>IF($D$1&lt;&gt;"",IF($D$1=$AN$3,HLOOKUP("kdk sb",real_rku_01.jan,6,FALSE),IF($D$1=$AN$4,HLOOKUP("kdk sb",real_rku_02.feb,6,FALSE),IF($D$1=$AN$5,HLOOKUP("kdk sb",real_rku_03.mar,6,FALSE),IF($D$1=$AN$6,HLOOKUP("kdk sb",real_rku_04.apr,6,FALSE),IF($D$1=$AN$7,HLOOKUP("kdk sb",real_rku_05.mei,6,FALSE),IF($D$1=$AN$8,HLOOKUP("kdk sb",real_rku_06.jun,6,FALSE),IF($D$1=$AN$9,HLOOKUP("kdk sb",real_rku_07.jul,6,FALSE),IF($D$1=$AN$10,HLOOKUP("kdk sb",real_rku_08.ags,6,FALSE),IF($D$1=$AN$11,HLOOKUP("kdk sb",real_rku_09.sep,6,FALSE),IF($D$1=$AN$12,HLOOKUP("kdk sb",real_rku_10.okt,6,FALSE),IF($D$1=$AN$13,HLOOKUP("kdk sb",real_rku_11.nov,6,FALSE),IF($D$1=$AN$14,HLOOKUP("kdk sb",real_rku_12.des,6,FALSE),IF($D$1=$AN$15,HLOOKUP("kdk sb",real_rku_TW_I,6,FALSE),IF($D$1=$AN$16,HLOOKUP("kdk sb",real_rku_TW_II,6,FALSE),IF($D$1=$AN$17,HLOOKUP("kdk sb",real_rku_TW_III,6,FALSE),IF($D$1=$AN$18,HLOOKUP("kdk sb",real_rku_TW_IV,6,FALSE),IF($D$1=$AN$19,HLOOKUP("kdk sb",real_rku_SM_I,6,FALSE),IF($D$1=$AN$20,HLOOKUP("kdk sb",real_rku_SM_II,6,FALSE),IF($D$1=$AN$21,HLOOKUP("kdk sb",real_rku_2013,6,FALSE),IF($D$1=$AN$22,HLOOKUP("kdk sb",real_rku_jan_apr,6,FALSE),IF($D$1=$AN$23,HLOOKUP("kdk sb",real_rku_jan_mei,6,FALSE),IF($D$1=$AN$24,HLOOKUP("kdk sb",real_rku_jan_jul,6,FALSE),IF($D$1=$AN$25,HLOOKUP("kdk sb",real_rku_jan_ags,6,FALSE),IF($D$1=$AN$26,HLOOKUP("kdk sb",real_rku_jan_sep,6,FALSE),IF($D$1=$AN$27,HLOOKUP("kdk sb",real_rku_jan_okt,6,FALSE),IF($D$1=$AN$28,HLOOKUP("kdk sb",real_rku_jan_nov,6,FALSE),0)))))))))))))))))))))))))))</f>
        <v>870000</v>
      </c>
      <c r="J51" s="88">
        <f>IF($D$1&lt;&gt;"",IF($D$1=$AN$3,HLOOKUP("kdk sb",real_rku_01.jan,7,FALSE),IF($D$1=$AN$4,HLOOKUP("kdk sb",real_rku_02.feb,7,FALSE),IF($D$1=$AN$5,HLOOKUP("kdk sb",real_rku_03.mar,7,FALSE),IF($D$1=$AN$6,HLOOKUP("kdk sb",real_rku_04.apr,7,FALSE),IF($D$1=$AN$7,HLOOKUP("kdk sb",real_rku_05.mei,7,FALSE),IF($D$1=$AN$8,HLOOKUP("kdk sb",real_rku_06.jun,7,FALSE),IF($D$1=$AN$9,HLOOKUP("kdk sb",real_rku_07.jul,7,FALSE),IF($D$1=$AN$10,HLOOKUP("kdk sb",real_rku_08.ags,7,FALSE),IF($D$1=$AN$11,HLOOKUP("kdk sb",real_rku_09.sep,7,FALSE),IF($D$1=$AN$12,HLOOKUP("kdk sb",real_rku_10.okt,7,FALSE),IF($D$1=$AN$13,HLOOKUP("kdk sb",real_rku_11.nov,7,FALSE),IF($D$1=$AN$14,HLOOKUP("kdk sb",real_rku_12.des,7,FALSE),IF($D$1=$AN$15,HLOOKUP("kdk sb",real_rku_TW_I,7,FALSE),IF($D$1=$AN$16,HLOOKUP("kdk sb",real_rku_TW_II,7,FALSE),IF($D$1=$AN$17,HLOOKUP("kdk sb",real_rku_TW_III,7,FALSE),IF($D$1=$AN$18,HLOOKUP("kdk sb",real_rku_TW_IV,7,FALSE),IF($D$1=$AN$19,HLOOKUP("kdk sb",real_rku_SM_I,7,FALSE),IF($D$1=$AN$20,HLOOKUP("kdk sb",real_rku_SM_II,7,FALSE),IF($D$1=$AN$21,HLOOKUP("kdk sb",real_rku_2013,7,FALSE),IF($D$1=$AN$22,HLOOKUP("kdk sb",real_rku_jan_apr,7,FALSE),IF($D$1=$AN$23,HLOOKUP("kdk sb",real_rku_jan_mei,7,FALSE),IF($D$1=$AN$24,HLOOKUP("kdk sb",real_rku_jan_jul,7,FALSE),IF($D$1=$AN$25,HLOOKUP("kdk sb",real_rku_jan_ags,7,FALSE),IF($D$1=$AN$26,HLOOKUP("kdk sb",real_rku_jan_sep,7,FALSE),IF($D$1=$AN$27,HLOOKUP("kdk sb",real_rku_jan_okt,7,FALSE),IF($D$1=$AN$28,HLOOKUP("kdk sb",real_rku_jan_nov,7,FALSE),0)))))))))))))))))))))))))))</f>
        <v>411600</v>
      </c>
      <c r="K51" s="88">
        <f>IF($D$1&lt;&gt;"",IF($D$1=$AN$3,HLOOKUP("kdk sb",real_rku_01.jan,8,FALSE),IF($D$1=$AN$4,HLOOKUP("kdk sb",real_rku_02.feb,8,FALSE),IF($D$1=$AN$5,HLOOKUP("kdk sb",real_rku_03.mar,8,FALSE),IF($D$1=$AN$6,HLOOKUP("kdk sb",real_rku_04.apr,8,FALSE),IF($D$1=$AN$7,HLOOKUP("kdk sb",real_rku_05.mei,8,FALSE),IF($D$1=$AN$8,HLOOKUP("kdk sb",real_rku_06.jun,8,FALSE),IF($D$1=$AN$9,HLOOKUP("kdk sb",real_rku_07.jul,8,FALSE),IF($D$1=$AN$10,HLOOKUP("kdk sb",real_rku_08.ags,8,FALSE),IF($D$1=$AN$11,HLOOKUP("kdk sb",real_rku_09.sep,8,FALSE),IF($D$1=$AN$12,HLOOKUP("kdk sb",real_rku_10.okt,8,FALSE),IF($D$1=$AN$13,HLOOKUP("kdk sb",real_rku_11.nov,8,FALSE),IF($D$1=$AN$14,HLOOKUP("kdk sb",real_rku_12.des,8,FALSE),IF($D$1=$AN$15,HLOOKUP("kdk sb",real_rku_TW_I,8,FALSE),IF($D$1=$AN$16,HLOOKUP("kdk sb",real_rku_TW_II,8,FALSE),IF($D$1=$AN$17,HLOOKUP("kdk sb",real_rku_TW_III,8,FALSE),IF($D$1=$AN$18,HLOOKUP("kdk sb",real_rku_TW_IV,8,FALSE),IF($D$1=$AN$19,HLOOKUP("kdk sb",real_rku_SM_I,8,FALSE),IF($D$1=$AN$20,HLOOKUP("kdk sb",real_rku_SM_II,8,FALSE),IF($D$1=$AN$21,HLOOKUP("kdk sb",real_rku_2013,8,FALSE),IF($D$1=$AN$22,HLOOKUP("kdk sb",real_rku_jan_apr,8,FALSE),IF($D$1=$AN$23,HLOOKUP("kdk sb",real_rku_jan_mei,8,FALSE),IF($D$1=$AN$24,HLOOKUP("kdk sb",real_rku_jan_jul,8,FALSE),IF($D$1=$AN$25,HLOOKUP("kdk sb",real_rku_jan_ags,8,FALSE),IF($D$1=$AN$26,HLOOKUP("kdk sb",real_rku_jan_sep,8,FALSE),IF($D$1=$AN$27,HLOOKUP("kdk sb",real_rku_jan_okt,8,FALSE),IF($D$1=$AN$28,HLOOKUP("kdk sb",real_rku_jan_nov,8,FALSE),0)))))))))))))))))))))))))))</f>
        <v>17000</v>
      </c>
      <c r="L51" s="89">
        <f>+SUM(E51:K51)</f>
        <v>19408600</v>
      </c>
      <c r="M51" s="88">
        <f>IF($D$1&lt;&gt;"",IF($D$1=$AN$3,HLOOKUP("kdk sb",real_rku_01.jan,10,FALSE),IF($D$1=$AN$4,HLOOKUP("kdk sb",real_rku_02.feb,10,FALSE),IF($D$1=$AN$5,HLOOKUP("kdk sb",real_rku_03.mar,10,FALSE),IF($D$1=$AN$6,HLOOKUP("kdk sb",real_rku_04.apr,10,FALSE),IF($D$1=$AN$7,HLOOKUP("kdk sb",real_rku_05.mei,10,FALSE),IF($D$1=$AN$8,HLOOKUP("kdk sb",real_rku_06.jun,10,FALSE),IF($D$1=$AN$9,HLOOKUP("kdk sb",real_rku_07.jul,10,FALSE),IF($D$1=$AN$10,HLOOKUP("kdk sb",real_rku_08.ags,10,FALSE),IF($D$1=$AN$11,HLOOKUP("kdk sb",real_rku_09.sep,10,FALSE),IF($D$1=$AN$12,HLOOKUP("kdk sb",real_rku_10.okt,10,FALSE),IF($D$1=$AN$13,HLOOKUP("kdk sb",real_rku_11.nov,10,FALSE),IF($D$1=$AN$14,HLOOKUP("kdk sb",real_rku_12.des,10,FALSE),IF($D$1=$AN$15,HLOOKUP("kdk sb",real_rku_TW_I,10,FALSE),IF($D$1=$AN$16,HLOOKUP("kdk sb",real_rku_TW_II,10,FALSE),IF($D$1=$AN$17,HLOOKUP("kdk sb",real_rku_TW_III,10,FALSE),IF($D$1=$AN$18,HLOOKUP("kdk sb",real_rku_TW_IV,10,FALSE),IF($D$1=$AN$19,HLOOKUP("kdk sb",real_rku_SM_I,10,FALSE),IF($D$1=$AN$20,HLOOKUP("kdk sb",real_rku_SM_II,10,FALSE),IF($D$1=$AN$21,HLOOKUP("kdk sb",real_rku_2013,10,FALSE),IF($D$1=$AN$22,HLOOKUP("kdk sb",real_rku_jan_apr,10,FALSE),IF($D$1=$AN$23,HLOOKUP("kdk sb",real_rku_jan_mei,10,FALSE),IF($D$1=$AN$24,HLOOKUP("kdk sb",real_rku_jan_jul,10,FALSE),IF($D$1=$AN$25,HLOOKUP("kdk sb",real_rku_jan_ags,10,FALSE),IF($D$1=$AN$26,HLOOKUP("kdk sb",real_rku_jan_sep,10,FALSE),IF($D$1=$AN$27,HLOOKUP("kdk sb",real_rku_jan_okt,10,FALSE),IF($D$1=$AN$28,HLOOKUP("kdk sb",real_rku_jan_nov,10,FALSE),0)))))))))))))))))))))))))))</f>
        <v>32000</v>
      </c>
      <c r="N51" s="88">
        <f>IF($D$1&lt;&gt;"",IF($D$1=$AN$3,HLOOKUP("kdk sb",real_rku_01.jan,11,FALSE),IF($D$1=$AN$4,HLOOKUP("kdk sb",real_rku_02.feb,11,FALSE),IF($D$1=$AN$5,HLOOKUP("kdk sb",real_rku_03.mar,11,FALSE),IF($D$1=$AN$6,HLOOKUP("kdk sb",real_rku_04.apr,11,FALSE),IF($D$1=$AN$7,HLOOKUP("kdk sb",real_rku_05.mei,11,FALSE),IF($D$1=$AN$8,HLOOKUP("kdk sb",real_rku_06.jun,11,FALSE),IF($D$1=$AN$9,HLOOKUP("kdk sb",real_rku_07.jul,11,FALSE),IF($D$1=$AN$10,HLOOKUP("kdk sb",real_rku_08.ags,11,FALSE),IF($D$1=$AN$11,HLOOKUP("kdk sb",real_rku_09.sep,11,FALSE),IF($D$1=$AN$12,HLOOKUP("kdk sb",real_rku_10.okt,11,FALSE),IF($D$1=$AN$13,HLOOKUP("kdk sb",real_rku_11.nov,11,FALSE),IF($D$1=$AN$14,HLOOKUP("kdk sb",real_rku_12.des,11,FALSE),IF($D$1=$AN$15,HLOOKUP("kdk sb",real_rku_TW_I,11,FALSE),IF($D$1=$AN$16,HLOOKUP("kdk sb",real_rku_TW_II,11,FALSE),IF($D$1=$AN$17,HLOOKUP("kdk sb",real_rku_TW_III,11,FALSE),IF($D$1=$AN$18,HLOOKUP("kdk sb",real_rku_TW_IV,11,FALSE),IF($D$1=$AN$19,HLOOKUP("kdk sb",real_rku_SM_I,11,FALSE),IF($D$1=$AN$20,HLOOKUP("kdk sb",real_rku_SM_II,11,FALSE),IF($D$1=$AN$21,HLOOKUP("kdk sb",real_rku_2013,11,FALSE),IF($D$1=$AN$22,HLOOKUP("kdk sb",real_rku_jan_apr,11,FALSE),IF($D$1=$AN$23,HLOOKUP("kdk sb",real_rku_jan_mei,11,FALSE),IF($D$1=$AN$24,HLOOKUP("kdk sb",real_rku_jan_jul,11,FALSE),IF($D$1=$AN$25,HLOOKUP("kdk sb",real_rku_jan_ags,11,FALSE),IF($D$1=$AN$26,HLOOKUP("kdk sb",real_rku_jan_sep,11,FALSE),IF($D$1=$AN$27,HLOOKUP("kdk sb",real_rku_jan_okt,11,FALSE),IF($D$1=$AN$28,HLOOKUP("kdk sb",real_rku_jan_nov,11,FALSE),0)))))))))))))))))))))))))))</f>
        <v>20375</v>
      </c>
      <c r="O51" s="88">
        <f>IF($D$1&lt;&gt;"",IF($D$1=$AN$3,HLOOKUP("kdk sb",real_rku_01.jan,12,FALSE),IF($D$1=$AN$4,HLOOKUP("kdk sb",real_rku_02.feb,12,FALSE),IF($D$1=$AN$5,HLOOKUP("kdk sb",real_rku_03.mar,12,FALSE),IF($D$1=$AN$6,HLOOKUP("kdk sb",real_rku_04.apr,12,FALSE),IF($D$1=$AN$7,HLOOKUP("kdk sb",real_rku_05.mei,12,FALSE),IF($D$1=$AN$8,HLOOKUP("kdk sb",real_rku_06.jun,12,FALSE),IF($D$1=$AN$9,HLOOKUP("kdk sb",real_rku_07.jul,12,FALSE),IF($D$1=$AN$10,HLOOKUP("kdk sb",real_rku_08.ags,12,FALSE),IF($D$1=$AN$11,HLOOKUP("kdk sb",real_rku_09.sep,12,FALSE),IF($D$1=$AN$12,HLOOKUP("kdk sb",real_rku_10.okt,12,FALSE),IF($D$1=$AN$13,HLOOKUP("kdk sb",real_rku_11.nov,12,FALSE),IF($D$1=$AN$14,HLOOKUP("kdk sb",real_rku_12.des,12,FALSE),IF($D$1=$AN$15,HLOOKUP("kdk sb",real_rku_TW_I,12,FALSE),IF($D$1=$AN$16,HLOOKUP("kdk sb",real_rku_TW_II,12,FALSE),IF($D$1=$AN$17,HLOOKUP("kdk sb",real_rku_TW_III,12,FALSE),IF($D$1=$AN$18,HLOOKUP("kdk sb",real_rku_TW_IV,12,FALSE),IF($D$1=$AN$19,HLOOKUP("kdk sb",real_rku_SM_I,12,FALSE),IF($D$1=$AN$20,HLOOKUP("kdk sb",real_rku_SM_II,12,FALSE),IF($D$1=$AN$21,HLOOKUP("kdk sb",real_rku_2013,12,FALSE),IF($D$1=$AN$22,HLOOKUP("kdk sb",real_rku_jan_apr,12,FALSE),IF($D$1=$AN$23,HLOOKUP("kdk sb",real_rku_jan_mei,12,FALSE),IF($D$1=$AN$24,HLOOKUP("kdk sb",real_rku_jan_jul,12,FALSE),IF($D$1=$AN$25,HLOOKUP("kdk sb",real_rku_jan_ags,12,FALSE),IF($D$1=$AN$26,HLOOKUP("kdk sb",real_rku_jan_sep,12,FALSE),IF($D$1=$AN$27,HLOOKUP("kdk sb",real_rku_jan_okt,12,FALSE),IF($D$1=$AN$28,HLOOKUP("kdk sb",real_rku_jan_nov,12,FALSE),0)))))))))))))))))))))))))))</f>
        <v>6100</v>
      </c>
      <c r="P51" s="88">
        <f>IF($D$1&lt;&gt;"",IF($D$1=$AN$3,HLOOKUP("kdk sb",real_rku_01.jan,13,FALSE),IF($D$1=$AN$4,HLOOKUP("kdk sb",real_rku_02.feb,13,FALSE),IF($D$1=$AN$5,HLOOKUP("kdk sb",real_rku_03.mar,13,FALSE),IF($D$1=$AN$6,HLOOKUP("kdk sb",real_rku_04.apr,13,FALSE),IF($D$1=$AN$7,HLOOKUP("kdk sb",real_rku_05.mei,13,FALSE),IF($D$1=$AN$8,HLOOKUP("kdk sb",real_rku_06.jun,13,FALSE),IF($D$1=$AN$9,HLOOKUP("kdk sb",real_rku_07.jul,13,FALSE),IF($D$1=$AN$10,HLOOKUP("kdk sb",real_rku_08.ags,13,FALSE),IF($D$1=$AN$11,HLOOKUP("kdk sb",real_rku_09.sep,13,FALSE),IF($D$1=$AN$12,HLOOKUP("kdk sb",real_rku_10.okt,13,FALSE),IF($D$1=$AN$13,HLOOKUP("kdk sb",real_rku_11.nov,13,FALSE),IF($D$1=$AN$14,HLOOKUP("kdk sb",real_rku_12.des,13,FALSE),IF($D$1=$AN$15,HLOOKUP("kdk sb",real_rku_TW_I,13,FALSE),IF($D$1=$AN$16,HLOOKUP("kdk sb",real_rku_TW_II,13,FALSE),IF($D$1=$AN$17,HLOOKUP("kdk sb",real_rku_TW_III,13,FALSE),IF($D$1=$AN$18,HLOOKUP("kdk sb",real_rku_TW_IV,13,FALSE),IF($D$1=$AN$19,HLOOKUP("kdk sb",real_rku_SM_I,13,FALSE),IF($D$1=$AN$20,HLOOKUP("kdk sb",real_rku_SM_II,13,FALSE),IF($D$1=$AN$21,HLOOKUP("kdk sb",real_rku_2013,13,FALSE),IF($D$1=$AN$22,HLOOKUP("kdk sb",real_rku_jan_apr,13,FALSE),IF($D$1=$AN$23,HLOOKUP("kdk sb",real_rku_jan_mei,13,FALSE),IF($D$1=$AN$24,HLOOKUP("kdk sb",real_rku_jan_jul,13,FALSE),IF($D$1=$AN$25,HLOOKUP("kdk sb",real_rku_jan_ags,13,FALSE),IF($D$1=$AN$26,HLOOKUP("kdk sb",real_rku_jan_sep,13,FALSE),IF($D$1=$AN$27,HLOOKUP("kdk sb",real_rku_jan_okt,13,FALSE),IF($D$1=$AN$28,HLOOKUP("kdk sb",real_rku_jan_nov,13,FALSE),0)))))))))))))))))))))))))))</f>
        <v>2750</v>
      </c>
      <c r="Q51" s="88">
        <f>IF($D$1&lt;&gt;"",IF($D$1=$AN$3,HLOOKUP("kdk sb",real_rku_01.jan,14,FALSE),IF($D$1=$AN$4,HLOOKUP("kdk sb",real_rku_02.feb,14,FALSE),IF($D$1=$AN$5,HLOOKUP("kdk sb",real_rku_03.mar,14,FALSE),IF($D$1=$AN$6,HLOOKUP("kdk sb",real_rku_04.apr,14,FALSE),IF($D$1=$AN$7,HLOOKUP("kdk sb",real_rku_05.mei,14,FALSE),IF($D$1=$AN$8,HLOOKUP("kdk sb",real_rku_06.jun,14,FALSE),IF($D$1=$AN$9,HLOOKUP("kdk sb",real_rku_07.jul,14,FALSE),IF($D$1=$AN$10,HLOOKUP("kdk sb",real_rku_08.ags,14,FALSE),IF($D$1=$AN$11,HLOOKUP("kdk sb",real_rku_09.sep,14,FALSE),IF($D$1=$AN$12,HLOOKUP("kdk sb",real_rku_10.okt,14,FALSE),IF($D$1=$AN$13,HLOOKUP("kdk sb",real_rku_11.nov,14,FALSE),IF($D$1=$AN$14,HLOOKUP("kdk sb",real_rku_12.des,14,FALSE),IF($D$1=$AN$15,HLOOKUP("kdk sb",real_rku_TW_I,14,FALSE),IF($D$1=$AN$16,HLOOKUP("kdk sb",real_rku_TW_II,14,FALSE),IF($D$1=$AN$17,HLOOKUP("kdk sb",real_rku_TW_III,14,FALSE),IF($D$1=$AN$18,HLOOKUP("kdk sb",real_rku_TW_IV,14,FALSE),IF($D$1=$AN$19,HLOOKUP("kdk sb",real_rku_SM_I,14,FALSE),IF($D$1=$AN$20,HLOOKUP("kdk sb",real_rku_SM_II,14,FALSE),IF($D$1=$AN$21,HLOOKUP("kdk sb",real_rku_2013,14,FALSE),IF($D$1=$AN$22,HLOOKUP("kdk sb",real_rku_jan_apr,14,FALSE),IF($D$1=$AN$23,HLOOKUP("kdk sb",real_rku_jan_mei,14,FALSE),IF($D$1=$AN$24,HLOOKUP("kdk sb",real_rku_jan_jul,14,FALSE),IF($D$1=$AN$25,HLOOKUP("kdk sb",real_rku_jan_ags,14,FALSE),IF($D$1=$AN$26,HLOOKUP("kdk sb",real_rku_jan_sep,14,FALSE),IF($D$1=$AN$27,HLOOKUP("kdk sb",real_rku_jan_okt,14,FALSE),IF($D$1=$AN$28,HLOOKUP("kdk sb",real_rku_jan_nov,14,FALSE),0)))))))))))))))))))))))))))</f>
        <v>0</v>
      </c>
      <c r="R51" s="89">
        <f>+SUM(M51:Q51)</f>
        <v>61225</v>
      </c>
      <c r="S51" s="88">
        <f>+R51+L51</f>
        <v>19469825</v>
      </c>
      <c r="T51" s="76"/>
      <c r="U51" s="86"/>
      <c r="V51" s="87"/>
      <c r="W51" s="87" t="s">
        <v>182</v>
      </c>
      <c r="X51" s="88">
        <f t="shared" si="63"/>
        <v>6350</v>
      </c>
      <c r="Y51" s="88">
        <f t="shared" si="63"/>
        <v>4010</v>
      </c>
      <c r="Z51" s="88">
        <f t="shared" si="63"/>
        <v>1900</v>
      </c>
      <c r="AA51" s="88">
        <f t="shared" si="63"/>
        <v>3200</v>
      </c>
      <c r="AB51" s="88">
        <f t="shared" si="63"/>
        <v>8700</v>
      </c>
      <c r="AC51" s="88">
        <f t="shared" si="63"/>
        <v>10290</v>
      </c>
      <c r="AD51" s="88">
        <f t="shared" si="63"/>
        <v>850</v>
      </c>
      <c r="AE51" s="89">
        <f>+SUM(X51:AD51)</f>
        <v>35300</v>
      </c>
      <c r="AF51" s="88">
        <f t="shared" si="64"/>
        <v>6400</v>
      </c>
      <c r="AG51" s="88">
        <f t="shared" si="64"/>
        <v>8150</v>
      </c>
      <c r="AH51" s="88">
        <f t="shared" si="64"/>
        <v>3050</v>
      </c>
      <c r="AI51" s="88">
        <f t="shared" si="64"/>
        <v>2750</v>
      </c>
      <c r="AJ51" s="88">
        <f t="shared" si="64"/>
        <v>0</v>
      </c>
      <c r="AK51" s="89">
        <f>+SUM(AF51:AJ51)</f>
        <v>20350</v>
      </c>
      <c r="AL51" s="88">
        <f>+AK51+AE51</f>
        <v>55650</v>
      </c>
    </row>
    <row r="52" spans="2:39" ht="15" x14ac:dyDescent="0.25">
      <c r="B52" s="86"/>
      <c r="C52" s="87"/>
      <c r="D52" s="87" t="s">
        <v>184</v>
      </c>
      <c r="E52" s="88">
        <f t="shared" ref="E52:K52" si="65">+E50-E51</f>
        <v>3534000</v>
      </c>
      <c r="F52" s="88">
        <f t="shared" si="65"/>
        <v>-1126000</v>
      </c>
      <c r="G52" s="88">
        <f t="shared" si="65"/>
        <v>-1483200</v>
      </c>
      <c r="H52" s="88">
        <f t="shared" si="65"/>
        <v>-365800</v>
      </c>
      <c r="I52" s="88">
        <f t="shared" si="65"/>
        <v>-398100</v>
      </c>
      <c r="J52" s="88">
        <f t="shared" si="65"/>
        <v>-119680</v>
      </c>
      <c r="K52" s="88">
        <f t="shared" si="65"/>
        <v>-2140</v>
      </c>
      <c r="L52" s="89">
        <f>+SUM(E52:K52)</f>
        <v>39080</v>
      </c>
      <c r="M52" s="88">
        <f>+M50-M51</f>
        <v>-11965</v>
      </c>
      <c r="N52" s="88">
        <f>+N50-N51</f>
        <v>-372.5</v>
      </c>
      <c r="O52" s="88">
        <f>+O50-O51</f>
        <v>-514</v>
      </c>
      <c r="P52" s="88">
        <f>+P50-P51</f>
        <v>-239</v>
      </c>
      <c r="Q52" s="88">
        <f>+Q50-Q51</f>
        <v>0</v>
      </c>
      <c r="R52" s="89">
        <f>+SUM(M52:Q52)</f>
        <v>-13090.5</v>
      </c>
      <c r="S52" s="88">
        <f>+R52+L52</f>
        <v>25989.5</v>
      </c>
      <c r="T52" s="88"/>
      <c r="U52" s="86"/>
      <c r="V52" s="87"/>
      <c r="W52" s="87" t="s">
        <v>184</v>
      </c>
      <c r="X52" s="88">
        <f t="shared" ref="X52:AD52" si="66">+X50-X51</f>
        <v>1767</v>
      </c>
      <c r="Y52" s="88">
        <f t="shared" si="66"/>
        <v>-1126</v>
      </c>
      <c r="Z52" s="88">
        <f t="shared" si="66"/>
        <v>-3708</v>
      </c>
      <c r="AA52" s="88">
        <f t="shared" si="66"/>
        <v>-1829</v>
      </c>
      <c r="AB52" s="88">
        <f t="shared" si="66"/>
        <v>-3981</v>
      </c>
      <c r="AC52" s="88">
        <f t="shared" si="66"/>
        <v>-2992</v>
      </c>
      <c r="AD52" s="88">
        <f t="shared" si="66"/>
        <v>-107</v>
      </c>
      <c r="AE52" s="89">
        <f>+SUM(X52:AD52)</f>
        <v>-11976</v>
      </c>
      <c r="AF52" s="88">
        <f>+AF50-AF51</f>
        <v>-2393</v>
      </c>
      <c r="AG52" s="88">
        <f>+AG50-AG51</f>
        <v>-149</v>
      </c>
      <c r="AH52" s="88">
        <f>+AH50-AH51</f>
        <v>-257</v>
      </c>
      <c r="AI52" s="88">
        <f>+AI50-AI51</f>
        <v>-239</v>
      </c>
      <c r="AJ52" s="88">
        <f>+AJ50-AJ51</f>
        <v>0</v>
      </c>
      <c r="AK52" s="89">
        <f>+SUM(AF52:AJ52)</f>
        <v>-3038</v>
      </c>
      <c r="AL52" s="88">
        <f>+AK52+AE52</f>
        <v>-15014</v>
      </c>
      <c r="AM52" s="91">
        <f>+AL52/550</f>
        <v>-27.298181818181817</v>
      </c>
    </row>
    <row r="53" spans="2:39" ht="14.25" x14ac:dyDescent="0.2">
      <c r="B53" s="86"/>
      <c r="C53" s="108"/>
      <c r="D53" s="109" t="s">
        <v>186</v>
      </c>
      <c r="E53" s="110">
        <f t="shared" ref="E53:S53" si="67">IF(E50=0,"-",E51/E50)</f>
        <v>0.78230873475421958</v>
      </c>
      <c r="F53" s="110">
        <f t="shared" si="67"/>
        <v>1.3904299583911235</v>
      </c>
      <c r="G53" s="110">
        <f t="shared" si="67"/>
        <v>-1.0508849557522124</v>
      </c>
      <c r="H53" s="110">
        <f t="shared" si="67"/>
        <v>2.3340627279358133</v>
      </c>
      <c r="I53" s="110">
        <f t="shared" si="67"/>
        <v>1.8436109345200253</v>
      </c>
      <c r="J53" s="110">
        <f t="shared" si="67"/>
        <v>1.4099753357084133</v>
      </c>
      <c r="K53" s="110">
        <f t="shared" si="67"/>
        <v>1.1440107671601616</v>
      </c>
      <c r="L53" s="111">
        <f t="shared" si="67"/>
        <v>0.99799050580840487</v>
      </c>
      <c r="M53" s="110">
        <f t="shared" si="67"/>
        <v>1.5972048914399801</v>
      </c>
      <c r="N53" s="110">
        <f t="shared" si="67"/>
        <v>1.0186226721659792</v>
      </c>
      <c r="O53" s="110">
        <f t="shared" si="67"/>
        <v>1.0920157536698889</v>
      </c>
      <c r="P53" s="110">
        <f t="shared" si="67"/>
        <v>1.0951812027080845</v>
      </c>
      <c r="Q53" s="110" t="str">
        <f t="shared" si="67"/>
        <v>-</v>
      </c>
      <c r="R53" s="111">
        <f t="shared" si="67"/>
        <v>1.2719567046505105</v>
      </c>
      <c r="S53" s="110">
        <f t="shared" si="67"/>
        <v>0.9986669189943308</v>
      </c>
      <c r="T53" s="95">
        <f>+S53*$T$6</f>
        <v>0.69906684329603153</v>
      </c>
      <c r="U53" s="86"/>
      <c r="V53" s="108"/>
      <c r="W53" s="109" t="s">
        <v>186</v>
      </c>
      <c r="X53" s="110">
        <f t="shared" ref="X53:AL53" si="68">IF(X50=0,"-",X51/X50)</f>
        <v>0.78230873475421958</v>
      </c>
      <c r="Y53" s="110">
        <f t="shared" si="68"/>
        <v>1.3904299583911235</v>
      </c>
      <c r="Z53" s="110">
        <f t="shared" si="68"/>
        <v>-1.0508849557522124</v>
      </c>
      <c r="AA53" s="110">
        <f t="shared" si="68"/>
        <v>2.3340627279358133</v>
      </c>
      <c r="AB53" s="110">
        <f t="shared" si="68"/>
        <v>1.8436109345200253</v>
      </c>
      <c r="AC53" s="110">
        <f t="shared" si="68"/>
        <v>1.4099753357084133</v>
      </c>
      <c r="AD53" s="110">
        <f t="shared" si="68"/>
        <v>1.1440107671601616</v>
      </c>
      <c r="AE53" s="111">
        <f t="shared" si="68"/>
        <v>1.5134625278682903</v>
      </c>
      <c r="AF53" s="110">
        <f t="shared" si="68"/>
        <v>1.5972048914399801</v>
      </c>
      <c r="AG53" s="110">
        <f t="shared" si="68"/>
        <v>1.0186226721659792</v>
      </c>
      <c r="AH53" s="110">
        <f t="shared" si="68"/>
        <v>1.0920157536698889</v>
      </c>
      <c r="AI53" s="110">
        <f t="shared" si="68"/>
        <v>1.0951812027080845</v>
      </c>
      <c r="AJ53" s="110" t="str">
        <f t="shared" si="68"/>
        <v>-</v>
      </c>
      <c r="AK53" s="111">
        <f t="shared" si="68"/>
        <v>1.175485212569316</v>
      </c>
      <c r="AL53" s="110">
        <f t="shared" si="68"/>
        <v>1.3694753420612265</v>
      </c>
    </row>
    <row r="54" spans="2:39" ht="14.25" x14ac:dyDescent="0.2">
      <c r="B54" s="103"/>
      <c r="C54" s="104"/>
      <c r="D54" s="104"/>
      <c r="E54" s="98">
        <f>+E53*$L$6</f>
        <v>0.23469262042626587</v>
      </c>
      <c r="F54" s="98">
        <f t="shared" ref="F54:K54" si="69">+F53*$L$6</f>
        <v>0.41712898751733701</v>
      </c>
      <c r="G54" s="98">
        <f t="shared" si="69"/>
        <v>-0.31526548672566373</v>
      </c>
      <c r="H54" s="98">
        <f t="shared" si="69"/>
        <v>0.70021881838074396</v>
      </c>
      <c r="I54" s="98">
        <f t="shared" si="69"/>
        <v>0.55308328035600762</v>
      </c>
      <c r="J54" s="98">
        <f t="shared" si="69"/>
        <v>0.42299260071252398</v>
      </c>
      <c r="K54" s="98">
        <f t="shared" si="69"/>
        <v>0.34320323014804849</v>
      </c>
      <c r="L54" s="98"/>
      <c r="M54" s="98">
        <f t="shared" ref="M54:P54" si="70">+M53*$L$6</f>
        <v>0.479161467431994</v>
      </c>
      <c r="N54" s="98">
        <f t="shared" si="70"/>
        <v>0.30558680164979374</v>
      </c>
      <c r="O54" s="98">
        <f t="shared" si="70"/>
        <v>0.32760472610096664</v>
      </c>
      <c r="P54" s="98">
        <f t="shared" si="70"/>
        <v>0.32855436081242534</v>
      </c>
      <c r="Q54" s="98"/>
      <c r="R54" s="105"/>
      <c r="S54" s="98">
        <f>+AVERAGE(E54:Q54)</f>
        <v>0.34517830971004027</v>
      </c>
      <c r="T54" s="100">
        <f>+S54+T53</f>
        <v>1.0442451530060719</v>
      </c>
      <c r="U54" s="103"/>
      <c r="V54" s="104"/>
      <c r="W54" s="104"/>
      <c r="X54" s="106"/>
      <c r="Y54" s="106"/>
      <c r="Z54" s="106"/>
      <c r="AA54" s="106"/>
      <c r="AB54" s="106"/>
      <c r="AC54" s="106"/>
      <c r="AD54" s="106"/>
      <c r="AE54" s="105">
        <f>+SUM(X54:AD54)</f>
        <v>0</v>
      </c>
      <c r="AF54" s="106"/>
      <c r="AG54" s="106"/>
      <c r="AH54" s="106"/>
      <c r="AI54" s="106"/>
      <c r="AJ54" s="106"/>
      <c r="AK54" s="105">
        <f>+SUM(AF54:AJ54)</f>
        <v>0</v>
      </c>
      <c r="AL54" s="107">
        <f>+AK54+AE54</f>
        <v>0</v>
      </c>
    </row>
    <row r="55" spans="2:39" ht="14.25" x14ac:dyDescent="0.2">
      <c r="B55" s="81">
        <v>10</v>
      </c>
      <c r="C55" s="81" t="s">
        <v>210</v>
      </c>
      <c r="D55" s="83" t="s">
        <v>180</v>
      </c>
      <c r="E55" s="84">
        <f>IF($D$1&lt;&gt;"",IF($D$1=$AN$3,HLOOKUP("kdk dpr",rku_01.jan,2,FALSE),IF($D$1=$AN$4,HLOOKUP("kdk dpr",rku_02.feb,2,FALSE),IF($D$1=$AN$5,HLOOKUP("kdk dpr",rku_03.mar,2,FALSE),IF($D$1=$AN$6,HLOOKUP("kdk dpr",rku_04.apr,2,FALSE),IF($D$1=$AN$7,HLOOKUP("kdk dpr",rku_05.mei,2,FALSE),IF($D$1=$AN$8,HLOOKUP("kdk dpr",rku_06.jun,2,FALSE),IF($D$1=$AN$9,HLOOKUP("kdk dpr",rku_07.jul,2,FALSE),IF($D$1=$AN$10,HLOOKUP("kdk dpr",rku_08.ags,2,FALSE),IF($D$1=$AN$11,HLOOKUP("kdk dpr",rku_09.sep,2,FALSE),IF($D$1=$AN$12,HLOOKUP("kdk dpr",rku_10.okt,2,FALSE),IF($D$1=$AN$13,HLOOKUP("kdk dpr",rku_11.nov,2,FALSE),IF($D$1=$AN$14,HLOOKUP("kdk dpr",rku_12.des,2,FALSE),IF($D$1=$AN$15,HLOOKUP("kdk dpr",rku_TW_I,2,FALSE),IF($D$1=$AN$16,HLOOKUP("kdk dpr",rku_TW_II,2,FALSE),IF($D$1=$AN$17,HLOOKUP("kdk dpr",rku_TW_III,2,FALSE),IF($D$1=$AN$18,HLOOKUP("kdk dpr",rku_TW_IV,2,FALSE),IF($D$1=$AN$19,HLOOKUP("kdk dpr",rku_SM_I,2,FALSE),IF($D$1=$AN$20,HLOOKUP("kdk dpr",rku_SM_II,2,FALSE),IF($D$1=$AN$21,HLOOKUP("kdk dpr",rku_2013,2,FALSE),IF($D$1=$AN$22,HLOOKUP("kdk dpr",rku_jan_apr,2,FALSE),IF($D$1=$AN$23,HLOOKUP("kdk dpr",rku_jan_mei,2,FALSE),IF($D$1=$AN$24,HLOOKUP("kdk dpr",rku_jan_jul,2,FALSE),IF($D$1=$AN$25,HLOOKUP("kdk dpr",rku_jan_ags,2,FALSE),IF($D$1=$AN$26,HLOOKUP("kdk dpr",rku_jan_sep,2,FALSE),IF($D$1=$AN$27,HLOOKUP("kdk dpr",rku_jan_okt,2,FALSE),IF($D$1=$AN$28,HLOOKUP("kdk dpr",rku_jan_nov,2,FALSE),0)))))))))))))))))))))))))))</f>
        <v>5380000</v>
      </c>
      <c r="F55" s="84">
        <f>IF($D$1&lt;&gt;"",IF($D$1=$AN$3,HLOOKUP("kdk dpr",rku_01.jan,3,FALSE),IF($D$1=$AN$4,HLOOKUP("kdk dpr",rku_02.feb,3,FALSE),IF($D$1=$AN$5,HLOOKUP("kdk dpr",rku_03.mar,3,FALSE),IF($D$1=$AN$6,HLOOKUP("kdk dpr",rku_04.apr,3,FALSE),IF($D$1=$AN$7,HLOOKUP("kdk dpr",rku_05.mei,3,FALSE),IF($D$1=$AN$8,HLOOKUP("kdk dpr",rku_06.jun,3,FALSE),IF($D$1=$AN$9,HLOOKUP("kdk dpr",rku_07.jul,3,FALSE),IF($D$1=$AN$10,HLOOKUP("kdk dpr",rku_08.ags,3,FALSE),IF($D$1=$AN$11,HLOOKUP("kdk dpr",rku_09.sep,3,FALSE),IF($D$1=$AN$12,HLOOKUP("kdk dpr",rku_10.okt,3,FALSE),IF($D$1=$AN$13,HLOOKUP("kdk dpr",rku_11.nov,3,FALSE),IF($D$1=$AN$14,HLOOKUP("kdk dpr",rku_12.des,3,FALSE),IF($D$1=$AN$15,HLOOKUP("kdk dpr",rku_TW_I,3,FALSE),IF($D$1=$AN$16,HLOOKUP("kdk dpr",rku_TW_II,3,FALSE),IF($D$1=$AN$17,HLOOKUP("kdk dpr",rku_TW_III,3,FALSE),IF($D$1=$AN$18,HLOOKUP("kdk dpr",rku_TW_IV,3,FALSE),IF($D$1=$AN$19,HLOOKUP("kdk dpr",rku_SM_I,3,FALSE),IF($D$1=$AN$20,HLOOKUP("kdk dpr",rku_SM_II,3,FALSE),IF($D$1=$AN$21,HLOOKUP("kdk dpr",rku_2013,3,FALSE),IF($D$1=$AN$22,HLOOKUP("kdk dpr",rku_jan_apr,3,FALSE),IF($D$1=$AN$23,HLOOKUP("kdk dpr",rku_jan_mei,3,FALSE),IF($D$1=$AN$24,HLOOKUP("kdk dpr",rku_jan_jul,3,FALSE),IF($D$1=$AN$25,HLOOKUP("kdk dpr",rku_jan_ags,3,FALSE),IF($D$1=$AN$26,HLOOKUP("kdk dpr",rku_jan_sep,3,FALSE),IF($D$1=$AN$27,HLOOKUP("kdk dpr",rku_jan_okt,3,FALSE),IF($D$1=$AN$28,HLOOKUP("kdk dpr",rku_jan_nov,3,FALSE),0)))))))))))))))))))))))))))</f>
        <v>2483000</v>
      </c>
      <c r="G55" s="84">
        <f>IF($D$1&lt;&gt;"",IF($D$1=$AN$3,HLOOKUP("kdk dpr",rku_01.jan,4,FALSE),IF($D$1=$AN$4,HLOOKUP("kdk dpr",rku_02.feb,4,FALSE),IF($D$1=$AN$5,HLOOKUP("kdk dpr",rku_03.mar,4,FALSE),IF($D$1=$AN$6,HLOOKUP("kdk dpr",rku_04.apr,4,FALSE),IF($D$1=$AN$7,HLOOKUP("kdk dpr",rku_05.mei,4,FALSE),IF($D$1=$AN$8,HLOOKUP("kdk dpr",rku_06.jun,4,FALSE),IF($D$1=$AN$9,HLOOKUP("kdk dpr",rku_07.jul,4,FALSE),IF($D$1=$AN$10,HLOOKUP("kdk dpr",rku_08.ags,4,FALSE),IF($D$1=$AN$11,HLOOKUP("kdk dpr",rku_09.sep,4,FALSE),IF($D$1=$AN$12,HLOOKUP("kdk dpr",rku_10.okt,4,FALSE),IF($D$1=$AN$13,HLOOKUP("kdk dpr",rku_11.nov,4,FALSE),IF($D$1=$AN$14,HLOOKUP("kdk dpr",rku_12.des,4,FALSE),IF($D$1=$AN$15,HLOOKUP("kdk dpr",rku_TW_I,4,FALSE),IF($D$1=$AN$16,HLOOKUP("kdk dpr",rku_TW_II,4,FALSE),IF($D$1=$AN$17,HLOOKUP("kdk dpr",rku_TW_III,4,FALSE),IF($D$1=$AN$18,HLOOKUP("kdk dpr",rku_TW_IV,4,FALSE),IF($D$1=$AN$19,HLOOKUP("kdk dpr",rku_SM_I,4,FALSE),IF($D$1=$AN$20,HLOOKUP("kdk dpr",rku_SM_II,4,FALSE),IF($D$1=$AN$21,HLOOKUP("kdk dpr",rku_2013,4,FALSE),IF($D$1=$AN$22,HLOOKUP("kdk dpr",rku_jan_apr,4,FALSE),IF($D$1=$AN$23,HLOOKUP("kdk dpr",rku_jan_mei,4,FALSE),IF($D$1=$AN$24,HLOOKUP("kdk dpr",rku_jan_jul,4,FALSE),IF($D$1=$AN$25,HLOOKUP("kdk dpr",rku_jan_ags,4,FALSE),IF($D$1=$AN$26,HLOOKUP("kdk dpr",rku_jan_sep,4,FALSE),IF($D$1=$AN$27,HLOOKUP("kdk dpr",rku_jan_okt,4,FALSE),IF($D$1=$AN$28,HLOOKUP("kdk dpr",rku_jan_nov,4,FALSE),0)))))))))))))))))))))))))))</f>
        <v>267200</v>
      </c>
      <c r="H55" s="84">
        <f>IF($D$1&lt;&gt;"",IF($D$1=$AN$3,HLOOKUP("kdk dpr",rku_01.jan,5,FALSE),IF($D$1=$AN$4,HLOOKUP("kdk dpr",rku_02.feb,5,FALSE),IF($D$1=$AN$5,HLOOKUP("kdk dpr",rku_03.mar,5,FALSE),IF($D$1=$AN$6,HLOOKUP("kdk dpr",rku_04.apr,5,FALSE),IF($D$1=$AN$7,HLOOKUP("kdk dpr",rku_05.mei,5,FALSE),IF($D$1=$AN$8,HLOOKUP("kdk dpr",rku_06.jun,5,FALSE),IF($D$1=$AN$9,HLOOKUP("kdk dpr",rku_07.jul,5,FALSE),IF($D$1=$AN$10,HLOOKUP("kdk dpr",rku_08.ags,5,FALSE),IF($D$1=$AN$11,HLOOKUP("kdk dpr",rku_09.sep,5,FALSE),IF($D$1=$AN$12,HLOOKUP("kdk dpr",rku_10.okt,5,FALSE),IF($D$1=$AN$13,HLOOKUP("kdk dpr",rku_11.nov,5,FALSE),IF($D$1=$AN$14,HLOOKUP("kdk dpr",rku_12.des,5,FALSE),IF($D$1=$AN$15,HLOOKUP("kdk dpr",rku_TW_I,5,FALSE),IF($D$1=$AN$16,HLOOKUP("kdk dpr",rku_TW_II,5,FALSE),IF($D$1=$AN$17,HLOOKUP("kdk dpr",rku_TW_III,5,FALSE),IF($D$1=$AN$18,HLOOKUP("kdk dpr",rku_TW_IV,5,FALSE),IF($D$1=$AN$19,HLOOKUP("kdk dpr",rku_SM_I,5,FALSE),IF($D$1=$AN$20,HLOOKUP("kdk dpr",rku_SM_II,5,FALSE),IF($D$1=$AN$21,HLOOKUP("kdk dpr",rku_2013,5,FALSE),IF($D$1=$AN$22,HLOOKUP("kdk dpr",rku_jan_apr,5,FALSE),IF($D$1=$AN$23,HLOOKUP("kdk dpr",rku_jan_mei,5,FALSE),IF($D$1=$AN$24,HLOOKUP("kdk dpr",rku_jan_jul,5,FALSE),IF($D$1=$AN$25,HLOOKUP("kdk dpr",rku_jan_ags,5,FALSE),IF($D$1=$AN$26,HLOOKUP("kdk dpr",rku_jan_sep,5,FALSE),IF($D$1=$AN$27,HLOOKUP("kdk dpr",rku_jan_okt,5,FALSE),IF($D$1=$AN$28,HLOOKUP("kdk dpr",rku_jan_nov,5,FALSE),0)))))))))))))))))))))))))))</f>
        <v>415600</v>
      </c>
      <c r="I55" s="84">
        <f>IF($D$1&lt;&gt;"",IF($D$1=$AN$3,HLOOKUP("kdk dpr",rku_01.jan,6,FALSE),IF($D$1=$AN$4,HLOOKUP("kdk dpr",rku_02.feb,6,FALSE),IF($D$1=$AN$5,HLOOKUP("kdk dpr",rku_03.mar,6,FALSE),IF($D$1=$AN$6,HLOOKUP("kdk dpr",rku_04.apr,6,FALSE),IF($D$1=$AN$7,HLOOKUP("kdk dpr",rku_05.mei,6,FALSE),IF($D$1=$AN$8,HLOOKUP("kdk dpr",rku_06.jun,6,FALSE),IF($D$1=$AN$9,HLOOKUP("kdk dpr",rku_07.jul,6,FALSE),IF($D$1=$AN$10,HLOOKUP("kdk dpr",rku_08.ags,6,FALSE),IF($D$1=$AN$11,HLOOKUP("kdk dpr",rku_09.sep,6,FALSE),IF($D$1=$AN$12,HLOOKUP("kdk dpr",rku_10.okt,6,FALSE),IF($D$1=$AN$13,HLOOKUP("kdk dpr",rku_11.nov,6,FALSE),IF($D$1=$AN$14,HLOOKUP("kdk dpr",rku_12.des,6,FALSE),IF($D$1=$AN$15,HLOOKUP("kdk dpr",rku_TW_I,6,FALSE),IF($D$1=$AN$16,HLOOKUP("kdk dpr",rku_TW_II,6,FALSE),IF($D$1=$AN$17,HLOOKUP("kdk dpr",rku_TW_III,6,FALSE),IF($D$1=$AN$18,HLOOKUP("kdk dpr",rku_TW_IV,6,FALSE),IF($D$1=$AN$19,HLOOKUP("kdk dpr",rku_SM_I,6,FALSE),IF($D$1=$AN$20,HLOOKUP("kdk dpr",rku_SM_II,6,FALSE),IF($D$1=$AN$21,HLOOKUP("kdk dpr",rku_2013,6,FALSE),IF($D$1=$AN$22,HLOOKUP("kdk dpr",rku_jan_apr,6,FALSE),IF($D$1=$AN$23,HLOOKUP("kdk dpr",rku_jan_mei,6,FALSE),IF($D$1=$AN$24,HLOOKUP("kdk dpr",rku_jan_jul,6,FALSE),IF($D$1=$AN$25,HLOOKUP("kdk dpr",rku_jan_ags,6,FALSE),IF($D$1=$AN$26,HLOOKUP("kdk dpr",rku_jan_sep,6,FALSE),IF($D$1=$AN$27,HLOOKUP("kdk dpr",rku_jan_okt,6,FALSE),IF($D$1=$AN$28,HLOOKUP("kdk dpr",rku_jan_nov,6,FALSE),0)))))))))))))))))))))))))))</f>
        <v>220500</v>
      </c>
      <c r="J55" s="84">
        <f>IF($D$1&lt;&gt;"",IF($D$1=$AN$3,HLOOKUP("kdk dpr",rku_01.jan,7,FALSE),IF($D$1=$AN$4,HLOOKUP("kdk dpr",rku_02.feb,7,FALSE),IF($D$1=$AN$5,HLOOKUP("kdk dpr",rku_03.mar,7,FALSE),IF($D$1=$AN$6,HLOOKUP("kdk dpr",rku_04.apr,7,FALSE),IF($D$1=$AN$7,HLOOKUP("kdk dpr",rku_05.mei,7,FALSE),IF($D$1=$AN$8,HLOOKUP("kdk dpr",rku_06.jun,7,FALSE),IF($D$1=$AN$9,HLOOKUP("kdk dpr",rku_07.jul,7,FALSE),IF($D$1=$AN$10,HLOOKUP("kdk dpr",rku_08.ags,7,FALSE),IF($D$1=$AN$11,HLOOKUP("kdk dpr",rku_09.sep,7,FALSE),IF($D$1=$AN$12,HLOOKUP("kdk dpr",rku_10.okt,7,FALSE),IF($D$1=$AN$13,HLOOKUP("kdk dpr",rku_11.nov,7,FALSE),IF($D$1=$AN$14,HLOOKUP("kdk dpr",rku_12.des,7,FALSE),IF($D$1=$AN$15,HLOOKUP("kdk dpr",rku_TW_I,7,FALSE),IF($D$1=$AN$16,HLOOKUP("kdk dpr",rku_TW_II,7,FALSE),IF($D$1=$AN$17,HLOOKUP("kdk dpr",rku_TW_III,7,FALSE),IF($D$1=$AN$18,HLOOKUP("kdk dpr",rku_TW_IV,7,FALSE),IF($D$1=$AN$19,HLOOKUP("kdk dpr",rku_SM_I,7,FALSE),IF($D$1=$AN$20,HLOOKUP("kdk dpr",rku_SM_II,7,FALSE),IF($D$1=$AN$21,HLOOKUP("kdk dpr",rku_2013,7,FALSE),IF($D$1=$AN$22,HLOOKUP("kdk dpr",rku_jan_apr,7,FALSE),IF($D$1=$AN$23,HLOOKUP("kdk dpr",rku_jan_mei,7,FALSE),IF($D$1=$AN$24,HLOOKUP("kdk dpr",rku_jan_jul,7,FALSE),IF($D$1=$AN$25,HLOOKUP("kdk dpr",rku_jan_ags,7,FALSE),IF($D$1=$AN$26,HLOOKUP("kdk dpr",rku_jan_sep,7,FALSE),IF($D$1=$AN$27,HLOOKUP("kdk dpr",rku_jan_okt,7,FALSE),IF($D$1=$AN$28,HLOOKUP("kdk dpr",rku_jan_nov,7,FALSE),0)))))))))))))))))))))))))))</f>
        <v>103040</v>
      </c>
      <c r="K55" s="84">
        <f>IF($D$1&lt;&gt;"",IF($D$1=$AN$3,HLOOKUP("kdk dpr",rku_01.jan,8,FALSE),IF($D$1=$AN$4,HLOOKUP("kdk dpr",rku_02.feb,8,FALSE),IF($D$1=$AN$5,HLOOKUP("kdk dpr",rku_03.mar,8,FALSE),IF($D$1=$AN$6,HLOOKUP("kdk dpr",rku_04.apr,8,FALSE),IF($D$1=$AN$7,HLOOKUP("kdk dpr",rku_05.mei,8,FALSE),IF($D$1=$AN$8,HLOOKUP("kdk dpr",rku_06.jun,8,FALSE),IF($D$1=$AN$9,HLOOKUP("kdk dpr",rku_07.jul,8,FALSE),IF($D$1=$AN$10,HLOOKUP("kdk dpr",rku_08.ags,8,FALSE),IF($D$1=$AN$11,HLOOKUP("kdk dpr",rku_09.sep,8,FALSE),IF($D$1=$AN$12,HLOOKUP("kdk dpr",rku_10.okt,8,FALSE),IF($D$1=$AN$13,HLOOKUP("kdk dpr",rku_11.nov,8,FALSE),IF($D$1=$AN$14,HLOOKUP("kdk dpr",rku_12.des,8,FALSE),IF($D$1=$AN$15,HLOOKUP("kdk dpr",rku_TW_I,8,FALSE),IF($D$1=$AN$16,HLOOKUP("kdk dpr",rku_TW_II,8,FALSE),IF($D$1=$AN$17,HLOOKUP("kdk dpr",rku_TW_III,8,FALSE),IF($D$1=$AN$18,HLOOKUP("kdk dpr",rku_TW_IV,8,FALSE),IF($D$1=$AN$19,HLOOKUP("kdk dpr",rku_SM_I,8,FALSE),IF($D$1=$AN$20,HLOOKUP("kdk dpr",rku_SM_II,8,FALSE),IF($D$1=$AN$21,HLOOKUP("kdk dpr",rku_2013,8,FALSE),IF($D$1=$AN$22,HLOOKUP("kdk dpr",rku_jan_apr,8,FALSE),IF($D$1=$AN$23,HLOOKUP("kdk dpr",rku_jan_mei,8,FALSE),IF($D$1=$AN$24,HLOOKUP("kdk dpr",rku_jan_jul,8,FALSE),IF($D$1=$AN$25,HLOOKUP("kdk dpr",rku_jan_ags,8,FALSE),IF($D$1=$AN$26,HLOOKUP("kdk dpr",rku_jan_sep,8,FALSE),IF($D$1=$AN$27,HLOOKUP("kdk dpr",rku_jan_okt,8,FALSE),IF($D$1=$AN$28,HLOOKUP("kdk dpr",rku_jan_nov,8,FALSE),0)))))))))))))))))))))))))))</f>
        <v>10000</v>
      </c>
      <c r="L55" s="85">
        <f>+SUM(E55:K55)</f>
        <v>8879340</v>
      </c>
      <c r="M55" s="84">
        <f>IF($D$1&lt;&gt;"",IF($D$1=$AN$3,HLOOKUP("kdk dpr",rku_01.jan,10,FALSE),IF($D$1=$AN$4,HLOOKUP("kdk dpr",rku_02.feb,10,FALSE),IF($D$1=$AN$5,HLOOKUP("kdk dpr",rku_03.mar,10,FALSE),IF($D$1=$AN$6,HLOOKUP("kdk dpr",rku_04.apr,10,FALSE),IF($D$1=$AN$7,HLOOKUP("kdk dpr",rku_05.mei,10,FALSE),IF($D$1=$AN$8,HLOOKUP("kdk dpr",rku_06.jun,10,FALSE),IF($D$1=$AN$9,HLOOKUP("kdk dpr",rku_07.jul,10,FALSE),IF($D$1=$AN$10,HLOOKUP("kdk dpr",rku_08.ags,10,FALSE),IF($D$1=$AN$11,HLOOKUP("kdk dpr",rku_09.sep,10,FALSE),IF($D$1=$AN$12,HLOOKUP("kdk dpr",rku_10.okt,10,FALSE),IF($D$1=$AN$13,HLOOKUP("kdk dpr",rku_11.nov,10,FALSE),IF($D$1=$AN$14,HLOOKUP("kdk dpr",rku_12.des,10,FALSE),IF($D$1=$AN$15,HLOOKUP("kdk dpr",rku_TW_I,10,FALSE),IF($D$1=$AN$16,HLOOKUP("kdk dpr",rku_TW_II,10,FALSE),IF($D$1=$AN$17,HLOOKUP("kdk dpr",rku_TW_III,10,FALSE),IF($D$1=$AN$18,HLOOKUP("kdk dpr",rku_TW_IV,10,FALSE),IF($D$1=$AN$19,HLOOKUP("kdk dpr",rku_SM_I,10,FALSE),IF($D$1=$AN$20,HLOOKUP("kdk dpr",rku_SM_II,10,FALSE),IF($D$1=$AN$21,HLOOKUP("kdk dpr",rku_2013,10,FALSE),IF($D$1=$AN$22,HLOOKUP("kdk dpr",rku_jan_apr,10,FALSE),IF($D$1=$AN$23,HLOOKUP("kdk dpr",rku_jan_mei,10,FALSE),IF($D$1=$AN$24,HLOOKUP("kdk dpr",rku_jan_jul,10,FALSE),IF($D$1=$AN$25,HLOOKUP("kdk dpr",rku_jan_ags,10,FALSE),IF($D$1=$AN$26,HLOOKUP("kdk dpr",rku_jan_sep,10,FALSE),IF($D$1=$AN$27,HLOOKUP("kdk dpr",rku_jan_okt,10,FALSE),IF($D$1=$AN$28,HLOOKUP("kdk dpr",rku_jan_nov,10,FALSE),0)))))))))))))))))))))))))))</f>
        <v>25910</v>
      </c>
      <c r="N55" s="84">
        <f>IF($D$1&lt;&gt;"",IF($D$1=$AN$3,HLOOKUP("kdk dpr",rku_01.jan,11,FALSE),IF($D$1=$AN$4,HLOOKUP("kdk dpr",rku_02.feb,11,FALSE),IF($D$1=$AN$5,HLOOKUP("kdk dpr",rku_03.mar,11,FALSE),IF($D$1=$AN$6,HLOOKUP("kdk dpr",rku_04.apr,11,FALSE),IF($D$1=$AN$7,HLOOKUP("kdk dpr",rku_05.mei,11,FALSE),IF($D$1=$AN$8,HLOOKUP("kdk dpr",rku_06.jun,11,FALSE),IF($D$1=$AN$9,HLOOKUP("kdk dpr",rku_07.jul,11,FALSE),IF($D$1=$AN$10,HLOOKUP("kdk dpr",rku_08.ags,11,FALSE),IF($D$1=$AN$11,HLOOKUP("kdk dpr",rku_09.sep,11,FALSE),IF($D$1=$AN$12,HLOOKUP("kdk dpr",rku_10.okt,11,FALSE),IF($D$1=$AN$13,HLOOKUP("kdk dpr",rku_11.nov,11,FALSE),IF($D$1=$AN$14,HLOOKUP("kdk dpr",rku_12.des,11,FALSE),IF($D$1=$AN$15,HLOOKUP("kdk dpr",rku_TW_I,11,FALSE),IF($D$1=$AN$16,HLOOKUP("kdk dpr",rku_TW_II,11,FALSE),IF($D$1=$AN$17,HLOOKUP("kdk dpr",rku_TW_III,11,FALSE),IF($D$1=$AN$18,HLOOKUP("kdk dpr",rku_TW_IV,11,FALSE),IF($D$1=$AN$19,HLOOKUP("kdk dpr",rku_SM_I,11,FALSE),IF($D$1=$AN$20,HLOOKUP("kdk dpr",rku_SM_II,11,FALSE),IF($D$1=$AN$21,HLOOKUP("kdk dpr",rku_2013,11,FALSE),IF($D$1=$AN$22,HLOOKUP("kdk dpr",rku_jan_apr,11,FALSE),IF($D$1=$AN$23,HLOOKUP("kdk dpr",rku_jan_mei,11,FALSE),IF($D$1=$AN$24,HLOOKUP("kdk dpr",rku_jan_jul,11,FALSE),IF($D$1=$AN$25,HLOOKUP("kdk dpr",rku_jan_ags,11,FALSE),IF($D$1=$AN$26,HLOOKUP("kdk dpr",rku_jan_sep,11,FALSE),IF($D$1=$AN$27,HLOOKUP("kdk dpr",rku_jan_okt,11,FALSE),IF($D$1=$AN$28,HLOOKUP("kdk dpr",rku_jan_nov,11,FALSE),0)))))))))))))))))))))))))))</f>
        <v>18172.5</v>
      </c>
      <c r="O55" s="84">
        <f>IF($D$1&lt;&gt;"",IF($D$1=$AN$3,HLOOKUP("kdk dpr",rku_01.jan,12,FALSE),IF($D$1=$AN$4,HLOOKUP("kdk dpr",rku_02.feb,12,FALSE),IF($D$1=$AN$5,HLOOKUP("kdk dpr",rku_03.mar,12,FALSE),IF($D$1=$AN$6,HLOOKUP("kdk dpr",rku_04.apr,12,FALSE),IF($D$1=$AN$7,HLOOKUP("kdk dpr",rku_05.mei,12,FALSE),IF($D$1=$AN$8,HLOOKUP("kdk dpr",rku_06.jun,12,FALSE),IF($D$1=$AN$9,HLOOKUP("kdk dpr",rku_07.jul,12,FALSE),IF($D$1=$AN$10,HLOOKUP("kdk dpr",rku_08.ags,12,FALSE),IF($D$1=$AN$11,HLOOKUP("kdk dpr",rku_09.sep,12,FALSE),IF($D$1=$AN$12,HLOOKUP("kdk dpr",rku_10.okt,12,FALSE),IF($D$1=$AN$13,HLOOKUP("kdk dpr",rku_11.nov,12,FALSE),IF($D$1=$AN$14,HLOOKUP("kdk dpr",rku_12.des,12,FALSE),IF($D$1=$AN$15,HLOOKUP("kdk dpr",rku_TW_I,12,FALSE),IF($D$1=$AN$16,HLOOKUP("kdk dpr",rku_TW_II,12,FALSE),IF($D$1=$AN$17,HLOOKUP("kdk dpr",rku_TW_III,12,FALSE),IF($D$1=$AN$18,HLOOKUP("kdk dpr",rku_TW_IV,12,FALSE),IF($D$1=$AN$19,HLOOKUP("kdk dpr",rku_SM_I,12,FALSE),IF($D$1=$AN$20,HLOOKUP("kdk dpr",rku_SM_II,12,FALSE),IF($D$1=$AN$21,HLOOKUP("kdk dpr",rku_2013,12,FALSE),IF($D$1=$AN$22,HLOOKUP("kdk dpr",rku_jan_apr,12,FALSE),IF($D$1=$AN$23,HLOOKUP("kdk dpr",rku_jan_mei,12,FALSE),IF($D$1=$AN$24,HLOOKUP("kdk dpr",rku_jan_jul,12,FALSE),IF($D$1=$AN$25,HLOOKUP("kdk dpr",rku_jan_ags,12,FALSE),IF($D$1=$AN$26,HLOOKUP("kdk dpr",rku_jan_sep,12,FALSE),IF($D$1=$AN$27,HLOOKUP("kdk dpr",rku_jan_okt,12,FALSE),IF($D$1=$AN$28,HLOOKUP("kdk dpr",rku_jan_nov,12,FALSE),0)))))))))))))))))))))))))))</f>
        <v>3574</v>
      </c>
      <c r="P55" s="84">
        <f>IF($D$1&lt;&gt;"",IF($D$1=$AN$3,HLOOKUP("kdk dpr",rku_01.jan,13,FALSE),IF($D$1=$AN$4,HLOOKUP("kdk dpr",rku_02.feb,13,FALSE),IF($D$1=$AN$5,HLOOKUP("kdk dpr",rku_03.mar,13,FALSE),IF($D$1=$AN$6,HLOOKUP("kdk dpr",rku_04.apr,13,FALSE),IF($D$1=$AN$7,HLOOKUP("kdk dpr",rku_05.mei,13,FALSE),IF($D$1=$AN$8,HLOOKUP("kdk dpr",rku_06.jun,13,FALSE),IF($D$1=$AN$9,HLOOKUP("kdk dpr",rku_07.jul,13,FALSE),IF($D$1=$AN$10,HLOOKUP("kdk dpr",rku_08.ags,13,FALSE),IF($D$1=$AN$11,HLOOKUP("kdk dpr",rku_09.sep,13,FALSE),IF($D$1=$AN$12,HLOOKUP("kdk dpr",rku_10.okt,13,FALSE),IF($D$1=$AN$13,HLOOKUP("kdk dpr",rku_11.nov,13,FALSE),IF($D$1=$AN$14,HLOOKUP("kdk dpr",rku_12.des,13,FALSE),IF($D$1=$AN$15,HLOOKUP("kdk dpr",rku_TW_I,13,FALSE),IF($D$1=$AN$16,HLOOKUP("kdk dpr",rku_TW_II,13,FALSE),IF($D$1=$AN$17,HLOOKUP("kdk dpr",rku_TW_III,13,FALSE),IF($D$1=$AN$18,HLOOKUP("kdk dpr",rku_TW_IV,13,FALSE),IF($D$1=$AN$19,HLOOKUP("kdk dpr",rku_SM_I,13,FALSE),IF($D$1=$AN$20,HLOOKUP("kdk dpr",rku_SM_II,13,FALSE),IF($D$1=$AN$21,HLOOKUP("kdk dpr",rku_2013,13,FALSE),IF($D$1=$AN$22,HLOOKUP("kdk dpr",rku_jan_apr,13,FALSE),IF($D$1=$AN$23,HLOOKUP("kdk dpr",rku_jan_mei,13,FALSE),IF($D$1=$AN$24,HLOOKUP("kdk dpr",rku_jan_jul,13,FALSE),IF($D$1=$AN$25,HLOOKUP("kdk dpr",rku_jan_ags,13,FALSE),IF($D$1=$AN$26,HLOOKUP("kdk dpr",rku_jan_sep,13,FALSE),IF($D$1=$AN$27,HLOOKUP("kdk dpr",rku_jan_okt,13,FALSE),IF($D$1=$AN$28,HLOOKUP("kdk dpr",rku_jan_nov,13,FALSE),0)))))))))))))))))))))))))))</f>
        <v>2236</v>
      </c>
      <c r="Q55" s="84">
        <f>IF($D$1&lt;&gt;"",IF($D$1=$AN$3,HLOOKUP("kdk dpr",rku_01.jan,14,FALSE),IF($D$1=$AN$4,HLOOKUP("kdk dpr",rku_02.feb,14,FALSE),IF($D$1=$AN$5,HLOOKUP("kdk dpr",rku_03.mar,14,FALSE),IF($D$1=$AN$6,HLOOKUP("kdk dpr",rku_04.apr,14,FALSE),IF($D$1=$AN$7,HLOOKUP("kdk dpr",rku_05.mei,14,FALSE),IF($D$1=$AN$8,HLOOKUP("kdk dpr",rku_06.jun,14,FALSE),IF($D$1=$AN$9,HLOOKUP("kdk dpr",rku_07.jul,14,FALSE),IF($D$1=$AN$10,HLOOKUP("kdk dpr",rku_08.ags,14,FALSE),IF($D$1=$AN$11,HLOOKUP("kdk dpr",rku_09.sep,14,FALSE),IF($D$1=$AN$12,HLOOKUP("kdk dpr",rku_10.okt,14,FALSE),IF($D$1=$AN$13,HLOOKUP("kdk dpr",rku_11.nov,14,FALSE),IF($D$1=$AN$14,HLOOKUP("kdk dpr",rku_12.des,14,FALSE),IF($D$1=$AN$15,HLOOKUP("kdk dpr",rku_TW_I,14,FALSE),IF($D$1=$AN$16,HLOOKUP("kdk dpr",rku_TW_II,14,FALSE),IF($D$1=$AN$17,HLOOKUP("kdk dpr",rku_TW_III,14,FALSE),IF($D$1=$AN$18,HLOOKUP("kdk dpr",rku_TW_IV,14,FALSE),IF($D$1=$AN$19,HLOOKUP("kdk dpr",rku_SM_I,14,FALSE),IF($D$1=$AN$20,HLOOKUP("kdk dpr",rku_SM_II,14,FALSE),IF($D$1=$AN$21,HLOOKUP("kdk dpr",rku_2013,14,FALSE),IF($D$1=$AN$22,HLOOKUP("kdk dpr",rku_jan_apr,14,FALSE),IF($D$1=$AN$23,HLOOKUP("kdk dpr",rku_jan_mei,14,FALSE),IF($D$1=$AN$24,HLOOKUP("kdk dpr",rku_jan_jul,14,FALSE),IF($D$1=$AN$25,HLOOKUP("kdk dpr",rku_jan_ags,14,FALSE),IF($D$1=$AN$26,HLOOKUP("kdk dpr",rku_jan_sep,14,FALSE),IF($D$1=$AN$27,HLOOKUP("kdk dpr",rku_jan_okt,14,FALSE),IF($D$1=$AN$28,HLOOKUP("kdk dpr",rku_jan_nov,14,FALSE),0)))))))))))))))))))))))))))</f>
        <v>500</v>
      </c>
      <c r="R55" s="85">
        <f>+SUM(M55:Q55)</f>
        <v>50392.5</v>
      </c>
      <c r="S55" s="84">
        <f>+R55+L55</f>
        <v>8929732.5</v>
      </c>
      <c r="U55" s="81">
        <v>10</v>
      </c>
      <c r="V55" s="81" t="s">
        <v>210</v>
      </c>
      <c r="W55" s="83" t="s">
        <v>180</v>
      </c>
      <c r="X55" s="84">
        <f t="shared" ref="X55:AD56" si="71">E55/X$100</f>
        <v>2690</v>
      </c>
      <c r="Y55" s="84">
        <f t="shared" si="71"/>
        <v>2483</v>
      </c>
      <c r="Z55" s="84">
        <f t="shared" si="71"/>
        <v>668</v>
      </c>
      <c r="AA55" s="84">
        <f t="shared" si="71"/>
        <v>2078</v>
      </c>
      <c r="AB55" s="84">
        <f t="shared" si="71"/>
        <v>2205</v>
      </c>
      <c r="AC55" s="84">
        <f t="shared" si="71"/>
        <v>2576</v>
      </c>
      <c r="AD55" s="84">
        <f t="shared" si="71"/>
        <v>500</v>
      </c>
      <c r="AE55" s="85">
        <f>+SUM(X55:AD55)</f>
        <v>13200</v>
      </c>
      <c r="AF55" s="84">
        <f t="shared" ref="AF55:AJ56" si="72">M55/AF$100</f>
        <v>5182</v>
      </c>
      <c r="AG55" s="84">
        <f t="shared" si="72"/>
        <v>7269</v>
      </c>
      <c r="AH55" s="84">
        <f t="shared" si="72"/>
        <v>1787</v>
      </c>
      <c r="AI55" s="84">
        <f t="shared" si="72"/>
        <v>2236</v>
      </c>
      <c r="AJ55" s="84">
        <f t="shared" si="72"/>
        <v>500</v>
      </c>
      <c r="AK55" s="85">
        <f>+SUM(AF55:AJ55)</f>
        <v>16974</v>
      </c>
      <c r="AL55" s="84">
        <f>+AK55+AE55</f>
        <v>30174</v>
      </c>
    </row>
    <row r="56" spans="2:39" ht="14.25" x14ac:dyDescent="0.2">
      <c r="B56" s="86"/>
      <c r="C56" s="86"/>
      <c r="D56" s="87" t="s">
        <v>182</v>
      </c>
      <c r="E56" s="88">
        <f>IF($D$1&lt;&gt;"",IF($D$1=$AN$3,HLOOKUP("kdk dpr",real_rku_01.jan,2,FALSE),IF($D$1=$AN$4,HLOOKUP("kdk dpr",real_rku_02.feb,2,FALSE),IF($D$1=$AN$5,HLOOKUP("kdk dpr",real_rku_03.mar,2,FALSE),IF($D$1=$AN$6,HLOOKUP("kdk dpr",real_rku_04.apr,2,FALSE),IF($D$1=$AN$7,HLOOKUP("kdk dpr",real_rku_05.mei,2,FALSE),IF($D$1=$AN$8,HLOOKUP("kdk dpr",real_rku_06.jun,2,FALSE),IF($D$1=$AN$9,HLOOKUP("kdk dpr",real_rku_07.jul,2,FALSE),IF($D$1=$AN$10,HLOOKUP("kdk dpr",real_rku_08.ags,2,FALSE),IF($D$1=$AN$11,HLOOKUP("kdk dpr",real_rku_09.sep,2,FALSE),IF($D$1=$AN$12,HLOOKUP("kdk dpr",real_rku_10.okt,2,FALSE),IF($D$1=$AN$13,HLOOKUP("kdk dpr",real_rku_11.nov,2,FALSE),IF($D$1=$AN$14,HLOOKUP("kdk dpr",real_rku_12.des,2,FALSE),IF($D$1=$AN$15,HLOOKUP("kdk dpr",real_rku_TW_I,2,FALSE),IF($D$1=$AN$16,HLOOKUP("kdk dpr",real_rku_TW_II,2,FALSE),IF($D$1=$AN$17,HLOOKUP("kdk dpr",real_rku_TW_III,2,FALSE),IF($D$1=$AN$18,HLOOKUP("kdk dpr",real_rku_TW_IV,2,FALSE),IF($D$1=$AN$19,HLOOKUP("kdk dpr",real_rku_SM_I,2,FALSE),IF($D$1=$AN$20,HLOOKUP("kdk dpr",real_rku_SM_II,2,FALSE),IF($D$1=$AN$21,HLOOKUP("kdk dpr",real_rku_2013,2,FALSE),IF($D$1=$AN$22,HLOOKUP("kdk dpr",real_rku_jan_apr,2,FALSE),IF($D$1=$AN$23,HLOOKUP("kdk dpr",real_rku_jan_mei,2,FALSE),IF($D$1=$AN$24,HLOOKUP("kdk dpr",real_rku_jan_jul,2,FALSE),IF($D$1=$AN$25,HLOOKUP("kdk dpr",real_rku_jan_ags,2,FALSE),IF($D$1=$AN$26,HLOOKUP("kdk dpr",real_rku_jan_sep,2,FALSE),IF($D$1=$AN$27,HLOOKUP("kdk dpr",real_rku_jan_okt,2,FALSE),IF($D$1=$AN$28,HLOOKUP("kdk dpr",real_rku_jan_nov,2,FALSE),0)))))))))))))))))))))))))))</f>
        <v>5000000</v>
      </c>
      <c r="F56" s="88">
        <f>IF($D$1&lt;&gt;"",IF($D$1=$AN$3,HLOOKUP("kdk dpr",real_rku_01.jan,3,FALSE),IF($D$1=$AN$4,HLOOKUP("kdk dpr",real_rku_02.feb,3,FALSE),IF($D$1=$AN$5,HLOOKUP("kdk dpr",real_rku_03.mar,3,FALSE),IF($D$1=$AN$6,HLOOKUP("kdk dpr",real_rku_04.apr,3,FALSE),IF($D$1=$AN$7,HLOOKUP("kdk dpr",real_rku_05.mei,3,FALSE),IF($D$1=$AN$8,HLOOKUP("kdk dpr",real_rku_06.jun,3,FALSE),IF($D$1=$AN$9,HLOOKUP("kdk dpr",real_rku_07.jul,3,FALSE),IF($D$1=$AN$10,HLOOKUP("kdk dpr",real_rku_08.ags,3,FALSE),IF($D$1=$AN$11,HLOOKUP("kdk dpr",real_rku_09.sep,3,FALSE),IF($D$1=$AN$12,HLOOKUP("kdk dpr",real_rku_10.okt,3,FALSE),IF($D$1=$AN$13,HLOOKUP("kdk dpr",real_rku_11.nov,3,FALSE),IF($D$1=$AN$14,HLOOKUP("kdk dpr",real_rku_12.des,3,FALSE),IF($D$1=$AN$15,HLOOKUP("kdk dpr",real_rku_TW_I,3,FALSE),IF($D$1=$AN$16,HLOOKUP("kdk dpr",real_rku_TW_II,3,FALSE),IF($D$1=$AN$17,HLOOKUP("kdk dpr",real_rku_TW_III,3,FALSE),IF($D$1=$AN$18,HLOOKUP("kdk dpr",real_rku_TW_IV,3,FALSE),IF($D$1=$AN$19,HLOOKUP("kdk dpr",real_rku_SM_I,3,FALSE),IF($D$1=$AN$20,HLOOKUP("kdk dpr",real_rku_SM_II,3,FALSE),IF($D$1=$AN$21,HLOOKUP("kdk dpr",real_rku_2013,3,FALSE),IF($D$1=$AN$22,HLOOKUP("kdk dpr",real_rku_jan_apr,3,FALSE),IF($D$1=$AN$23,HLOOKUP("kdk dpr",real_rku_jan_mei,3,FALSE),IF($D$1=$AN$24,HLOOKUP("kdk dpr",real_rku_jan_jul,3,FALSE),IF($D$1=$AN$25,HLOOKUP("kdk dpr",real_rku_jan_ags,3,FALSE),IF($D$1=$AN$26,HLOOKUP("kdk dpr",real_rku_jan_sep,3,FALSE),IF($D$1=$AN$27,HLOOKUP("kdk dpr",real_rku_jan_okt,3,FALSE),IF($D$1=$AN$28,HLOOKUP("kdk dpr",real_rku_jan_nov,3,FALSE),0)))))))))))))))))))))))))))</f>
        <v>2640000</v>
      </c>
      <c r="G56" s="88">
        <f>IF($D$1&lt;&gt;"",IF($D$1=$AN$3,HLOOKUP("kdk dpr",real_rku_01.jan,4,FALSE),IF($D$1=$AN$4,HLOOKUP("kdk dpr",real_rku_02.feb,4,FALSE),IF($D$1=$AN$5,HLOOKUP("kdk dpr",real_rku_03.mar,4,FALSE),IF($D$1=$AN$6,HLOOKUP("kdk dpr",real_rku_04.apr,4,FALSE),IF($D$1=$AN$7,HLOOKUP("kdk dpr",real_rku_05.mei,4,FALSE),IF($D$1=$AN$8,HLOOKUP("kdk dpr",real_rku_06.jun,4,FALSE),IF($D$1=$AN$9,HLOOKUP("kdk dpr",real_rku_07.jul,4,FALSE),IF($D$1=$AN$10,HLOOKUP("kdk dpr",real_rku_08.ags,4,FALSE),IF($D$1=$AN$11,HLOOKUP("kdk dpr",real_rku_09.sep,4,FALSE),IF($D$1=$AN$12,HLOOKUP("kdk dpr",real_rku_10.okt,4,FALSE),IF($D$1=$AN$13,HLOOKUP("kdk dpr",real_rku_11.nov,4,FALSE),IF($D$1=$AN$14,HLOOKUP("kdk dpr",real_rku_12.des,4,FALSE),IF($D$1=$AN$15,HLOOKUP("kdk dpr",real_rku_TW_I,4,FALSE),IF($D$1=$AN$16,HLOOKUP("kdk dpr",real_rku_TW_II,4,FALSE),IF($D$1=$AN$17,HLOOKUP("kdk dpr",real_rku_TW_III,4,FALSE),IF($D$1=$AN$18,HLOOKUP("kdk dpr",real_rku_TW_IV,4,FALSE),IF($D$1=$AN$19,HLOOKUP("kdk dpr",real_rku_SM_I,4,FALSE),IF($D$1=$AN$20,HLOOKUP("kdk dpr",real_rku_SM_II,4,FALSE),IF($D$1=$AN$21,HLOOKUP("kdk dpr",real_rku_2013,4,FALSE),IF($D$1=$AN$22,HLOOKUP("kdk dpr",real_rku_jan_apr,4,FALSE),IF($D$1=$AN$23,HLOOKUP("kdk dpr",real_rku_jan_mei,4,FALSE),IF($D$1=$AN$24,HLOOKUP("kdk dpr",real_rku_jan_jul,4,FALSE),IF($D$1=$AN$25,HLOOKUP("kdk dpr",real_rku_jan_ags,4,FALSE),IF($D$1=$AN$26,HLOOKUP("kdk dpr",real_rku_jan_sep,4,FALSE),IF($D$1=$AN$27,HLOOKUP("kdk dpr",real_rku_jan_okt,4,FALSE),IF($D$1=$AN$28,HLOOKUP("kdk dpr",real_rku_jan_nov,4,FALSE),0)))))))))))))))))))))))))))</f>
        <v>360000</v>
      </c>
      <c r="H56" s="88">
        <f>IF($D$1&lt;&gt;"",IF($D$1=$AN$3,HLOOKUP("kdk dpr",real_rku_01.jan,5,FALSE),IF($D$1=$AN$4,HLOOKUP("kdk dpr",real_rku_02.feb,5,FALSE),IF($D$1=$AN$5,HLOOKUP("kdk dpr",real_rku_03.mar,5,FALSE),IF($D$1=$AN$6,HLOOKUP("kdk dpr",real_rku_04.apr,5,FALSE),IF($D$1=$AN$7,HLOOKUP("kdk dpr",real_rku_05.mei,5,FALSE),IF($D$1=$AN$8,HLOOKUP("kdk dpr",real_rku_06.jun,5,FALSE),IF($D$1=$AN$9,HLOOKUP("kdk dpr",real_rku_07.jul,5,FALSE),IF($D$1=$AN$10,HLOOKUP("kdk dpr",real_rku_08.ags,5,FALSE),IF($D$1=$AN$11,HLOOKUP("kdk dpr",real_rku_09.sep,5,FALSE),IF($D$1=$AN$12,HLOOKUP("kdk dpr",real_rku_10.okt,5,FALSE),IF($D$1=$AN$13,HLOOKUP("kdk dpr",real_rku_11.nov,5,FALSE),IF($D$1=$AN$14,HLOOKUP("kdk dpr",real_rku_12.des,5,FALSE),IF($D$1=$AN$15,HLOOKUP("kdk dpr",real_rku_TW_I,5,FALSE),IF($D$1=$AN$16,HLOOKUP("kdk dpr",real_rku_TW_II,5,FALSE),IF($D$1=$AN$17,HLOOKUP("kdk dpr",real_rku_TW_III,5,FALSE),IF($D$1=$AN$18,HLOOKUP("kdk dpr",real_rku_TW_IV,5,FALSE),IF($D$1=$AN$19,HLOOKUP("kdk dpr",real_rku_SM_I,5,FALSE),IF($D$1=$AN$20,HLOOKUP("kdk dpr",real_rku_SM_II,5,FALSE),IF($D$1=$AN$21,HLOOKUP("kdk dpr",real_rku_2013,5,FALSE),IF($D$1=$AN$22,HLOOKUP("kdk dpr",real_rku_jan_apr,5,FALSE),IF($D$1=$AN$23,HLOOKUP("kdk dpr",real_rku_jan_mei,5,FALSE),IF($D$1=$AN$24,HLOOKUP("kdk dpr",real_rku_jan_jul,5,FALSE),IF($D$1=$AN$25,HLOOKUP("kdk dpr",real_rku_jan_ags,5,FALSE),IF($D$1=$AN$26,HLOOKUP("kdk dpr",real_rku_jan_sep,5,FALSE),IF($D$1=$AN$27,HLOOKUP("kdk dpr",real_rku_jan_okt,5,FALSE),IF($D$1=$AN$28,HLOOKUP("kdk dpr",real_rku_jan_nov,5,FALSE),0)))))))))))))))))))))))))))</f>
        <v>480000</v>
      </c>
      <c r="I56" s="88">
        <f>IF($D$1&lt;&gt;"",IF($D$1=$AN$3,HLOOKUP("kdk dpr",real_rku_01.jan,6,FALSE),IF($D$1=$AN$4,HLOOKUP("kdk dpr",real_rku_02.feb,6,FALSE),IF($D$1=$AN$5,HLOOKUP("kdk dpr",real_rku_03.mar,6,FALSE),IF($D$1=$AN$6,HLOOKUP("kdk dpr",real_rku_04.apr,6,FALSE),IF($D$1=$AN$7,HLOOKUP("kdk dpr",real_rku_05.mei,6,FALSE),IF($D$1=$AN$8,HLOOKUP("kdk dpr",real_rku_06.jun,6,FALSE),IF($D$1=$AN$9,HLOOKUP("kdk dpr",real_rku_07.jul,6,FALSE),IF($D$1=$AN$10,HLOOKUP("kdk dpr",real_rku_08.ags,6,FALSE),IF($D$1=$AN$11,HLOOKUP("kdk dpr",real_rku_09.sep,6,FALSE),IF($D$1=$AN$12,HLOOKUP("kdk dpr",real_rku_10.okt,6,FALSE),IF($D$1=$AN$13,HLOOKUP("kdk dpr",real_rku_11.nov,6,FALSE),IF($D$1=$AN$14,HLOOKUP("kdk dpr",real_rku_12.des,6,FALSE),IF($D$1=$AN$15,HLOOKUP("kdk dpr",real_rku_TW_I,6,FALSE),IF($D$1=$AN$16,HLOOKUP("kdk dpr",real_rku_TW_II,6,FALSE),IF($D$1=$AN$17,HLOOKUP("kdk dpr",real_rku_TW_III,6,FALSE),IF($D$1=$AN$18,HLOOKUP("kdk dpr",real_rku_TW_IV,6,FALSE),IF($D$1=$AN$19,HLOOKUP("kdk dpr",real_rku_SM_I,6,FALSE),IF($D$1=$AN$20,HLOOKUP("kdk dpr",real_rku_SM_II,6,FALSE),IF($D$1=$AN$21,HLOOKUP("kdk dpr",real_rku_2013,6,FALSE),IF($D$1=$AN$22,HLOOKUP("kdk dpr",real_rku_jan_apr,6,FALSE),IF($D$1=$AN$23,HLOOKUP("kdk dpr",real_rku_jan_mei,6,FALSE),IF($D$1=$AN$24,HLOOKUP("kdk dpr",real_rku_jan_jul,6,FALSE),IF($D$1=$AN$25,HLOOKUP("kdk dpr",real_rku_jan_ags,6,FALSE),IF($D$1=$AN$26,HLOOKUP("kdk dpr",real_rku_jan_sep,6,FALSE),IF($D$1=$AN$27,HLOOKUP("kdk dpr",real_rku_jan_okt,6,FALSE),IF($D$1=$AN$28,HLOOKUP("kdk dpr",real_rku_jan_nov,6,FALSE),0)))))))))))))))))))))))))))</f>
        <v>260000</v>
      </c>
      <c r="J56" s="88">
        <f>IF($D$1&lt;&gt;"",IF($D$1=$AN$3,HLOOKUP("kdk dpr",real_rku_01.jan,7,FALSE),IF($D$1=$AN$4,HLOOKUP("kdk dpr",real_rku_02.feb,7,FALSE),IF($D$1=$AN$5,HLOOKUP("kdk dpr",real_rku_03.mar,7,FALSE),IF($D$1=$AN$6,HLOOKUP("kdk dpr",real_rku_04.apr,7,FALSE),IF($D$1=$AN$7,HLOOKUP("kdk dpr",real_rku_05.mei,7,FALSE),IF($D$1=$AN$8,HLOOKUP("kdk dpr",real_rku_06.jun,7,FALSE),IF($D$1=$AN$9,HLOOKUP("kdk dpr",real_rku_07.jul,7,FALSE),IF($D$1=$AN$10,HLOOKUP("kdk dpr",real_rku_08.ags,7,FALSE),IF($D$1=$AN$11,HLOOKUP("kdk dpr",real_rku_09.sep,7,FALSE),IF($D$1=$AN$12,HLOOKUP("kdk dpr",real_rku_10.okt,7,FALSE),IF($D$1=$AN$13,HLOOKUP("kdk dpr",real_rku_11.nov,7,FALSE),IF($D$1=$AN$14,HLOOKUP("kdk dpr",real_rku_12.des,7,FALSE),IF($D$1=$AN$15,HLOOKUP("kdk dpr",real_rku_TW_I,7,FALSE),IF($D$1=$AN$16,HLOOKUP("kdk dpr",real_rku_TW_II,7,FALSE),IF($D$1=$AN$17,HLOOKUP("kdk dpr",real_rku_TW_III,7,FALSE),IF($D$1=$AN$18,HLOOKUP("kdk dpr",real_rku_TW_IV,7,FALSE),IF($D$1=$AN$19,HLOOKUP("kdk dpr",real_rku_SM_I,7,FALSE),IF($D$1=$AN$20,HLOOKUP("kdk dpr",real_rku_SM_II,7,FALSE),IF($D$1=$AN$21,HLOOKUP("kdk dpr",real_rku_2013,7,FALSE),IF($D$1=$AN$22,HLOOKUP("kdk dpr",real_rku_jan_apr,7,FALSE),IF($D$1=$AN$23,HLOOKUP("kdk dpr",real_rku_jan_mei,7,FALSE),IF($D$1=$AN$24,HLOOKUP("kdk dpr",real_rku_jan_jul,7,FALSE),IF($D$1=$AN$25,HLOOKUP("kdk dpr",real_rku_jan_ags,7,FALSE),IF($D$1=$AN$26,HLOOKUP("kdk dpr",real_rku_jan_sep,7,FALSE),IF($D$1=$AN$27,HLOOKUP("kdk dpr",real_rku_jan_okt,7,FALSE),IF($D$1=$AN$28,HLOOKUP("kdk dpr",real_rku_jan_nov,7,FALSE),0)))))))))))))))))))))))))))</f>
        <v>134000</v>
      </c>
      <c r="K56" s="88">
        <f>IF($D$1&lt;&gt;"",IF($D$1=$AN$3,HLOOKUP("kdk dpr",real_rku_01.jan,8,FALSE),IF($D$1=$AN$4,HLOOKUP("kdk dpr",real_rku_02.feb,8,FALSE),IF($D$1=$AN$5,HLOOKUP("kdk dpr",real_rku_03.mar,8,FALSE),IF($D$1=$AN$6,HLOOKUP("kdk dpr",real_rku_04.apr,8,FALSE),IF($D$1=$AN$7,HLOOKUP("kdk dpr",real_rku_05.mei,8,FALSE),IF($D$1=$AN$8,HLOOKUP("kdk dpr",real_rku_06.jun,8,FALSE),IF($D$1=$AN$9,HLOOKUP("kdk dpr",real_rku_07.jul,8,FALSE),IF($D$1=$AN$10,HLOOKUP("kdk dpr",real_rku_08.ags,8,FALSE),IF($D$1=$AN$11,HLOOKUP("kdk dpr",real_rku_09.sep,8,FALSE),IF($D$1=$AN$12,HLOOKUP("kdk dpr",real_rku_10.okt,8,FALSE),IF($D$1=$AN$13,HLOOKUP("kdk dpr",real_rku_11.nov,8,FALSE),IF($D$1=$AN$14,HLOOKUP("kdk dpr",real_rku_12.des,8,FALSE),IF($D$1=$AN$15,HLOOKUP("kdk dpr",real_rku_TW_I,8,FALSE),IF($D$1=$AN$16,HLOOKUP("kdk dpr",real_rku_TW_II,8,FALSE),IF($D$1=$AN$17,HLOOKUP("kdk dpr",real_rku_TW_III,8,FALSE),IF($D$1=$AN$18,HLOOKUP("kdk dpr",real_rku_TW_IV,8,FALSE),IF($D$1=$AN$19,HLOOKUP("kdk dpr",real_rku_SM_I,8,FALSE),IF($D$1=$AN$20,HLOOKUP("kdk dpr",real_rku_SM_II,8,FALSE),IF($D$1=$AN$21,HLOOKUP("kdk dpr",real_rku_2013,8,FALSE),IF($D$1=$AN$22,HLOOKUP("kdk dpr",real_rku_jan_apr,8,FALSE),IF($D$1=$AN$23,HLOOKUP("kdk dpr",real_rku_jan_mei,8,FALSE),IF($D$1=$AN$24,HLOOKUP("kdk dpr",real_rku_jan_jul,8,FALSE),IF($D$1=$AN$25,HLOOKUP("kdk dpr",real_rku_jan_ags,8,FALSE),IF($D$1=$AN$26,HLOOKUP("kdk dpr",real_rku_jan_sep,8,FALSE),IF($D$1=$AN$27,HLOOKUP("kdk dpr",real_rku_jan_okt,8,FALSE),IF($D$1=$AN$28,HLOOKUP("kdk dpr",real_rku_jan_nov,8,FALSE),0)))))))))))))))))))))))))))</f>
        <v>10000</v>
      </c>
      <c r="L56" s="89">
        <f>+SUM(E56:K56)</f>
        <v>8884000</v>
      </c>
      <c r="M56" s="88">
        <f>IF($D$1&lt;&gt;"",IF($D$1=$AN$3,HLOOKUP("kdk dpr",real_rku_01.jan,10,FALSE),IF($D$1=$AN$4,HLOOKUP("kdk dpr",real_rku_02.feb,10,FALSE),IF($D$1=$AN$5,HLOOKUP("kdk dpr",real_rku_03.mar,10,FALSE),IF($D$1=$AN$6,HLOOKUP("kdk dpr",real_rku_04.apr,10,FALSE),IF($D$1=$AN$7,HLOOKUP("kdk dpr",real_rku_05.mei,10,FALSE),IF($D$1=$AN$8,HLOOKUP("kdk dpr",real_rku_06.jun,10,FALSE),IF($D$1=$AN$9,HLOOKUP("kdk dpr",real_rku_07.jul,10,FALSE),IF($D$1=$AN$10,HLOOKUP("kdk dpr",real_rku_08.ags,10,FALSE),IF($D$1=$AN$11,HLOOKUP("kdk dpr",real_rku_09.sep,10,FALSE),IF($D$1=$AN$12,HLOOKUP("kdk dpr",real_rku_10.okt,10,FALSE),IF($D$1=$AN$13,HLOOKUP("kdk dpr",real_rku_11.nov,10,FALSE),IF($D$1=$AN$14,HLOOKUP("kdk dpr",real_rku_12.des,10,FALSE),IF($D$1=$AN$15,HLOOKUP("kdk dpr",real_rku_TW_I,10,FALSE),IF($D$1=$AN$16,HLOOKUP("kdk dpr",real_rku_TW_II,10,FALSE),IF($D$1=$AN$17,HLOOKUP("kdk dpr",real_rku_TW_III,10,FALSE),IF($D$1=$AN$18,HLOOKUP("kdk dpr",real_rku_TW_IV,10,FALSE),IF($D$1=$AN$19,HLOOKUP("kdk dpr",real_rku_SM_I,10,FALSE),IF($D$1=$AN$20,HLOOKUP("kdk dpr",real_rku_SM_II,10,FALSE),IF($D$1=$AN$21,HLOOKUP("kdk dpr",real_rku_2013,10,FALSE),IF($D$1=$AN$22,HLOOKUP("kdk dpr",real_rku_jan_apr,10,FALSE),IF($D$1=$AN$23,HLOOKUP("kdk dpr",real_rku_jan_mei,10,FALSE),IF($D$1=$AN$24,HLOOKUP("kdk dpr",real_rku_jan_jul,10,FALSE),IF($D$1=$AN$25,HLOOKUP("kdk dpr",real_rku_jan_ags,10,FALSE),IF($D$1=$AN$26,HLOOKUP("kdk dpr",real_rku_jan_sep,10,FALSE),IF($D$1=$AN$27,HLOOKUP("kdk dpr",real_rku_jan_okt,10,FALSE),IF($D$1=$AN$28,HLOOKUP("kdk dpr",real_rku_jan_nov,10,FALSE),0)))))))))))))))))))))))))))</f>
        <v>22500</v>
      </c>
      <c r="N56" s="88">
        <f>IF($D$1&lt;&gt;"",IF($D$1=$AN$3,HLOOKUP("kdk dpr",real_rku_01.jan,11,FALSE),IF($D$1=$AN$4,HLOOKUP("kdk dpr",real_rku_02.feb,11,FALSE),IF($D$1=$AN$5,HLOOKUP("kdk dpr",real_rku_03.mar,11,FALSE),IF($D$1=$AN$6,HLOOKUP("kdk dpr",real_rku_04.apr,11,FALSE),IF($D$1=$AN$7,HLOOKUP("kdk dpr",real_rku_05.mei,11,FALSE),IF($D$1=$AN$8,HLOOKUP("kdk dpr",real_rku_06.jun,11,FALSE),IF($D$1=$AN$9,HLOOKUP("kdk dpr",real_rku_07.jul,11,FALSE),IF($D$1=$AN$10,HLOOKUP("kdk dpr",real_rku_08.ags,11,FALSE),IF($D$1=$AN$11,HLOOKUP("kdk dpr",real_rku_09.sep,11,FALSE),IF($D$1=$AN$12,HLOOKUP("kdk dpr",real_rku_10.okt,11,FALSE),IF($D$1=$AN$13,HLOOKUP("kdk dpr",real_rku_11.nov,11,FALSE),IF($D$1=$AN$14,HLOOKUP("kdk dpr",real_rku_12.des,11,FALSE),IF($D$1=$AN$15,HLOOKUP("kdk dpr",real_rku_TW_I,11,FALSE),IF($D$1=$AN$16,HLOOKUP("kdk dpr",real_rku_TW_II,11,FALSE),IF($D$1=$AN$17,HLOOKUP("kdk dpr",real_rku_TW_III,11,FALSE),IF($D$1=$AN$18,HLOOKUP("kdk dpr",real_rku_TW_IV,11,FALSE),IF($D$1=$AN$19,HLOOKUP("kdk dpr",real_rku_SM_I,11,FALSE),IF($D$1=$AN$20,HLOOKUP("kdk dpr",real_rku_SM_II,11,FALSE),IF($D$1=$AN$21,HLOOKUP("kdk dpr",real_rku_2013,11,FALSE),IF($D$1=$AN$22,HLOOKUP("kdk dpr",real_rku_jan_apr,11,FALSE),IF($D$1=$AN$23,HLOOKUP("kdk dpr",real_rku_jan_mei,11,FALSE),IF($D$1=$AN$24,HLOOKUP("kdk dpr",real_rku_jan_jul,11,FALSE),IF($D$1=$AN$25,HLOOKUP("kdk dpr",real_rku_jan_ags,11,FALSE),IF($D$1=$AN$26,HLOOKUP("kdk dpr",real_rku_jan_sep,11,FALSE),IF($D$1=$AN$27,HLOOKUP("kdk dpr",real_rku_jan_okt,11,FALSE),IF($D$1=$AN$28,HLOOKUP("kdk dpr",real_rku_jan_nov,11,FALSE),0)))))))))))))))))))))))))))</f>
        <v>15375</v>
      </c>
      <c r="O56" s="88">
        <f>IF($D$1&lt;&gt;"",IF($D$1=$AN$3,HLOOKUP("kdk dpr",real_rku_01.jan,12,FALSE),IF($D$1=$AN$4,HLOOKUP("kdk dpr",real_rku_02.feb,12,FALSE),IF($D$1=$AN$5,HLOOKUP("kdk dpr",real_rku_03.mar,12,FALSE),IF($D$1=$AN$6,HLOOKUP("kdk dpr",real_rku_04.apr,12,FALSE),IF($D$1=$AN$7,HLOOKUP("kdk dpr",real_rku_05.mei,12,FALSE),IF($D$1=$AN$8,HLOOKUP("kdk dpr",real_rku_06.jun,12,FALSE),IF($D$1=$AN$9,HLOOKUP("kdk dpr",real_rku_07.jul,12,FALSE),IF($D$1=$AN$10,HLOOKUP("kdk dpr",real_rku_08.ags,12,FALSE),IF($D$1=$AN$11,HLOOKUP("kdk dpr",real_rku_09.sep,12,FALSE),IF($D$1=$AN$12,HLOOKUP("kdk dpr",real_rku_10.okt,12,FALSE),IF($D$1=$AN$13,HLOOKUP("kdk dpr",real_rku_11.nov,12,FALSE),IF($D$1=$AN$14,HLOOKUP("kdk dpr",real_rku_12.des,12,FALSE),IF($D$1=$AN$15,HLOOKUP("kdk dpr",real_rku_TW_I,12,FALSE),IF($D$1=$AN$16,HLOOKUP("kdk dpr",real_rku_TW_II,12,FALSE),IF($D$1=$AN$17,HLOOKUP("kdk dpr",real_rku_TW_III,12,FALSE),IF($D$1=$AN$18,HLOOKUP("kdk dpr",real_rku_TW_IV,12,FALSE),IF($D$1=$AN$19,HLOOKUP("kdk dpr",real_rku_SM_I,12,FALSE),IF($D$1=$AN$20,HLOOKUP("kdk dpr",real_rku_SM_II,12,FALSE),IF($D$1=$AN$21,HLOOKUP("kdk dpr",real_rku_2013,12,FALSE),IF($D$1=$AN$22,HLOOKUP("kdk dpr",real_rku_jan_apr,12,FALSE),IF($D$1=$AN$23,HLOOKUP("kdk dpr",real_rku_jan_mei,12,FALSE),IF($D$1=$AN$24,HLOOKUP("kdk dpr",real_rku_jan_jul,12,FALSE),IF($D$1=$AN$25,HLOOKUP("kdk dpr",real_rku_jan_ags,12,FALSE),IF($D$1=$AN$26,HLOOKUP("kdk dpr",real_rku_jan_sep,12,FALSE),IF($D$1=$AN$27,HLOOKUP("kdk dpr",real_rku_jan_okt,12,FALSE),IF($D$1=$AN$28,HLOOKUP("kdk dpr",real_rku_jan_nov,12,FALSE),0)))))))))))))))))))))))))))</f>
        <v>3800</v>
      </c>
      <c r="P56" s="88">
        <f>IF($D$1&lt;&gt;"",IF($D$1=$AN$3,HLOOKUP("kdk dpr",real_rku_01.jan,13,FALSE),IF($D$1=$AN$4,HLOOKUP("kdk dpr",real_rku_02.feb,13,FALSE),IF($D$1=$AN$5,HLOOKUP("kdk dpr",real_rku_03.mar,13,FALSE),IF($D$1=$AN$6,HLOOKUP("kdk dpr",real_rku_04.apr,13,FALSE),IF($D$1=$AN$7,HLOOKUP("kdk dpr",real_rku_05.mei,13,FALSE),IF($D$1=$AN$8,HLOOKUP("kdk dpr",real_rku_06.jun,13,FALSE),IF($D$1=$AN$9,HLOOKUP("kdk dpr",real_rku_07.jul,13,FALSE),IF($D$1=$AN$10,HLOOKUP("kdk dpr",real_rku_08.ags,13,FALSE),IF($D$1=$AN$11,HLOOKUP("kdk dpr",real_rku_09.sep,13,FALSE),IF($D$1=$AN$12,HLOOKUP("kdk dpr",real_rku_10.okt,13,FALSE),IF($D$1=$AN$13,HLOOKUP("kdk dpr",real_rku_11.nov,13,FALSE),IF($D$1=$AN$14,HLOOKUP("kdk dpr",real_rku_12.des,13,FALSE),IF($D$1=$AN$15,HLOOKUP("kdk dpr",real_rku_TW_I,13,FALSE),IF($D$1=$AN$16,HLOOKUP("kdk dpr",real_rku_TW_II,13,FALSE),IF($D$1=$AN$17,HLOOKUP("kdk dpr",real_rku_TW_III,13,FALSE),IF($D$1=$AN$18,HLOOKUP("kdk dpr",real_rku_TW_IV,13,FALSE),IF($D$1=$AN$19,HLOOKUP("kdk dpr",real_rku_SM_I,13,FALSE),IF($D$1=$AN$20,HLOOKUP("kdk dpr",real_rku_SM_II,13,FALSE),IF($D$1=$AN$21,HLOOKUP("kdk dpr",real_rku_2013,13,FALSE),IF($D$1=$AN$22,HLOOKUP("kdk dpr",real_rku_jan_apr,13,FALSE),IF($D$1=$AN$23,HLOOKUP("kdk dpr",real_rku_jan_mei,13,FALSE),IF($D$1=$AN$24,HLOOKUP("kdk dpr",real_rku_jan_jul,13,FALSE),IF($D$1=$AN$25,HLOOKUP("kdk dpr",real_rku_jan_ags,13,FALSE),IF($D$1=$AN$26,HLOOKUP("kdk dpr",real_rku_jan_sep,13,FALSE),IF($D$1=$AN$27,HLOOKUP("kdk dpr",real_rku_jan_okt,13,FALSE),IF($D$1=$AN$28,HLOOKUP("kdk dpr",real_rku_jan_nov,13,FALSE),0)))))))))))))))))))))))))))</f>
        <v>1600</v>
      </c>
      <c r="Q56" s="88">
        <f>IF($D$1&lt;&gt;"",IF($D$1=$AN$3,HLOOKUP("kdk dpr",real_rku_01.jan,14,FALSE),IF($D$1=$AN$4,HLOOKUP("kdk dpr",real_rku_02.feb,14,FALSE),IF($D$1=$AN$5,HLOOKUP("kdk dpr",real_rku_03.mar,14,FALSE),IF($D$1=$AN$6,HLOOKUP("kdk dpr",real_rku_04.apr,14,FALSE),IF($D$1=$AN$7,HLOOKUP("kdk dpr",real_rku_05.mei,14,FALSE),IF($D$1=$AN$8,HLOOKUP("kdk dpr",real_rku_06.jun,14,FALSE),IF($D$1=$AN$9,HLOOKUP("kdk dpr",real_rku_07.jul,14,FALSE),IF($D$1=$AN$10,HLOOKUP("kdk dpr",real_rku_08.ags,14,FALSE),IF($D$1=$AN$11,HLOOKUP("kdk dpr",real_rku_09.sep,14,FALSE),IF($D$1=$AN$12,HLOOKUP("kdk dpr",real_rku_10.okt,14,FALSE),IF($D$1=$AN$13,HLOOKUP("kdk dpr",real_rku_11.nov,14,FALSE),IF($D$1=$AN$14,HLOOKUP("kdk dpr",real_rku_12.des,14,FALSE),IF($D$1=$AN$15,HLOOKUP("kdk dpr",real_rku_TW_I,14,FALSE),IF($D$1=$AN$16,HLOOKUP("kdk dpr",real_rku_TW_II,14,FALSE),IF($D$1=$AN$17,HLOOKUP("kdk dpr",real_rku_TW_III,14,FALSE),IF($D$1=$AN$18,HLOOKUP("kdk dpr",real_rku_TW_IV,14,FALSE),IF($D$1=$AN$19,HLOOKUP("kdk dpr",real_rku_SM_I,14,FALSE),IF($D$1=$AN$20,HLOOKUP("kdk dpr",real_rku_SM_II,14,FALSE),IF($D$1=$AN$21,HLOOKUP("kdk dpr",real_rku_2013,14,FALSE),IF($D$1=$AN$22,HLOOKUP("kdk dpr",real_rku_jan_apr,14,FALSE),IF($D$1=$AN$23,HLOOKUP("kdk dpr",real_rku_jan_mei,14,FALSE),IF($D$1=$AN$24,HLOOKUP("kdk dpr",real_rku_jan_jul,14,FALSE),IF($D$1=$AN$25,HLOOKUP("kdk dpr",real_rku_jan_ags,14,FALSE),IF($D$1=$AN$26,HLOOKUP("kdk dpr",real_rku_jan_sep,14,FALSE),IF($D$1=$AN$27,HLOOKUP("kdk dpr",real_rku_jan_okt,14,FALSE),IF($D$1=$AN$28,HLOOKUP("kdk dpr",real_rku_jan_nov,14,FALSE),0)))))))))))))))))))))))))))</f>
        <v>800</v>
      </c>
      <c r="R56" s="89">
        <f>+SUM(M56:Q56)</f>
        <v>44075</v>
      </c>
      <c r="S56" s="88">
        <f>+R56+L56</f>
        <v>8928075</v>
      </c>
      <c r="T56" s="76"/>
      <c r="U56" s="86"/>
      <c r="V56" s="86"/>
      <c r="W56" s="87" t="s">
        <v>182</v>
      </c>
      <c r="X56" s="88">
        <f t="shared" si="71"/>
        <v>2500</v>
      </c>
      <c r="Y56" s="88">
        <f t="shared" si="71"/>
        <v>2640</v>
      </c>
      <c r="Z56" s="88">
        <f t="shared" si="71"/>
        <v>900</v>
      </c>
      <c r="AA56" s="88">
        <f t="shared" si="71"/>
        <v>2400</v>
      </c>
      <c r="AB56" s="88">
        <f t="shared" si="71"/>
        <v>2600</v>
      </c>
      <c r="AC56" s="88">
        <f t="shared" si="71"/>
        <v>3350</v>
      </c>
      <c r="AD56" s="88">
        <f t="shared" si="71"/>
        <v>500</v>
      </c>
      <c r="AE56" s="89">
        <f>+SUM(X56:AD56)</f>
        <v>14890</v>
      </c>
      <c r="AF56" s="88">
        <f t="shared" si="72"/>
        <v>4500</v>
      </c>
      <c r="AG56" s="88">
        <f t="shared" si="72"/>
        <v>6150</v>
      </c>
      <c r="AH56" s="88">
        <f t="shared" si="72"/>
        <v>1900</v>
      </c>
      <c r="AI56" s="88">
        <f t="shared" si="72"/>
        <v>1600</v>
      </c>
      <c r="AJ56" s="88">
        <f t="shared" si="72"/>
        <v>800</v>
      </c>
      <c r="AK56" s="89">
        <f>+SUM(AF56:AJ56)</f>
        <v>14950</v>
      </c>
      <c r="AL56" s="88">
        <f>+AK56+AE56</f>
        <v>29840</v>
      </c>
    </row>
    <row r="57" spans="2:39" ht="15" x14ac:dyDescent="0.25">
      <c r="B57" s="86"/>
      <c r="C57" s="86"/>
      <c r="D57" s="87" t="s">
        <v>184</v>
      </c>
      <c r="E57" s="88">
        <f t="shared" ref="E57:K57" si="73">+E55-E56</f>
        <v>380000</v>
      </c>
      <c r="F57" s="88">
        <f t="shared" si="73"/>
        <v>-157000</v>
      </c>
      <c r="G57" s="88">
        <f t="shared" si="73"/>
        <v>-92800</v>
      </c>
      <c r="H57" s="88">
        <f t="shared" si="73"/>
        <v>-64400</v>
      </c>
      <c r="I57" s="88">
        <f t="shared" si="73"/>
        <v>-39500</v>
      </c>
      <c r="J57" s="88">
        <f t="shared" si="73"/>
        <v>-30960</v>
      </c>
      <c r="K57" s="88">
        <f t="shared" si="73"/>
        <v>0</v>
      </c>
      <c r="L57" s="89">
        <f>+SUM(E57:K57)</f>
        <v>-4660</v>
      </c>
      <c r="M57" s="88">
        <f>+M55-M56</f>
        <v>3410</v>
      </c>
      <c r="N57" s="88">
        <f>+N55-N56</f>
        <v>2797.5</v>
      </c>
      <c r="O57" s="88">
        <f>+O55-O56</f>
        <v>-226</v>
      </c>
      <c r="P57" s="88">
        <f>+P55-P56</f>
        <v>636</v>
      </c>
      <c r="Q57" s="88">
        <f>+Q55-Q56</f>
        <v>-300</v>
      </c>
      <c r="R57" s="89">
        <f>+SUM(M57:Q57)</f>
        <v>6317.5</v>
      </c>
      <c r="S57" s="88">
        <f>+R57+L57</f>
        <v>1657.5</v>
      </c>
      <c r="T57" s="88"/>
      <c r="U57" s="86"/>
      <c r="V57" s="86"/>
      <c r="W57" s="87" t="s">
        <v>184</v>
      </c>
      <c r="X57" s="88">
        <f t="shared" ref="X57:AD57" si="74">+X55-X56</f>
        <v>190</v>
      </c>
      <c r="Y57" s="88">
        <f t="shared" si="74"/>
        <v>-157</v>
      </c>
      <c r="Z57" s="88">
        <f t="shared" si="74"/>
        <v>-232</v>
      </c>
      <c r="AA57" s="88">
        <f t="shared" si="74"/>
        <v>-322</v>
      </c>
      <c r="AB57" s="88">
        <f t="shared" si="74"/>
        <v>-395</v>
      </c>
      <c r="AC57" s="88">
        <f t="shared" si="74"/>
        <v>-774</v>
      </c>
      <c r="AD57" s="88">
        <f t="shared" si="74"/>
        <v>0</v>
      </c>
      <c r="AE57" s="89">
        <f>+SUM(X57:AD57)</f>
        <v>-1690</v>
      </c>
      <c r="AF57" s="88">
        <f>+AF55-AF56</f>
        <v>682</v>
      </c>
      <c r="AG57" s="88">
        <f>+AG55-AG56</f>
        <v>1119</v>
      </c>
      <c r="AH57" s="88">
        <f>+AH55-AH56</f>
        <v>-113</v>
      </c>
      <c r="AI57" s="88">
        <f>+AI55-AI56</f>
        <v>636</v>
      </c>
      <c r="AJ57" s="88">
        <f>+AJ55-AJ56</f>
        <v>-300</v>
      </c>
      <c r="AK57" s="89">
        <f>+SUM(AF57:AJ57)</f>
        <v>2024</v>
      </c>
      <c r="AL57" s="88">
        <f>+AK57+AE57</f>
        <v>334</v>
      </c>
      <c r="AM57" s="91">
        <f>+AL57/550</f>
        <v>0.6072727272727273</v>
      </c>
    </row>
    <row r="58" spans="2:39" ht="14.25" x14ac:dyDescent="0.2">
      <c r="B58" s="86"/>
      <c r="C58" s="112"/>
      <c r="D58" s="109" t="s">
        <v>186</v>
      </c>
      <c r="E58" s="110">
        <f t="shared" ref="E58:S58" si="75">IF(E55=0,"-",E56/E55)</f>
        <v>0.92936802973977695</v>
      </c>
      <c r="F58" s="110">
        <f t="shared" si="75"/>
        <v>1.0632299637535239</v>
      </c>
      <c r="G58" s="110">
        <f t="shared" si="75"/>
        <v>1.347305389221557</v>
      </c>
      <c r="H58" s="110">
        <f t="shared" si="75"/>
        <v>1.1549566891241578</v>
      </c>
      <c r="I58" s="110">
        <f t="shared" si="75"/>
        <v>1.1791383219954648</v>
      </c>
      <c r="J58" s="110">
        <f t="shared" si="75"/>
        <v>1.3004658385093169</v>
      </c>
      <c r="K58" s="110">
        <f t="shared" si="75"/>
        <v>1</v>
      </c>
      <c r="L58" s="111">
        <f t="shared" si="75"/>
        <v>1.0005248137812044</v>
      </c>
      <c r="M58" s="110">
        <f t="shared" si="75"/>
        <v>0.86839058278656889</v>
      </c>
      <c r="N58" s="110">
        <f t="shared" si="75"/>
        <v>0.84605860503508046</v>
      </c>
      <c r="O58" s="110">
        <f t="shared" si="75"/>
        <v>1.0632344711807498</v>
      </c>
      <c r="P58" s="110">
        <f t="shared" si="75"/>
        <v>0.7155635062611807</v>
      </c>
      <c r="Q58" s="110">
        <f t="shared" si="75"/>
        <v>1.6</v>
      </c>
      <c r="R58" s="111">
        <f t="shared" si="75"/>
        <v>0.87463412214119163</v>
      </c>
      <c r="S58" s="110">
        <f t="shared" si="75"/>
        <v>0.9998143841374868</v>
      </c>
      <c r="T58" s="95">
        <f>+S58*$T$6</f>
        <v>0.6998700688962407</v>
      </c>
      <c r="U58" s="86"/>
      <c r="V58" s="112"/>
      <c r="W58" s="109" t="s">
        <v>186</v>
      </c>
      <c r="X58" s="110">
        <f t="shared" ref="X58:AL58" si="76">IF(X55=0,"-",X56/X55)</f>
        <v>0.92936802973977695</v>
      </c>
      <c r="Y58" s="110">
        <f t="shared" si="76"/>
        <v>1.0632299637535239</v>
      </c>
      <c r="Z58" s="110">
        <f t="shared" si="76"/>
        <v>1.347305389221557</v>
      </c>
      <c r="AA58" s="110">
        <f t="shared" si="76"/>
        <v>1.1549566891241578</v>
      </c>
      <c r="AB58" s="110">
        <f t="shared" si="76"/>
        <v>1.1791383219954648</v>
      </c>
      <c r="AC58" s="110">
        <f t="shared" si="76"/>
        <v>1.3004658385093169</v>
      </c>
      <c r="AD58" s="110">
        <f t="shared" si="76"/>
        <v>1</v>
      </c>
      <c r="AE58" s="111">
        <f t="shared" si="76"/>
        <v>1.1280303030303029</v>
      </c>
      <c r="AF58" s="110">
        <f t="shared" si="76"/>
        <v>0.86839058278656889</v>
      </c>
      <c r="AG58" s="110">
        <f t="shared" si="76"/>
        <v>0.84605860503508046</v>
      </c>
      <c r="AH58" s="110">
        <f t="shared" si="76"/>
        <v>1.0632344711807498</v>
      </c>
      <c r="AI58" s="110">
        <f t="shared" si="76"/>
        <v>0.7155635062611807</v>
      </c>
      <c r="AJ58" s="110">
        <f t="shared" si="76"/>
        <v>1.6</v>
      </c>
      <c r="AK58" s="111">
        <f t="shared" si="76"/>
        <v>0.8807588075880759</v>
      </c>
      <c r="AL58" s="110">
        <f t="shared" si="76"/>
        <v>0.9889308676343872</v>
      </c>
    </row>
    <row r="59" spans="2:39" ht="14.25" x14ac:dyDescent="0.2">
      <c r="B59" s="103"/>
      <c r="C59" s="104"/>
      <c r="D59" s="104"/>
      <c r="E59" s="98">
        <f>+E58*$L$6</f>
        <v>0.27881040892193309</v>
      </c>
      <c r="F59" s="98">
        <f t="shared" ref="F59:K59" si="77">+F58*$L$6</f>
        <v>0.31896898912605715</v>
      </c>
      <c r="G59" s="98">
        <f t="shared" si="77"/>
        <v>0.40419161676646709</v>
      </c>
      <c r="H59" s="98">
        <f t="shared" si="77"/>
        <v>0.34648700673724736</v>
      </c>
      <c r="I59" s="98">
        <f t="shared" si="77"/>
        <v>0.3537414965986394</v>
      </c>
      <c r="J59" s="98">
        <f t="shared" si="77"/>
        <v>0.39013975155279507</v>
      </c>
      <c r="K59" s="98">
        <f t="shared" si="77"/>
        <v>0.3</v>
      </c>
      <c r="L59" s="98"/>
      <c r="M59" s="98">
        <f t="shared" ref="M59:P59" si="78">+M58*$L$6</f>
        <v>0.26051717483597064</v>
      </c>
      <c r="N59" s="98">
        <f t="shared" si="78"/>
        <v>0.25381758151052414</v>
      </c>
      <c r="O59" s="98">
        <f t="shared" si="78"/>
        <v>0.31897034135422492</v>
      </c>
      <c r="P59" s="98">
        <f t="shared" si="78"/>
        <v>0.21466905187835419</v>
      </c>
      <c r="Q59" s="98"/>
      <c r="R59" s="105"/>
      <c r="S59" s="98">
        <f>+AVERAGE(E59:Q59)</f>
        <v>0.31275576538929212</v>
      </c>
      <c r="T59" s="100">
        <f>+S59+T58</f>
        <v>1.0126258342855328</v>
      </c>
      <c r="U59" s="103"/>
      <c r="V59" s="104"/>
      <c r="W59" s="104"/>
      <c r="X59" s="106"/>
      <c r="Y59" s="106"/>
      <c r="Z59" s="106"/>
      <c r="AA59" s="106"/>
      <c r="AB59" s="106"/>
      <c r="AC59" s="106"/>
      <c r="AD59" s="106"/>
      <c r="AE59" s="105">
        <f>+SUM(X59:AD59)</f>
        <v>0</v>
      </c>
      <c r="AF59" s="106"/>
      <c r="AG59" s="106"/>
      <c r="AH59" s="106"/>
      <c r="AI59" s="106"/>
      <c r="AJ59" s="106"/>
      <c r="AK59" s="105">
        <f>+SUM(AF59:AJ59)</f>
        <v>0</v>
      </c>
      <c r="AL59" s="107">
        <f>+AK59+AE59</f>
        <v>0</v>
      </c>
    </row>
    <row r="60" spans="2:39" ht="14.25" x14ac:dyDescent="0.2">
      <c r="B60" s="81">
        <v>11</v>
      </c>
      <c r="C60" s="83" t="s">
        <v>211</v>
      </c>
      <c r="D60" s="83" t="s">
        <v>180</v>
      </c>
      <c r="E60" s="84">
        <f>IF($D$1&lt;&gt;"",IF($D$1=$AN$3,HLOOKUP("kdk bjm",rku_01.jan,2,FALSE),IF($D$1=$AN$4,HLOOKUP("kdk bjm",rku_02.feb,2,FALSE),IF($D$1=$AN$5,HLOOKUP("kdk bjm",rku_03.mar,2,FALSE),IF($D$1=$AN$6,HLOOKUP("kdk bjm",rku_04.apr,2,FALSE),IF($D$1=$AN$7,HLOOKUP("kdk bjm",rku_05.mei,2,FALSE),IF($D$1=$AN$8,HLOOKUP("kdk bjm",rku_06.jun,2,FALSE),IF($D$1=$AN$9,HLOOKUP("kdk bjm",rku_07.jul,2,FALSE),IF($D$1=$AN$10,HLOOKUP("kdk bjm",rku_08.ags,2,FALSE),IF($D$1=$AN$11,HLOOKUP("kdk bjm",rku_09.sep,2,FALSE),IF($D$1=$AN$12,HLOOKUP("kdk bjm",rku_10.okt,2,FALSE),IF($D$1=$AN$13,HLOOKUP("kdk bjm",rku_11.nov,2,FALSE),IF($D$1=$AN$14,HLOOKUP("kdk bjm",rku_12.des,2,FALSE),IF($D$1=$AN$15,HLOOKUP("kdk bjm",rku_TW_I,2,FALSE),IF($D$1=$AN$16,HLOOKUP("kdk bjm",rku_TW_II,2,FALSE),IF($D$1=$AN$17,HLOOKUP("kdk bjm",rku_TW_III,2,FALSE),IF($D$1=$AN$18,HLOOKUP("kdk bjm",rku_TW_IV,2,FALSE),IF($D$1=$AN$19,HLOOKUP("kdk bjm",rku_SM_I,2,FALSE),IF($D$1=$AN$20,HLOOKUP("kdk bjm",rku_SM_II,2,FALSE),IF($D$1=$AN$21,HLOOKUP("kdk bjm",rku_2013,2,FALSE),IF($D$1=$AN$22,HLOOKUP("kdk bjm",rku_jan_apr,2,FALSE),IF($D$1=$AN$23,HLOOKUP("kdk bjm",rku_jan_mei,2,FALSE),IF($D$1=$AN$24,HLOOKUP("kdk bjm",rku_jan_jul,2,FALSE),IF($D$1=$AN$25,HLOOKUP("kdk bjm",rku_jan_ags,2,FALSE),IF($D$1=$AN$26,HLOOKUP("kdk bjm",rku_jan_sep,2,FALSE),IF($D$1=$AN$27,HLOOKUP("kdk bjm",rku_jan_okt,2,FALSE),IF($D$1=$AN$28,HLOOKUP("kdk bjm",rku_jan_nov,2,FALSE),0)))))))))))))))))))))))))))</f>
        <v>5536000</v>
      </c>
      <c r="F60" s="84">
        <f>IF($D$1&lt;&gt;"",IF($D$1=$AN$3,HLOOKUP("kdk bjm",rku_01.jan,3,FALSE),IF($D$1=$AN$4,HLOOKUP("kdk bjm",rku_02.feb,3,FALSE),IF($D$1=$AN$5,HLOOKUP("kdk bjm",rku_03.mar,3,FALSE),IF($D$1=$AN$6,HLOOKUP("kdk bjm",rku_04.apr,3,FALSE),IF($D$1=$AN$7,HLOOKUP("kdk bjm",rku_05.mei,3,FALSE),IF($D$1=$AN$8,HLOOKUP("kdk bjm",rku_06.jun,3,FALSE),IF($D$1=$AN$9,HLOOKUP("kdk bjm",rku_07.jul,3,FALSE),IF($D$1=$AN$10,HLOOKUP("kdk bjm",rku_08.ags,3,FALSE),IF($D$1=$AN$11,HLOOKUP("kdk bjm",rku_09.sep,3,FALSE),IF($D$1=$AN$12,HLOOKUP("kdk bjm",rku_10.okt,3,FALSE),IF($D$1=$AN$13,HLOOKUP("kdk bjm",rku_11.nov,3,FALSE),IF($D$1=$AN$14,HLOOKUP("kdk bjm",rku_12.des,3,FALSE),IF($D$1=$AN$15,HLOOKUP("kdk bjm",rku_TW_I,3,FALSE),IF($D$1=$AN$16,HLOOKUP("kdk bjm",rku_TW_II,3,FALSE),IF($D$1=$AN$17,HLOOKUP("kdk bjm",rku_TW_III,3,FALSE),IF($D$1=$AN$18,HLOOKUP("kdk bjm",rku_TW_IV,3,FALSE),IF($D$1=$AN$19,HLOOKUP("kdk bjm",rku_SM_I,3,FALSE),IF($D$1=$AN$20,HLOOKUP("kdk bjm",rku_SM_II,3,FALSE),IF($D$1=$AN$21,HLOOKUP("kdk bjm",rku_2013,3,FALSE),IF($D$1=$AN$22,HLOOKUP("kdk bjm",rku_jan_apr,3,FALSE),IF($D$1=$AN$23,HLOOKUP("kdk bjm",rku_jan_mei,3,FALSE),IF($D$1=$AN$24,HLOOKUP("kdk bjm",rku_jan_jul,3,FALSE),IF($D$1=$AN$25,HLOOKUP("kdk bjm",rku_jan_ags,3,FALSE),IF($D$1=$AN$26,HLOOKUP("kdk bjm",rku_jan_sep,3,FALSE),IF($D$1=$AN$27,HLOOKUP("kdk bjm",rku_jan_okt,3,FALSE),IF($D$1=$AN$28,HLOOKUP("kdk bjm",rku_jan_nov,3,FALSE),0)))))))))))))))))))))))))))</f>
        <v>2753000</v>
      </c>
      <c r="G60" s="84">
        <f>IF($D$1&lt;&gt;"",IF($D$1=$AN$3,HLOOKUP("kdk bjm",rku_01.jan,4,FALSE),IF($D$1=$AN$4,HLOOKUP("kdk bjm",rku_02.feb,4,FALSE),IF($D$1=$AN$5,HLOOKUP("kdk bjm",rku_03.mar,4,FALSE),IF($D$1=$AN$6,HLOOKUP("kdk bjm",rku_04.apr,4,FALSE),IF($D$1=$AN$7,HLOOKUP("kdk bjm",rku_05.mei,4,FALSE),IF($D$1=$AN$8,HLOOKUP("kdk bjm",rku_06.jun,4,FALSE),IF($D$1=$AN$9,HLOOKUP("kdk bjm",rku_07.jul,4,FALSE),IF($D$1=$AN$10,HLOOKUP("kdk bjm",rku_08.ags,4,FALSE),IF($D$1=$AN$11,HLOOKUP("kdk bjm",rku_09.sep,4,FALSE),IF($D$1=$AN$12,HLOOKUP("kdk bjm",rku_10.okt,4,FALSE),IF($D$1=$AN$13,HLOOKUP("kdk bjm",rku_11.nov,4,FALSE),IF($D$1=$AN$14,HLOOKUP("kdk bjm",rku_12.des,4,FALSE),IF($D$1=$AN$15,HLOOKUP("kdk bjm",rku_TW_I,4,FALSE),IF($D$1=$AN$16,HLOOKUP("kdk bjm",rku_TW_II,4,FALSE),IF($D$1=$AN$17,HLOOKUP("kdk bjm",rku_TW_III,4,FALSE),IF($D$1=$AN$18,HLOOKUP("kdk bjm",rku_TW_IV,4,FALSE),IF($D$1=$AN$19,HLOOKUP("kdk bjm",rku_SM_I,4,FALSE),IF($D$1=$AN$20,HLOOKUP("kdk bjm",rku_SM_II,4,FALSE),IF($D$1=$AN$21,HLOOKUP("kdk bjm",rku_2013,4,FALSE),IF($D$1=$AN$22,HLOOKUP("kdk bjm",rku_jan_apr,4,FALSE),IF($D$1=$AN$23,HLOOKUP("kdk bjm",rku_jan_mei,4,FALSE),IF($D$1=$AN$24,HLOOKUP("kdk bjm",rku_jan_jul,4,FALSE),IF($D$1=$AN$25,HLOOKUP("kdk bjm",rku_jan_ags,4,FALSE),IF($D$1=$AN$26,HLOOKUP("kdk bjm",rku_jan_sep,4,FALSE),IF($D$1=$AN$27,HLOOKUP("kdk bjm",rku_jan_okt,4,FALSE),IF($D$1=$AN$28,HLOOKUP("kdk bjm",rku_jan_nov,4,FALSE),0)))))))))))))))))))))))))))</f>
        <v>270800</v>
      </c>
      <c r="H60" s="84">
        <f>IF($D$1&lt;&gt;"",IF($D$1=$AN$3,HLOOKUP("kdk bjm",rku_01.jan,5,FALSE),IF($D$1=$AN$4,HLOOKUP("kdk bjm",rku_02.feb,5,FALSE),IF($D$1=$AN$5,HLOOKUP("kdk bjm",rku_03.mar,5,FALSE),IF($D$1=$AN$6,HLOOKUP("kdk bjm",rku_04.apr,5,FALSE),IF($D$1=$AN$7,HLOOKUP("kdk bjm",rku_05.mei,5,FALSE),IF($D$1=$AN$8,HLOOKUP("kdk bjm",rku_06.jun,5,FALSE),IF($D$1=$AN$9,HLOOKUP("kdk bjm",rku_07.jul,5,FALSE),IF($D$1=$AN$10,HLOOKUP("kdk bjm",rku_08.ags,5,FALSE),IF($D$1=$AN$11,HLOOKUP("kdk bjm",rku_09.sep,5,FALSE),IF($D$1=$AN$12,HLOOKUP("kdk bjm",rku_10.okt,5,FALSE),IF($D$1=$AN$13,HLOOKUP("kdk bjm",rku_11.nov,5,FALSE),IF($D$1=$AN$14,HLOOKUP("kdk bjm",rku_12.des,5,FALSE),IF($D$1=$AN$15,HLOOKUP("kdk bjm",rku_TW_I,5,FALSE),IF($D$1=$AN$16,HLOOKUP("kdk bjm",rku_TW_II,5,FALSE),IF($D$1=$AN$17,HLOOKUP("kdk bjm",rku_TW_III,5,FALSE),IF($D$1=$AN$18,HLOOKUP("kdk bjm",rku_TW_IV,5,FALSE),IF($D$1=$AN$19,HLOOKUP("kdk bjm",rku_SM_I,5,FALSE),IF($D$1=$AN$20,HLOOKUP("kdk bjm",rku_SM_II,5,FALSE),IF($D$1=$AN$21,HLOOKUP("kdk bjm",rku_2013,5,FALSE),IF($D$1=$AN$22,HLOOKUP("kdk bjm",rku_jan_apr,5,FALSE),IF($D$1=$AN$23,HLOOKUP("kdk bjm",rku_jan_mei,5,FALSE),IF($D$1=$AN$24,HLOOKUP("kdk bjm",rku_jan_jul,5,FALSE),IF($D$1=$AN$25,HLOOKUP("kdk bjm",rku_jan_ags,5,FALSE),IF($D$1=$AN$26,HLOOKUP("kdk bjm",rku_jan_sep,5,FALSE),IF($D$1=$AN$27,HLOOKUP("kdk bjm",rku_jan_okt,5,FALSE),IF($D$1=$AN$28,HLOOKUP("kdk bjm",rku_jan_nov,5,FALSE),0)))))))))))))))))))))))))))</f>
        <v>138400</v>
      </c>
      <c r="I60" s="84">
        <f>IF($D$1&lt;&gt;"",IF($D$1=$AN$3,HLOOKUP("kdk bjm",rku_01.jan,6,FALSE),IF($D$1=$AN$4,HLOOKUP("kdk bjm",rku_02.feb,6,FALSE),IF($D$1=$AN$5,HLOOKUP("kdk bjm",rku_03.mar,6,FALSE),IF($D$1=$AN$6,HLOOKUP("kdk bjm",rku_04.apr,6,FALSE),IF($D$1=$AN$7,HLOOKUP("kdk bjm",rku_05.mei,6,FALSE),IF($D$1=$AN$8,HLOOKUP("kdk bjm",rku_06.jun,6,FALSE),IF($D$1=$AN$9,HLOOKUP("kdk bjm",rku_07.jul,6,FALSE),IF($D$1=$AN$10,HLOOKUP("kdk bjm",rku_08.ags,6,FALSE),IF($D$1=$AN$11,HLOOKUP("kdk bjm",rku_09.sep,6,FALSE),IF($D$1=$AN$12,HLOOKUP("kdk bjm",rku_10.okt,6,FALSE),IF($D$1=$AN$13,HLOOKUP("kdk bjm",rku_11.nov,6,FALSE),IF($D$1=$AN$14,HLOOKUP("kdk bjm",rku_12.des,6,FALSE),IF($D$1=$AN$15,HLOOKUP("kdk bjm",rku_TW_I,6,FALSE),IF($D$1=$AN$16,HLOOKUP("kdk bjm",rku_TW_II,6,FALSE),IF($D$1=$AN$17,HLOOKUP("kdk bjm",rku_TW_III,6,FALSE),IF($D$1=$AN$18,HLOOKUP("kdk bjm",rku_TW_IV,6,FALSE),IF($D$1=$AN$19,HLOOKUP("kdk bjm",rku_SM_I,6,FALSE),IF($D$1=$AN$20,HLOOKUP("kdk bjm",rku_SM_II,6,FALSE),IF($D$1=$AN$21,HLOOKUP("kdk bjm",rku_2013,6,FALSE),IF($D$1=$AN$22,HLOOKUP("kdk bjm",rku_jan_apr,6,FALSE),IF($D$1=$AN$23,HLOOKUP("kdk bjm",rku_jan_mei,6,FALSE),IF($D$1=$AN$24,HLOOKUP("kdk bjm",rku_jan_jul,6,FALSE),IF($D$1=$AN$25,HLOOKUP("kdk bjm",rku_jan_ags,6,FALSE),IF($D$1=$AN$26,HLOOKUP("kdk bjm",rku_jan_sep,6,FALSE),IF($D$1=$AN$27,HLOOKUP("kdk bjm",rku_jan_okt,6,FALSE),IF($D$1=$AN$28,HLOOKUP("kdk bjm",rku_jan_nov,6,FALSE),0)))))))))))))))))))))))))))</f>
        <v>124500</v>
      </c>
      <c r="J60" s="84">
        <f>IF($D$1&lt;&gt;"",IF($D$1=$AN$3,HLOOKUP("kdk bjm",rku_01.jan,7,FALSE),IF($D$1=$AN$4,HLOOKUP("kdk bjm",rku_02.feb,7,FALSE),IF($D$1=$AN$5,HLOOKUP("kdk bjm",rku_03.mar,7,FALSE),IF($D$1=$AN$6,HLOOKUP("kdk bjm",rku_04.apr,7,FALSE),IF($D$1=$AN$7,HLOOKUP("kdk bjm",rku_05.mei,7,FALSE),IF($D$1=$AN$8,HLOOKUP("kdk bjm",rku_06.jun,7,FALSE),IF($D$1=$AN$9,HLOOKUP("kdk bjm",rku_07.jul,7,FALSE),IF($D$1=$AN$10,HLOOKUP("kdk bjm",rku_08.ags,7,FALSE),IF($D$1=$AN$11,HLOOKUP("kdk bjm",rku_09.sep,7,FALSE),IF($D$1=$AN$12,HLOOKUP("kdk bjm",rku_10.okt,7,FALSE),IF($D$1=$AN$13,HLOOKUP("kdk bjm",rku_11.nov,7,FALSE),IF($D$1=$AN$14,HLOOKUP("kdk bjm",rku_12.des,7,FALSE),IF($D$1=$AN$15,HLOOKUP("kdk bjm",rku_TW_I,7,FALSE),IF($D$1=$AN$16,HLOOKUP("kdk bjm",rku_TW_II,7,FALSE),IF($D$1=$AN$17,HLOOKUP("kdk bjm",rku_TW_III,7,FALSE),IF($D$1=$AN$18,HLOOKUP("kdk bjm",rku_TW_IV,7,FALSE),IF($D$1=$AN$19,HLOOKUP("kdk bjm",rku_SM_I,7,FALSE),IF($D$1=$AN$20,HLOOKUP("kdk bjm",rku_SM_II,7,FALSE),IF($D$1=$AN$21,HLOOKUP("kdk bjm",rku_2013,7,FALSE),IF($D$1=$AN$22,HLOOKUP("kdk bjm",rku_jan_apr,7,FALSE),IF($D$1=$AN$23,HLOOKUP("kdk bjm",rku_jan_mei,7,FALSE),IF($D$1=$AN$24,HLOOKUP("kdk bjm",rku_jan_jul,7,FALSE),IF($D$1=$AN$25,HLOOKUP("kdk bjm",rku_jan_ags,7,FALSE),IF($D$1=$AN$26,HLOOKUP("kdk bjm",rku_jan_sep,7,FALSE),IF($D$1=$AN$27,HLOOKUP("kdk bjm",rku_jan_okt,7,FALSE),IF($D$1=$AN$28,HLOOKUP("kdk bjm",rku_jan_nov,7,FALSE),0)))))))))))))))))))))))))))</f>
        <v>62560</v>
      </c>
      <c r="K60" s="84">
        <f>IF($D$1&lt;&gt;"",IF($D$1=$AN$3,HLOOKUP("kdk bjm",rku_01.jan,8,FALSE),IF($D$1=$AN$4,HLOOKUP("kdk bjm",rku_02.feb,8,FALSE),IF($D$1=$AN$5,HLOOKUP("kdk bjm",rku_03.mar,8,FALSE),IF($D$1=$AN$6,HLOOKUP("kdk bjm",rku_04.apr,8,FALSE),IF($D$1=$AN$7,HLOOKUP("kdk bjm",rku_05.mei,8,FALSE),IF($D$1=$AN$8,HLOOKUP("kdk bjm",rku_06.jun,8,FALSE),IF($D$1=$AN$9,HLOOKUP("kdk bjm",rku_07.jul,8,FALSE),IF($D$1=$AN$10,HLOOKUP("kdk bjm",rku_08.ags,8,FALSE),IF($D$1=$AN$11,HLOOKUP("kdk bjm",rku_09.sep,8,FALSE),IF($D$1=$AN$12,HLOOKUP("kdk bjm",rku_10.okt,8,FALSE),IF($D$1=$AN$13,HLOOKUP("kdk bjm",rku_11.nov,8,FALSE),IF($D$1=$AN$14,HLOOKUP("kdk bjm",rku_12.des,8,FALSE),IF($D$1=$AN$15,HLOOKUP("kdk bjm",rku_TW_I,8,FALSE),IF($D$1=$AN$16,HLOOKUP("kdk bjm",rku_TW_II,8,FALSE),IF($D$1=$AN$17,HLOOKUP("kdk bjm",rku_TW_III,8,FALSE),IF($D$1=$AN$18,HLOOKUP("kdk bjm",rku_TW_IV,8,FALSE),IF($D$1=$AN$19,HLOOKUP("kdk bjm",rku_SM_I,8,FALSE),IF($D$1=$AN$20,HLOOKUP("kdk bjm",rku_SM_II,8,FALSE),IF($D$1=$AN$21,HLOOKUP("kdk bjm",rku_2013,8,FALSE),IF($D$1=$AN$22,HLOOKUP("kdk bjm",rku_jan_apr,8,FALSE),IF($D$1=$AN$23,HLOOKUP("kdk bjm",rku_jan_mei,8,FALSE),IF($D$1=$AN$24,HLOOKUP("kdk bjm",rku_jan_jul,8,FALSE),IF($D$1=$AN$25,HLOOKUP("kdk bjm",rku_jan_ags,8,FALSE),IF($D$1=$AN$26,HLOOKUP("kdk bjm",rku_jan_sep,8,FALSE),IF($D$1=$AN$27,HLOOKUP("kdk bjm",rku_jan_okt,8,FALSE),IF($D$1=$AN$28,HLOOKUP("kdk bjm",rku_jan_nov,8,FALSE),0)))))))))))))))))))))))))))</f>
        <v>3040</v>
      </c>
      <c r="L60" s="85">
        <f>+SUM(E60:K60)</f>
        <v>8888300</v>
      </c>
      <c r="M60" s="84">
        <f>IF($D$1&lt;&gt;"",IF($D$1=$AN$3,HLOOKUP("kdk bjm",rku_01.jan,10,FALSE),IF($D$1=$AN$4,HLOOKUP("kdk bjm",rku_02.feb,10,FALSE),IF($D$1=$AN$5,HLOOKUP("kdk bjm",rku_03.mar,10,FALSE),IF($D$1=$AN$6,HLOOKUP("kdk bjm",rku_04.apr,10,FALSE),IF($D$1=$AN$7,HLOOKUP("kdk bjm",rku_05.mei,10,FALSE),IF($D$1=$AN$8,HLOOKUP("kdk bjm",rku_06.jun,10,FALSE),IF($D$1=$AN$9,HLOOKUP("kdk bjm",rku_07.jul,10,FALSE),IF($D$1=$AN$10,HLOOKUP("kdk bjm",rku_08.ags,10,FALSE),IF($D$1=$AN$11,HLOOKUP("kdk bjm",rku_09.sep,10,FALSE),IF($D$1=$AN$12,HLOOKUP("kdk bjm",rku_10.okt,10,FALSE),IF($D$1=$AN$13,HLOOKUP("kdk bjm",rku_11.nov,10,FALSE),IF($D$1=$AN$14,HLOOKUP("kdk bjm",rku_12.des,10,FALSE),IF($D$1=$AN$15,HLOOKUP("kdk bjm",rku_TW_I,10,FALSE),IF($D$1=$AN$16,HLOOKUP("kdk bjm",rku_TW_II,10,FALSE),IF($D$1=$AN$17,HLOOKUP("kdk bjm",rku_TW_III,10,FALSE),IF($D$1=$AN$18,HLOOKUP("kdk bjm",rku_TW_IV,10,FALSE),IF($D$1=$AN$19,HLOOKUP("kdk bjm",rku_SM_I,10,FALSE),IF($D$1=$AN$20,HLOOKUP("kdk bjm",rku_SM_II,10,FALSE),IF($D$1=$AN$21,HLOOKUP("kdk bjm",rku_2013,10,FALSE),IF($D$1=$AN$22,HLOOKUP("kdk bjm",rku_jan_apr,10,FALSE),IF($D$1=$AN$23,HLOOKUP("kdk bjm",rku_jan_mei,10,FALSE),IF($D$1=$AN$24,HLOOKUP("kdk bjm",rku_jan_jul,10,FALSE),IF($D$1=$AN$25,HLOOKUP("kdk bjm",rku_jan_ags,10,FALSE),IF($D$1=$AN$26,HLOOKUP("kdk bjm",rku_jan_sep,10,FALSE),IF($D$1=$AN$27,HLOOKUP("kdk bjm",rku_jan_okt,10,FALSE),IF($D$1=$AN$28,HLOOKUP("kdk bjm",rku_jan_nov,10,FALSE),0)))))))))))))))))))))))))))</f>
        <v>14595</v>
      </c>
      <c r="N60" s="84">
        <f>IF($D$1&lt;&gt;"",IF($D$1=$AN$3,HLOOKUP("kdk bjm",rku_01.jan,11,FALSE),IF($D$1=$AN$4,HLOOKUP("kdk bjm",rku_02.feb,11,FALSE),IF($D$1=$AN$5,HLOOKUP("kdk bjm",rku_03.mar,11,FALSE),IF($D$1=$AN$6,HLOOKUP("kdk bjm",rku_04.apr,11,FALSE),IF($D$1=$AN$7,HLOOKUP("kdk bjm",rku_05.mei,11,FALSE),IF($D$1=$AN$8,HLOOKUP("kdk bjm",rku_06.jun,11,FALSE),IF($D$1=$AN$9,HLOOKUP("kdk bjm",rku_07.jul,11,FALSE),IF($D$1=$AN$10,HLOOKUP("kdk bjm",rku_08.ags,11,FALSE),IF($D$1=$AN$11,HLOOKUP("kdk bjm",rku_09.sep,11,FALSE),IF($D$1=$AN$12,HLOOKUP("kdk bjm",rku_10.okt,11,FALSE),IF($D$1=$AN$13,HLOOKUP("kdk bjm",rku_11.nov,11,FALSE),IF($D$1=$AN$14,HLOOKUP("kdk bjm",rku_12.des,11,FALSE),IF($D$1=$AN$15,HLOOKUP("kdk bjm",rku_TW_I,11,FALSE),IF($D$1=$AN$16,HLOOKUP("kdk bjm",rku_TW_II,11,FALSE),IF($D$1=$AN$17,HLOOKUP("kdk bjm",rku_TW_III,11,FALSE),IF($D$1=$AN$18,HLOOKUP("kdk bjm",rku_TW_IV,11,FALSE),IF($D$1=$AN$19,HLOOKUP("kdk bjm",rku_SM_I,11,FALSE),IF($D$1=$AN$20,HLOOKUP("kdk bjm",rku_SM_II,11,FALSE),IF($D$1=$AN$21,HLOOKUP("kdk bjm",rku_2013,11,FALSE),IF($D$1=$AN$22,HLOOKUP("kdk bjm",rku_jan_apr,11,FALSE),IF($D$1=$AN$23,HLOOKUP("kdk bjm",rku_jan_mei,11,FALSE),IF($D$1=$AN$24,HLOOKUP("kdk bjm",rku_jan_jul,11,FALSE),IF($D$1=$AN$25,HLOOKUP("kdk bjm",rku_jan_ags,11,FALSE),IF($D$1=$AN$26,HLOOKUP("kdk bjm",rku_jan_sep,11,FALSE),IF($D$1=$AN$27,HLOOKUP("kdk bjm",rku_jan_okt,11,FALSE),IF($D$1=$AN$28,HLOOKUP("kdk bjm",rku_jan_nov,11,FALSE),0)))))))))))))))))))))))))))</f>
        <v>7735</v>
      </c>
      <c r="O60" s="84">
        <f>IF($D$1&lt;&gt;"",IF($D$1=$AN$3,HLOOKUP("kdk bjm",rku_01.jan,12,FALSE),IF($D$1=$AN$4,HLOOKUP("kdk bjm",rku_02.feb,12,FALSE),IF($D$1=$AN$5,HLOOKUP("kdk bjm",rku_03.mar,12,FALSE),IF($D$1=$AN$6,HLOOKUP("kdk bjm",rku_04.apr,12,FALSE),IF($D$1=$AN$7,HLOOKUP("kdk bjm",rku_05.mei,12,FALSE),IF($D$1=$AN$8,HLOOKUP("kdk bjm",rku_06.jun,12,FALSE),IF($D$1=$AN$9,HLOOKUP("kdk bjm",rku_07.jul,12,FALSE),IF($D$1=$AN$10,HLOOKUP("kdk bjm",rku_08.ags,12,FALSE),IF($D$1=$AN$11,HLOOKUP("kdk bjm",rku_09.sep,12,FALSE),IF($D$1=$AN$12,HLOOKUP("kdk bjm",rku_10.okt,12,FALSE),IF($D$1=$AN$13,HLOOKUP("kdk bjm",rku_11.nov,12,FALSE),IF($D$1=$AN$14,HLOOKUP("kdk bjm",rku_12.des,12,FALSE),IF($D$1=$AN$15,HLOOKUP("kdk bjm",rku_TW_I,12,FALSE),IF($D$1=$AN$16,HLOOKUP("kdk bjm",rku_TW_II,12,FALSE),IF($D$1=$AN$17,HLOOKUP("kdk bjm",rku_TW_III,12,FALSE),IF($D$1=$AN$18,HLOOKUP("kdk bjm",rku_TW_IV,12,FALSE),IF($D$1=$AN$19,HLOOKUP("kdk bjm",rku_SM_I,12,FALSE),IF($D$1=$AN$20,HLOOKUP("kdk bjm",rku_SM_II,12,FALSE),IF($D$1=$AN$21,HLOOKUP("kdk bjm",rku_2013,12,FALSE),IF($D$1=$AN$22,HLOOKUP("kdk bjm",rku_jan_apr,12,FALSE),IF($D$1=$AN$23,HLOOKUP("kdk bjm",rku_jan_mei,12,FALSE),IF($D$1=$AN$24,HLOOKUP("kdk bjm",rku_jan_jul,12,FALSE),IF($D$1=$AN$25,HLOOKUP("kdk bjm",rku_jan_ags,12,FALSE),IF($D$1=$AN$26,HLOOKUP("kdk bjm",rku_jan_sep,12,FALSE),IF($D$1=$AN$27,HLOOKUP("kdk bjm",rku_jan_okt,12,FALSE),IF($D$1=$AN$28,HLOOKUP("kdk bjm",rku_jan_nov,12,FALSE),0)))))))))))))))))))))))))))</f>
        <v>3118</v>
      </c>
      <c r="P60" s="84">
        <f>IF($D$1&lt;&gt;"",IF($D$1=$AN$3,HLOOKUP("kdk bjm",rku_01.jan,13,FALSE),IF($D$1=$AN$4,HLOOKUP("kdk bjm",rku_02.feb,13,FALSE),IF($D$1=$AN$5,HLOOKUP("kdk bjm",rku_03.mar,13,FALSE),IF($D$1=$AN$6,HLOOKUP("kdk bjm",rku_04.apr,13,FALSE),IF($D$1=$AN$7,HLOOKUP("kdk bjm",rku_05.mei,13,FALSE),IF($D$1=$AN$8,HLOOKUP("kdk bjm",rku_06.jun,13,FALSE),IF($D$1=$AN$9,HLOOKUP("kdk bjm",rku_07.jul,13,FALSE),IF($D$1=$AN$10,HLOOKUP("kdk bjm",rku_08.ags,13,FALSE),IF($D$1=$AN$11,HLOOKUP("kdk bjm",rku_09.sep,13,FALSE),IF($D$1=$AN$12,HLOOKUP("kdk bjm",rku_10.okt,13,FALSE),IF($D$1=$AN$13,HLOOKUP("kdk bjm",rku_11.nov,13,FALSE),IF($D$1=$AN$14,HLOOKUP("kdk bjm",rku_12.des,13,FALSE),IF($D$1=$AN$15,HLOOKUP("kdk bjm",rku_TW_I,13,FALSE),IF($D$1=$AN$16,HLOOKUP("kdk bjm",rku_TW_II,13,FALSE),IF($D$1=$AN$17,HLOOKUP("kdk bjm",rku_TW_III,13,FALSE),IF($D$1=$AN$18,HLOOKUP("kdk bjm",rku_TW_IV,13,FALSE),IF($D$1=$AN$19,HLOOKUP("kdk bjm",rku_SM_I,13,FALSE),IF($D$1=$AN$20,HLOOKUP("kdk bjm",rku_SM_II,13,FALSE),IF($D$1=$AN$21,HLOOKUP("kdk bjm",rku_2013,13,FALSE),IF($D$1=$AN$22,HLOOKUP("kdk bjm",rku_jan_apr,13,FALSE),IF($D$1=$AN$23,HLOOKUP("kdk bjm",rku_jan_mei,13,FALSE),IF($D$1=$AN$24,HLOOKUP("kdk bjm",rku_jan_jul,13,FALSE),IF($D$1=$AN$25,HLOOKUP("kdk bjm",rku_jan_ags,13,FALSE),IF($D$1=$AN$26,HLOOKUP("kdk bjm",rku_jan_sep,13,FALSE),IF($D$1=$AN$27,HLOOKUP("kdk bjm",rku_jan_okt,13,FALSE),IF($D$1=$AN$28,HLOOKUP("kdk bjm",rku_jan_nov,13,FALSE),0)))))))))))))))))))))))))))</f>
        <v>1669</v>
      </c>
      <c r="Q60" s="84">
        <f>IF($D$1&lt;&gt;"",IF($D$1=$AN$3,HLOOKUP("kdk bjm",rku_01.jan,14,FALSE),IF($D$1=$AN$4,HLOOKUP("kdk bjm",rku_02.feb,14,FALSE),IF($D$1=$AN$5,HLOOKUP("kdk bjm",rku_03.mar,14,FALSE),IF($D$1=$AN$6,HLOOKUP("kdk bjm",rku_04.apr,14,FALSE),IF($D$1=$AN$7,HLOOKUP("kdk bjm",rku_05.mei,14,FALSE),IF($D$1=$AN$8,HLOOKUP("kdk bjm",rku_06.jun,14,FALSE),IF($D$1=$AN$9,HLOOKUP("kdk bjm",rku_07.jul,14,FALSE),IF($D$1=$AN$10,HLOOKUP("kdk bjm",rku_08.ags,14,FALSE),IF($D$1=$AN$11,HLOOKUP("kdk bjm",rku_09.sep,14,FALSE),IF($D$1=$AN$12,HLOOKUP("kdk bjm",rku_10.okt,14,FALSE),IF($D$1=$AN$13,HLOOKUP("kdk bjm",rku_11.nov,14,FALSE),IF($D$1=$AN$14,HLOOKUP("kdk bjm",rku_12.des,14,FALSE),IF($D$1=$AN$15,HLOOKUP("kdk bjm",rku_TW_I,14,FALSE),IF($D$1=$AN$16,HLOOKUP("kdk bjm",rku_TW_II,14,FALSE),IF($D$1=$AN$17,HLOOKUP("kdk bjm",rku_TW_III,14,FALSE),IF($D$1=$AN$18,HLOOKUP("kdk bjm",rku_TW_IV,14,FALSE),IF($D$1=$AN$19,HLOOKUP("kdk bjm",rku_SM_I,14,FALSE),IF($D$1=$AN$20,HLOOKUP("kdk bjm",rku_SM_II,14,FALSE),IF($D$1=$AN$21,HLOOKUP("kdk bjm",rku_2013,14,FALSE),IF($D$1=$AN$22,HLOOKUP("kdk bjm",rku_jan_apr,14,FALSE),IF($D$1=$AN$23,HLOOKUP("kdk bjm",rku_jan_mei,14,FALSE),IF($D$1=$AN$24,HLOOKUP("kdk bjm",rku_jan_jul,14,FALSE),IF($D$1=$AN$25,HLOOKUP("kdk bjm",rku_jan_ags,14,FALSE),IF($D$1=$AN$26,HLOOKUP("kdk bjm",rku_jan_sep,14,FALSE),IF($D$1=$AN$27,HLOOKUP("kdk bjm",rku_jan_okt,14,FALSE),IF($D$1=$AN$28,HLOOKUP("kdk bjm",rku_jan_nov,14,FALSE),0)))))))))))))))))))))))))))</f>
        <v>0</v>
      </c>
      <c r="R60" s="85">
        <f>+SUM(M60:Q60)</f>
        <v>27117</v>
      </c>
      <c r="S60" s="84">
        <f>+R60+L60</f>
        <v>8915417</v>
      </c>
      <c r="U60" s="81">
        <v>11</v>
      </c>
      <c r="V60" s="83" t="s">
        <v>211</v>
      </c>
      <c r="W60" s="83" t="s">
        <v>180</v>
      </c>
      <c r="X60" s="84">
        <f t="shared" ref="X60:AD61" si="79">E60/X$100</f>
        <v>2768</v>
      </c>
      <c r="Y60" s="84">
        <f t="shared" si="79"/>
        <v>2753</v>
      </c>
      <c r="Z60" s="84">
        <f t="shared" si="79"/>
        <v>677</v>
      </c>
      <c r="AA60" s="84">
        <f t="shared" si="79"/>
        <v>692</v>
      </c>
      <c r="AB60" s="84">
        <f t="shared" si="79"/>
        <v>1245</v>
      </c>
      <c r="AC60" s="84">
        <f t="shared" si="79"/>
        <v>1564</v>
      </c>
      <c r="AD60" s="84">
        <f t="shared" si="79"/>
        <v>152</v>
      </c>
      <c r="AE60" s="85">
        <f>+SUM(X60:AD60)</f>
        <v>9851</v>
      </c>
      <c r="AF60" s="84">
        <f t="shared" ref="AF60:AJ61" si="80">M60/AF$100</f>
        <v>2919</v>
      </c>
      <c r="AG60" s="84">
        <f t="shared" si="80"/>
        <v>3094</v>
      </c>
      <c r="AH60" s="84">
        <f t="shared" si="80"/>
        <v>1559</v>
      </c>
      <c r="AI60" s="84">
        <f t="shared" si="80"/>
        <v>1669</v>
      </c>
      <c r="AJ60" s="84">
        <f t="shared" si="80"/>
        <v>0</v>
      </c>
      <c r="AK60" s="85">
        <f>+SUM(AF60:AJ60)</f>
        <v>9241</v>
      </c>
      <c r="AL60" s="84">
        <f>+AK60+AE60</f>
        <v>19092</v>
      </c>
    </row>
    <row r="61" spans="2:39" ht="14.25" x14ac:dyDescent="0.2">
      <c r="B61" s="86"/>
      <c r="C61" s="87"/>
      <c r="D61" s="87" t="s">
        <v>182</v>
      </c>
      <c r="E61" s="88">
        <f>IF($D$1&lt;&gt;"",IF($D$1=$AN$3,HLOOKUP("kdk bjm",real_rku_01.jan,2,FALSE),IF($D$1=$AN$4,HLOOKUP("kdk bjm",real_rku_02.feb,2,FALSE),IF($D$1=$AN$5,HLOOKUP("kdk bjm",real_rku_03.mar,2,FALSE),IF($D$1=$AN$6,HLOOKUP("kdk bjm",real_rku_04.apr,2,FALSE),IF($D$1=$AN$7,HLOOKUP("kdk bjm",real_rku_05.mei,2,FALSE),IF($D$1=$AN$8,HLOOKUP("kdk bjm",real_rku_06.jun,2,FALSE),IF($D$1=$AN$9,HLOOKUP("kdk bjm",real_rku_07.jul,2,FALSE),IF($D$1=$AN$10,HLOOKUP("kdk bjm",real_rku_08.ags,2,FALSE),IF($D$1=$AN$11,HLOOKUP("kdk bjm",real_rku_09.sep,2,FALSE),IF($D$1=$AN$12,HLOOKUP("kdk bjm",real_rku_10.okt,2,FALSE),IF($D$1=$AN$13,HLOOKUP("kdk bjm",real_rku_11.nov,2,FALSE),IF($D$1=$AN$14,HLOOKUP("kdk bjm",real_rku_12.des,2,FALSE),IF($D$1=$AN$15,HLOOKUP("kdk bjm",real_rku_TW_I,2,FALSE),IF($D$1=$AN$16,HLOOKUP("kdk bjm",real_rku_TW_II,2,FALSE),IF($D$1=$AN$17,HLOOKUP("kdk bjm",real_rku_TW_III,2,FALSE),IF($D$1=$AN$18,HLOOKUP("kdk bjm",real_rku_TW_IV,2,FALSE),IF($D$1=$AN$19,HLOOKUP("kdk bjm",real_rku_SM_I,2,FALSE),IF($D$1=$AN$20,HLOOKUP("kdk bjm",real_rku_SM_II,2,FALSE),IF($D$1=$AN$21,HLOOKUP("kdk bjm",real_rku_2013,2,FALSE),IF($D$1=$AN$22,HLOOKUP("kdk bjm",real_rku_jan_apr,2,FALSE),IF($D$1=$AN$23,HLOOKUP("kdk bjm",real_rku_jan_mei,2,FALSE),IF($D$1=$AN$24,HLOOKUP("kdk bjm",real_rku_jan_jul,2,FALSE),IF($D$1=$AN$25,HLOOKUP("kdk bjm",real_rku_jan_ags,2,FALSE),IF($D$1=$AN$26,HLOOKUP("kdk bjm",real_rku_jan_sep,2,FALSE),IF($D$1=$AN$27,HLOOKUP("kdk bjm",real_rku_jan_okt,2,FALSE),IF($D$1=$AN$28,HLOOKUP("kdk bjm",real_rku_jan_nov,2,FALSE),0)))))))))))))))))))))))))))</f>
        <v>5100000</v>
      </c>
      <c r="F61" s="88">
        <f>IF($D$1&lt;&gt;"",IF($D$1=$AN$3,HLOOKUP("kdk bjm",real_rku_01.jan,3,FALSE),IF($D$1=$AN$4,HLOOKUP("kdk bjm",real_rku_02.feb,3,FALSE),IF($D$1=$AN$5,HLOOKUP("kdk bjm",real_rku_03.mar,3,FALSE),IF($D$1=$AN$6,HLOOKUP("kdk bjm",real_rku_04.apr,3,FALSE),IF($D$1=$AN$7,HLOOKUP("kdk bjm",real_rku_05.mei,3,FALSE),IF($D$1=$AN$8,HLOOKUP("kdk bjm",real_rku_06.jun,3,FALSE),IF($D$1=$AN$9,HLOOKUP("kdk bjm",real_rku_07.jul,3,FALSE),IF($D$1=$AN$10,HLOOKUP("kdk bjm",real_rku_08.ags,3,FALSE),IF($D$1=$AN$11,HLOOKUP("kdk bjm",real_rku_09.sep,3,FALSE),IF($D$1=$AN$12,HLOOKUP("kdk bjm",real_rku_10.okt,3,FALSE),IF($D$1=$AN$13,HLOOKUP("kdk bjm",real_rku_11.nov,3,FALSE),IF($D$1=$AN$14,HLOOKUP("kdk bjm",real_rku_12.des,3,FALSE),IF($D$1=$AN$15,HLOOKUP("kdk bjm",real_rku_TW_I,3,FALSE),IF($D$1=$AN$16,HLOOKUP("kdk bjm",real_rku_TW_II,3,FALSE),IF($D$1=$AN$17,HLOOKUP("kdk bjm",real_rku_TW_III,3,FALSE),IF($D$1=$AN$18,HLOOKUP("kdk bjm",real_rku_TW_IV,3,FALSE),IF($D$1=$AN$19,HLOOKUP("kdk bjm",real_rku_SM_I,3,FALSE),IF($D$1=$AN$20,HLOOKUP("kdk bjm",real_rku_SM_II,3,FALSE),IF($D$1=$AN$21,HLOOKUP("kdk bjm",real_rku_2013,3,FALSE),IF($D$1=$AN$22,HLOOKUP("kdk bjm",real_rku_jan_apr,3,FALSE),IF($D$1=$AN$23,HLOOKUP("kdk bjm",real_rku_jan_mei,3,FALSE),IF($D$1=$AN$24,HLOOKUP("kdk bjm",real_rku_jan_jul,3,FALSE),IF($D$1=$AN$25,HLOOKUP("kdk bjm",real_rku_jan_ags,3,FALSE),IF($D$1=$AN$26,HLOOKUP("kdk bjm",real_rku_jan_sep,3,FALSE),IF($D$1=$AN$27,HLOOKUP("kdk bjm",real_rku_jan_okt,3,FALSE),IF($D$1=$AN$28,HLOOKUP("kdk bjm",real_rku_jan_nov,3,FALSE),0)))))))))))))))))))))))))))</f>
        <v>2900000</v>
      </c>
      <c r="G61" s="88">
        <f>IF($D$1&lt;&gt;"",IF($D$1=$AN$3,HLOOKUP("kdk bjm",real_rku_01.jan,4,FALSE),IF($D$1=$AN$4,HLOOKUP("kdk bjm",real_rku_02.feb,4,FALSE),IF($D$1=$AN$5,HLOOKUP("kdk bjm",real_rku_03.mar,4,FALSE),IF($D$1=$AN$6,HLOOKUP("kdk bjm",real_rku_04.apr,4,FALSE),IF($D$1=$AN$7,HLOOKUP("kdk bjm",real_rku_05.mei,4,FALSE),IF($D$1=$AN$8,HLOOKUP("kdk bjm",real_rku_06.jun,4,FALSE),IF($D$1=$AN$9,HLOOKUP("kdk bjm",real_rku_07.jul,4,FALSE),IF($D$1=$AN$10,HLOOKUP("kdk bjm",real_rku_08.ags,4,FALSE),IF($D$1=$AN$11,HLOOKUP("kdk bjm",real_rku_09.sep,4,FALSE),IF($D$1=$AN$12,HLOOKUP("kdk bjm",real_rku_10.okt,4,FALSE),IF($D$1=$AN$13,HLOOKUP("kdk bjm",real_rku_11.nov,4,FALSE),IF($D$1=$AN$14,HLOOKUP("kdk bjm",real_rku_12.des,4,FALSE),IF($D$1=$AN$15,HLOOKUP("kdk bjm",real_rku_TW_I,4,FALSE),IF($D$1=$AN$16,HLOOKUP("kdk bjm",real_rku_TW_II,4,FALSE),IF($D$1=$AN$17,HLOOKUP("kdk bjm",real_rku_TW_III,4,FALSE),IF($D$1=$AN$18,HLOOKUP("kdk bjm",real_rku_TW_IV,4,FALSE),IF($D$1=$AN$19,HLOOKUP("kdk bjm",real_rku_SM_I,4,FALSE),IF($D$1=$AN$20,HLOOKUP("kdk bjm",real_rku_SM_II,4,FALSE),IF($D$1=$AN$21,HLOOKUP("kdk bjm",real_rku_2013,4,FALSE),IF($D$1=$AN$22,HLOOKUP("kdk bjm",real_rku_jan_apr,4,FALSE),IF($D$1=$AN$23,HLOOKUP("kdk bjm",real_rku_jan_mei,4,FALSE),IF($D$1=$AN$24,HLOOKUP("kdk bjm",real_rku_jan_jul,4,FALSE),IF($D$1=$AN$25,HLOOKUP("kdk bjm",real_rku_jan_ags,4,FALSE),IF($D$1=$AN$26,HLOOKUP("kdk bjm",real_rku_jan_sep,4,FALSE),IF($D$1=$AN$27,HLOOKUP("kdk bjm",real_rku_jan_okt,4,FALSE),IF($D$1=$AN$28,HLOOKUP("kdk bjm",real_rku_jan_nov,4,FALSE),0)))))))))))))))))))))))))))</f>
        <v>380000</v>
      </c>
      <c r="H61" s="88">
        <f>IF($D$1&lt;&gt;"",IF($D$1=$AN$3,HLOOKUP("kdk bjm",real_rku_01.jan,5,FALSE),IF($D$1=$AN$4,HLOOKUP("kdk bjm",real_rku_02.feb,5,FALSE),IF($D$1=$AN$5,HLOOKUP("kdk bjm",real_rku_03.mar,5,FALSE),IF($D$1=$AN$6,HLOOKUP("kdk bjm",real_rku_04.apr,5,FALSE),IF($D$1=$AN$7,HLOOKUP("kdk bjm",real_rku_05.mei,5,FALSE),IF($D$1=$AN$8,HLOOKUP("kdk bjm",real_rku_06.jun,5,FALSE),IF($D$1=$AN$9,HLOOKUP("kdk bjm",real_rku_07.jul,5,FALSE),IF($D$1=$AN$10,HLOOKUP("kdk bjm",real_rku_08.ags,5,FALSE),IF($D$1=$AN$11,HLOOKUP("kdk bjm",real_rku_09.sep,5,FALSE),IF($D$1=$AN$12,HLOOKUP("kdk bjm",real_rku_10.okt,5,FALSE),IF($D$1=$AN$13,HLOOKUP("kdk bjm",real_rku_11.nov,5,FALSE),IF($D$1=$AN$14,HLOOKUP("kdk bjm",real_rku_12.des,5,FALSE),IF($D$1=$AN$15,HLOOKUP("kdk bjm",real_rku_TW_I,5,FALSE),IF($D$1=$AN$16,HLOOKUP("kdk bjm",real_rku_TW_II,5,FALSE),IF($D$1=$AN$17,HLOOKUP("kdk bjm",real_rku_TW_III,5,FALSE),IF($D$1=$AN$18,HLOOKUP("kdk bjm",real_rku_TW_IV,5,FALSE),IF($D$1=$AN$19,HLOOKUP("kdk bjm",real_rku_SM_I,5,FALSE),IF($D$1=$AN$20,HLOOKUP("kdk bjm",real_rku_SM_II,5,FALSE),IF($D$1=$AN$21,HLOOKUP("kdk bjm",real_rku_2013,5,FALSE),IF($D$1=$AN$22,HLOOKUP("kdk bjm",real_rku_jan_apr,5,FALSE),IF($D$1=$AN$23,HLOOKUP("kdk bjm",real_rku_jan_mei,5,FALSE),IF($D$1=$AN$24,HLOOKUP("kdk bjm",real_rku_jan_jul,5,FALSE),IF($D$1=$AN$25,HLOOKUP("kdk bjm",real_rku_jan_ags,5,FALSE),IF($D$1=$AN$26,HLOOKUP("kdk bjm",real_rku_jan_sep,5,FALSE),IF($D$1=$AN$27,HLOOKUP("kdk bjm",real_rku_jan_okt,5,FALSE),IF($D$1=$AN$28,HLOOKUP("kdk bjm",real_rku_jan_nov,5,FALSE),0)))))))))))))))))))))))))))</f>
        <v>300000</v>
      </c>
      <c r="I61" s="88">
        <f>IF($D$1&lt;&gt;"",IF($D$1=$AN$3,HLOOKUP("kdk bjm",real_rku_01.jan,6,FALSE),IF($D$1=$AN$4,HLOOKUP("kdk bjm",real_rku_02.feb,6,FALSE),IF($D$1=$AN$5,HLOOKUP("kdk bjm",real_rku_03.mar,6,FALSE),IF($D$1=$AN$6,HLOOKUP("kdk bjm",real_rku_04.apr,6,FALSE),IF($D$1=$AN$7,HLOOKUP("kdk bjm",real_rku_05.mei,6,FALSE),IF($D$1=$AN$8,HLOOKUP("kdk bjm",real_rku_06.jun,6,FALSE),IF($D$1=$AN$9,HLOOKUP("kdk bjm",real_rku_07.jul,6,FALSE),IF($D$1=$AN$10,HLOOKUP("kdk bjm",real_rku_08.ags,6,FALSE),IF($D$1=$AN$11,HLOOKUP("kdk bjm",real_rku_09.sep,6,FALSE),IF($D$1=$AN$12,HLOOKUP("kdk bjm",real_rku_10.okt,6,FALSE),IF($D$1=$AN$13,HLOOKUP("kdk bjm",real_rku_11.nov,6,FALSE),IF($D$1=$AN$14,HLOOKUP("kdk bjm",real_rku_12.des,6,FALSE),IF($D$1=$AN$15,HLOOKUP("kdk bjm",real_rku_TW_I,6,FALSE),IF($D$1=$AN$16,HLOOKUP("kdk bjm",real_rku_TW_II,6,FALSE),IF($D$1=$AN$17,HLOOKUP("kdk bjm",real_rku_TW_III,6,FALSE),IF($D$1=$AN$18,HLOOKUP("kdk bjm",real_rku_TW_IV,6,FALSE),IF($D$1=$AN$19,HLOOKUP("kdk bjm",real_rku_SM_I,6,FALSE),IF($D$1=$AN$20,HLOOKUP("kdk bjm",real_rku_SM_II,6,FALSE),IF($D$1=$AN$21,HLOOKUP("kdk bjm",real_rku_2013,6,FALSE),IF($D$1=$AN$22,HLOOKUP("kdk bjm",real_rku_jan_apr,6,FALSE),IF($D$1=$AN$23,HLOOKUP("kdk bjm",real_rku_jan_mei,6,FALSE),IF($D$1=$AN$24,HLOOKUP("kdk bjm",real_rku_jan_jul,6,FALSE),IF($D$1=$AN$25,HLOOKUP("kdk bjm",real_rku_jan_ags,6,FALSE),IF($D$1=$AN$26,HLOOKUP("kdk bjm",real_rku_jan_sep,6,FALSE),IF($D$1=$AN$27,HLOOKUP("kdk bjm",real_rku_jan_okt,6,FALSE),IF($D$1=$AN$28,HLOOKUP("kdk bjm",real_rku_jan_nov,6,FALSE),0)))))))))))))))))))))))))))</f>
        <v>220000</v>
      </c>
      <c r="J61" s="88">
        <f>IF($D$1&lt;&gt;"",IF($D$1=$AN$3,HLOOKUP("kdk bjm",real_rku_01.jan,7,FALSE),IF($D$1=$AN$4,HLOOKUP("kdk bjm",real_rku_02.feb,7,FALSE),IF($D$1=$AN$5,HLOOKUP("kdk bjm",real_rku_03.mar,7,FALSE),IF($D$1=$AN$6,HLOOKUP("kdk bjm",real_rku_04.apr,7,FALSE),IF($D$1=$AN$7,HLOOKUP("kdk bjm",real_rku_05.mei,7,FALSE),IF($D$1=$AN$8,HLOOKUP("kdk bjm",real_rku_06.jun,7,FALSE),IF($D$1=$AN$9,HLOOKUP("kdk bjm",real_rku_07.jul,7,FALSE),IF($D$1=$AN$10,HLOOKUP("kdk bjm",real_rku_08.ags,7,FALSE),IF($D$1=$AN$11,HLOOKUP("kdk bjm",real_rku_09.sep,7,FALSE),IF($D$1=$AN$12,HLOOKUP("kdk bjm",real_rku_10.okt,7,FALSE),IF($D$1=$AN$13,HLOOKUP("kdk bjm",real_rku_11.nov,7,FALSE),IF($D$1=$AN$14,HLOOKUP("kdk bjm",real_rku_12.des,7,FALSE),IF($D$1=$AN$15,HLOOKUP("kdk bjm",real_rku_TW_I,7,FALSE),IF($D$1=$AN$16,HLOOKUP("kdk bjm",real_rku_TW_II,7,FALSE),IF($D$1=$AN$17,HLOOKUP("kdk bjm",real_rku_TW_III,7,FALSE),IF($D$1=$AN$18,HLOOKUP("kdk bjm",real_rku_TW_IV,7,FALSE),IF($D$1=$AN$19,HLOOKUP("kdk bjm",real_rku_SM_I,7,FALSE),IF($D$1=$AN$20,HLOOKUP("kdk bjm",real_rku_SM_II,7,FALSE),IF($D$1=$AN$21,HLOOKUP("kdk bjm",real_rku_2013,7,FALSE),IF($D$1=$AN$22,HLOOKUP("kdk bjm",real_rku_jan_apr,7,FALSE),IF($D$1=$AN$23,HLOOKUP("kdk bjm",real_rku_jan_mei,7,FALSE),IF($D$1=$AN$24,HLOOKUP("kdk bjm",real_rku_jan_jul,7,FALSE),IF($D$1=$AN$25,HLOOKUP("kdk bjm",real_rku_jan_ags,7,FALSE),IF($D$1=$AN$26,HLOOKUP("kdk bjm",real_rku_jan_sep,7,FALSE),IF($D$1=$AN$27,HLOOKUP("kdk bjm",real_rku_jan_okt,7,FALSE),IF($D$1=$AN$28,HLOOKUP("kdk bjm",real_rku_jan_nov,7,FALSE),0)))))))))))))))))))))))))))</f>
        <v>100000</v>
      </c>
      <c r="K61" s="88">
        <f>IF($D$1&lt;&gt;"",IF($D$1=$AN$3,HLOOKUP("kdk bjm",real_rku_01.jan,8,FALSE),IF($D$1=$AN$4,HLOOKUP("kdk bjm",real_rku_02.feb,8,FALSE),IF($D$1=$AN$5,HLOOKUP("kdk bjm",real_rku_03.mar,8,FALSE),IF($D$1=$AN$6,HLOOKUP("kdk bjm",real_rku_04.apr,8,FALSE),IF($D$1=$AN$7,HLOOKUP("kdk bjm",real_rku_05.mei,8,FALSE),IF($D$1=$AN$8,HLOOKUP("kdk bjm",real_rku_06.jun,8,FALSE),IF($D$1=$AN$9,HLOOKUP("kdk bjm",real_rku_07.jul,8,FALSE),IF($D$1=$AN$10,HLOOKUP("kdk bjm",real_rku_08.ags,8,FALSE),IF($D$1=$AN$11,HLOOKUP("kdk bjm",real_rku_09.sep,8,FALSE),IF($D$1=$AN$12,HLOOKUP("kdk bjm",real_rku_10.okt,8,FALSE),IF($D$1=$AN$13,HLOOKUP("kdk bjm",real_rku_11.nov,8,FALSE),IF($D$1=$AN$14,HLOOKUP("kdk bjm",real_rku_12.des,8,FALSE),IF($D$1=$AN$15,HLOOKUP("kdk bjm",real_rku_TW_I,8,FALSE),IF($D$1=$AN$16,HLOOKUP("kdk bjm",real_rku_TW_II,8,FALSE),IF($D$1=$AN$17,HLOOKUP("kdk bjm",real_rku_TW_III,8,FALSE),IF($D$1=$AN$18,HLOOKUP("kdk bjm",real_rku_TW_IV,8,FALSE),IF($D$1=$AN$19,HLOOKUP("kdk bjm",real_rku_SM_I,8,FALSE),IF($D$1=$AN$20,HLOOKUP("kdk bjm",real_rku_SM_II,8,FALSE),IF($D$1=$AN$21,HLOOKUP("kdk bjm",real_rku_2013,8,FALSE),IF($D$1=$AN$22,HLOOKUP("kdk bjm",real_rku_jan_apr,8,FALSE),IF($D$1=$AN$23,HLOOKUP("kdk bjm",real_rku_jan_mei,8,FALSE),IF($D$1=$AN$24,HLOOKUP("kdk bjm",real_rku_jan_jul,8,FALSE),IF($D$1=$AN$25,HLOOKUP("kdk bjm",real_rku_jan_ags,8,FALSE),IF($D$1=$AN$26,HLOOKUP("kdk bjm",real_rku_jan_sep,8,FALSE),IF($D$1=$AN$27,HLOOKUP("kdk bjm",real_rku_jan_okt,8,FALSE),IF($D$1=$AN$28,HLOOKUP("kdk bjm",real_rku_jan_nov,8,FALSE),0)))))))))))))))))))))))))))</f>
        <v>3000</v>
      </c>
      <c r="L61" s="89">
        <f>+SUM(E61:K61)</f>
        <v>9003000</v>
      </c>
      <c r="M61" s="88">
        <f>IF($D$1&lt;&gt;"",IF($D$1=$AN$3,HLOOKUP("kdk bjm",real_rku_01.jan,10,FALSE),IF($D$1=$AN$4,HLOOKUP("kdk bjm",real_rku_02.feb,10,FALSE),IF($D$1=$AN$5,HLOOKUP("kdk bjm",real_rku_03.mar,10,FALSE),IF($D$1=$AN$6,HLOOKUP("kdk bjm",real_rku_04.apr,10,FALSE),IF($D$1=$AN$7,HLOOKUP("kdk bjm",real_rku_05.mei,10,FALSE),IF($D$1=$AN$8,HLOOKUP("kdk bjm",real_rku_06.jun,10,FALSE),IF($D$1=$AN$9,HLOOKUP("kdk bjm",real_rku_07.jul,10,FALSE),IF($D$1=$AN$10,HLOOKUP("kdk bjm",real_rku_08.ags,10,FALSE),IF($D$1=$AN$11,HLOOKUP("kdk bjm",real_rku_09.sep,10,FALSE),IF($D$1=$AN$12,HLOOKUP("kdk bjm",real_rku_10.okt,10,FALSE),IF($D$1=$AN$13,HLOOKUP("kdk bjm",real_rku_11.nov,10,FALSE),IF($D$1=$AN$14,HLOOKUP("kdk bjm",real_rku_12.des,10,FALSE),IF($D$1=$AN$15,HLOOKUP("kdk bjm",real_rku_TW_I,10,FALSE),IF($D$1=$AN$16,HLOOKUP("kdk bjm",real_rku_TW_II,10,FALSE),IF($D$1=$AN$17,HLOOKUP("kdk bjm",real_rku_TW_III,10,FALSE),IF($D$1=$AN$18,HLOOKUP("kdk bjm",real_rku_TW_IV,10,FALSE),IF($D$1=$AN$19,HLOOKUP("kdk bjm",real_rku_SM_I,10,FALSE),IF($D$1=$AN$20,HLOOKUP("kdk bjm",real_rku_SM_II,10,FALSE),IF($D$1=$AN$21,HLOOKUP("kdk bjm",real_rku_2013,10,FALSE),IF($D$1=$AN$22,HLOOKUP("kdk bjm",real_rku_jan_apr,10,FALSE),IF($D$1=$AN$23,HLOOKUP("kdk bjm",real_rku_jan_mei,10,FALSE),IF($D$1=$AN$24,HLOOKUP("kdk bjm",real_rku_jan_jul,10,FALSE),IF($D$1=$AN$25,HLOOKUP("kdk bjm",real_rku_jan_ags,10,FALSE),IF($D$1=$AN$26,HLOOKUP("kdk bjm",real_rku_jan_sep,10,FALSE),IF($D$1=$AN$27,HLOOKUP("kdk bjm",real_rku_jan_okt,10,FALSE),IF($D$1=$AN$28,HLOOKUP("kdk bjm",real_rku_jan_nov,10,FALSE),0)))))))))))))))))))))))))))</f>
        <v>17250</v>
      </c>
      <c r="N61" s="88">
        <f>IF($D$1&lt;&gt;"",IF($D$1=$AN$3,HLOOKUP("kdk bjm",real_rku_01.jan,11,FALSE),IF($D$1=$AN$4,HLOOKUP("kdk bjm",real_rku_02.feb,11,FALSE),IF($D$1=$AN$5,HLOOKUP("kdk bjm",real_rku_03.mar,11,FALSE),IF($D$1=$AN$6,HLOOKUP("kdk bjm",real_rku_04.apr,11,FALSE),IF($D$1=$AN$7,HLOOKUP("kdk bjm",real_rku_05.mei,11,FALSE),IF($D$1=$AN$8,HLOOKUP("kdk bjm",real_rku_06.jun,11,FALSE),IF($D$1=$AN$9,HLOOKUP("kdk bjm",real_rku_07.jul,11,FALSE),IF($D$1=$AN$10,HLOOKUP("kdk bjm",real_rku_08.ags,11,FALSE),IF($D$1=$AN$11,HLOOKUP("kdk bjm",real_rku_09.sep,11,FALSE),IF($D$1=$AN$12,HLOOKUP("kdk bjm",real_rku_10.okt,11,FALSE),IF($D$1=$AN$13,HLOOKUP("kdk bjm",real_rku_11.nov,11,FALSE),IF($D$1=$AN$14,HLOOKUP("kdk bjm",real_rku_12.des,11,FALSE),IF($D$1=$AN$15,HLOOKUP("kdk bjm",real_rku_TW_I,11,FALSE),IF($D$1=$AN$16,HLOOKUP("kdk bjm",real_rku_TW_II,11,FALSE),IF($D$1=$AN$17,HLOOKUP("kdk bjm",real_rku_TW_III,11,FALSE),IF($D$1=$AN$18,HLOOKUP("kdk bjm",real_rku_TW_IV,11,FALSE),IF($D$1=$AN$19,HLOOKUP("kdk bjm",real_rku_SM_I,11,FALSE),IF($D$1=$AN$20,HLOOKUP("kdk bjm",real_rku_SM_II,11,FALSE),IF($D$1=$AN$21,HLOOKUP("kdk bjm",real_rku_2013,11,FALSE),IF($D$1=$AN$22,HLOOKUP("kdk bjm",real_rku_jan_apr,11,FALSE),IF($D$1=$AN$23,HLOOKUP("kdk bjm",real_rku_jan_mei,11,FALSE),IF($D$1=$AN$24,HLOOKUP("kdk bjm",real_rku_jan_jul,11,FALSE),IF($D$1=$AN$25,HLOOKUP("kdk bjm",real_rku_jan_ags,11,FALSE),IF($D$1=$AN$26,HLOOKUP("kdk bjm",real_rku_jan_sep,11,FALSE),IF($D$1=$AN$27,HLOOKUP("kdk bjm",real_rku_jan_okt,11,FALSE),IF($D$1=$AN$28,HLOOKUP("kdk bjm",real_rku_jan_nov,11,FALSE),0)))))))))))))))))))))))))))</f>
        <v>8375</v>
      </c>
      <c r="O61" s="88">
        <f>IF($D$1&lt;&gt;"",IF($D$1=$AN$3,HLOOKUP("kdk bjm",real_rku_01.jan,12,FALSE),IF($D$1=$AN$4,HLOOKUP("kdk bjm",real_rku_02.feb,12,FALSE),IF($D$1=$AN$5,HLOOKUP("kdk bjm",real_rku_03.mar,12,FALSE),IF($D$1=$AN$6,HLOOKUP("kdk bjm",real_rku_04.apr,12,FALSE),IF($D$1=$AN$7,HLOOKUP("kdk bjm",real_rku_05.mei,12,FALSE),IF($D$1=$AN$8,HLOOKUP("kdk bjm",real_rku_06.jun,12,FALSE),IF($D$1=$AN$9,HLOOKUP("kdk bjm",real_rku_07.jul,12,FALSE),IF($D$1=$AN$10,HLOOKUP("kdk bjm",real_rku_08.ags,12,FALSE),IF($D$1=$AN$11,HLOOKUP("kdk bjm",real_rku_09.sep,12,FALSE),IF($D$1=$AN$12,HLOOKUP("kdk bjm",real_rku_10.okt,12,FALSE),IF($D$1=$AN$13,HLOOKUP("kdk bjm",real_rku_11.nov,12,FALSE),IF($D$1=$AN$14,HLOOKUP("kdk bjm",real_rku_12.des,12,FALSE),IF($D$1=$AN$15,HLOOKUP("kdk bjm",real_rku_TW_I,12,FALSE),IF($D$1=$AN$16,HLOOKUP("kdk bjm",real_rku_TW_II,12,FALSE),IF($D$1=$AN$17,HLOOKUP("kdk bjm",real_rku_TW_III,12,FALSE),IF($D$1=$AN$18,HLOOKUP("kdk bjm",real_rku_TW_IV,12,FALSE),IF($D$1=$AN$19,HLOOKUP("kdk bjm",real_rku_SM_I,12,FALSE),IF($D$1=$AN$20,HLOOKUP("kdk bjm",real_rku_SM_II,12,FALSE),IF($D$1=$AN$21,HLOOKUP("kdk bjm",real_rku_2013,12,FALSE),IF($D$1=$AN$22,HLOOKUP("kdk bjm",real_rku_jan_apr,12,FALSE),IF($D$1=$AN$23,HLOOKUP("kdk bjm",real_rku_jan_mei,12,FALSE),IF($D$1=$AN$24,HLOOKUP("kdk bjm",real_rku_jan_jul,12,FALSE),IF($D$1=$AN$25,HLOOKUP("kdk bjm",real_rku_jan_ags,12,FALSE),IF($D$1=$AN$26,HLOOKUP("kdk bjm",real_rku_jan_sep,12,FALSE),IF($D$1=$AN$27,HLOOKUP("kdk bjm",real_rku_jan_okt,12,FALSE),IF($D$1=$AN$28,HLOOKUP("kdk bjm",real_rku_jan_nov,12,FALSE),0)))))))))))))))))))))))))))</f>
        <v>2900</v>
      </c>
      <c r="P61" s="88">
        <f>IF($D$1&lt;&gt;"",IF($D$1=$AN$3,HLOOKUP("kdk bjm",real_rku_01.jan,13,FALSE),IF($D$1=$AN$4,HLOOKUP("kdk bjm",real_rku_02.feb,13,FALSE),IF($D$1=$AN$5,HLOOKUP("kdk bjm",real_rku_03.mar,13,FALSE),IF($D$1=$AN$6,HLOOKUP("kdk bjm",real_rku_04.apr,13,FALSE),IF($D$1=$AN$7,HLOOKUP("kdk bjm",real_rku_05.mei,13,FALSE),IF($D$1=$AN$8,HLOOKUP("kdk bjm",real_rku_06.jun,13,FALSE),IF($D$1=$AN$9,HLOOKUP("kdk bjm",real_rku_07.jul,13,FALSE),IF($D$1=$AN$10,HLOOKUP("kdk bjm",real_rku_08.ags,13,FALSE),IF($D$1=$AN$11,HLOOKUP("kdk bjm",real_rku_09.sep,13,FALSE),IF($D$1=$AN$12,HLOOKUP("kdk bjm",real_rku_10.okt,13,FALSE),IF($D$1=$AN$13,HLOOKUP("kdk bjm",real_rku_11.nov,13,FALSE),IF($D$1=$AN$14,HLOOKUP("kdk bjm",real_rku_12.des,13,FALSE),IF($D$1=$AN$15,HLOOKUP("kdk bjm",real_rku_TW_I,13,FALSE),IF($D$1=$AN$16,HLOOKUP("kdk bjm",real_rku_TW_II,13,FALSE),IF($D$1=$AN$17,HLOOKUP("kdk bjm",real_rku_TW_III,13,FALSE),IF($D$1=$AN$18,HLOOKUP("kdk bjm",real_rku_TW_IV,13,FALSE),IF($D$1=$AN$19,HLOOKUP("kdk bjm",real_rku_SM_I,13,FALSE),IF($D$1=$AN$20,HLOOKUP("kdk bjm",real_rku_SM_II,13,FALSE),IF($D$1=$AN$21,HLOOKUP("kdk bjm",real_rku_2013,13,FALSE),IF($D$1=$AN$22,HLOOKUP("kdk bjm",real_rku_jan_apr,13,FALSE),IF($D$1=$AN$23,HLOOKUP("kdk bjm",real_rku_jan_mei,13,FALSE),IF($D$1=$AN$24,HLOOKUP("kdk bjm",real_rku_jan_jul,13,FALSE),IF($D$1=$AN$25,HLOOKUP("kdk bjm",real_rku_jan_ags,13,FALSE),IF($D$1=$AN$26,HLOOKUP("kdk bjm",real_rku_jan_sep,13,FALSE),IF($D$1=$AN$27,HLOOKUP("kdk bjm",real_rku_jan_okt,13,FALSE),IF($D$1=$AN$28,HLOOKUP("kdk bjm",real_rku_jan_nov,13,FALSE),0)))))))))))))))))))))))))))</f>
        <v>1500</v>
      </c>
      <c r="Q61" s="88">
        <f>IF($D$1&lt;&gt;"",IF($D$1=$AN$3,HLOOKUP("kdk bjm",real_rku_01.jan,14,FALSE),IF($D$1=$AN$4,HLOOKUP("kdk bjm",real_rku_02.feb,14,FALSE),IF($D$1=$AN$5,HLOOKUP("kdk bjm",real_rku_03.mar,14,FALSE),IF($D$1=$AN$6,HLOOKUP("kdk bjm",real_rku_04.apr,14,FALSE),IF($D$1=$AN$7,HLOOKUP("kdk bjm",real_rku_05.mei,14,FALSE),IF($D$1=$AN$8,HLOOKUP("kdk bjm",real_rku_06.jun,14,FALSE),IF($D$1=$AN$9,HLOOKUP("kdk bjm",real_rku_07.jul,14,FALSE),IF($D$1=$AN$10,HLOOKUP("kdk bjm",real_rku_08.ags,14,FALSE),IF($D$1=$AN$11,HLOOKUP("kdk bjm",real_rku_09.sep,14,FALSE),IF($D$1=$AN$12,HLOOKUP("kdk bjm",real_rku_10.okt,14,FALSE),IF($D$1=$AN$13,HLOOKUP("kdk bjm",real_rku_11.nov,14,FALSE),IF($D$1=$AN$14,HLOOKUP("kdk bjm",real_rku_12.des,14,FALSE),IF($D$1=$AN$15,HLOOKUP("kdk bjm",real_rku_TW_I,14,FALSE),IF($D$1=$AN$16,HLOOKUP("kdk bjm",real_rku_TW_II,14,FALSE),IF($D$1=$AN$17,HLOOKUP("kdk bjm",real_rku_TW_III,14,FALSE),IF($D$1=$AN$18,HLOOKUP("kdk bjm",real_rku_TW_IV,14,FALSE),IF($D$1=$AN$19,HLOOKUP("kdk bjm",real_rku_SM_I,14,FALSE),IF($D$1=$AN$20,HLOOKUP("kdk bjm",real_rku_SM_II,14,FALSE),IF($D$1=$AN$21,HLOOKUP("kdk bjm",real_rku_2013,14,FALSE),IF($D$1=$AN$22,HLOOKUP("kdk bjm",real_rku_jan_apr,14,FALSE),IF($D$1=$AN$23,HLOOKUP("kdk bjm",real_rku_jan_mei,14,FALSE),IF($D$1=$AN$24,HLOOKUP("kdk bjm",real_rku_jan_jul,14,FALSE),IF($D$1=$AN$25,HLOOKUP("kdk bjm",real_rku_jan_ags,14,FALSE),IF($D$1=$AN$26,HLOOKUP("kdk bjm",real_rku_jan_sep,14,FALSE),IF($D$1=$AN$27,HLOOKUP("kdk bjm",real_rku_jan_okt,14,FALSE),IF($D$1=$AN$28,HLOOKUP("kdk bjm",real_rku_jan_nov,14,FALSE),0)))))))))))))))))))))))))))</f>
        <v>0</v>
      </c>
      <c r="R61" s="89">
        <f>+SUM(M61:Q61)</f>
        <v>30025</v>
      </c>
      <c r="S61" s="88">
        <f>+R61+L61</f>
        <v>9033025</v>
      </c>
      <c r="T61" s="76"/>
      <c r="U61" s="86"/>
      <c r="V61" s="87"/>
      <c r="W61" s="87" t="s">
        <v>182</v>
      </c>
      <c r="X61" s="88">
        <f t="shared" si="79"/>
        <v>2550</v>
      </c>
      <c r="Y61" s="88">
        <f t="shared" si="79"/>
        <v>2900</v>
      </c>
      <c r="Z61" s="88">
        <f t="shared" si="79"/>
        <v>950</v>
      </c>
      <c r="AA61" s="88">
        <f t="shared" si="79"/>
        <v>1500</v>
      </c>
      <c r="AB61" s="88">
        <f t="shared" si="79"/>
        <v>2200</v>
      </c>
      <c r="AC61" s="88">
        <f t="shared" si="79"/>
        <v>2500</v>
      </c>
      <c r="AD61" s="88">
        <f t="shared" si="79"/>
        <v>150</v>
      </c>
      <c r="AE61" s="89">
        <f>+SUM(X61:AD61)</f>
        <v>12750</v>
      </c>
      <c r="AF61" s="88">
        <f t="shared" si="80"/>
        <v>3450</v>
      </c>
      <c r="AG61" s="88">
        <f t="shared" si="80"/>
        <v>3350</v>
      </c>
      <c r="AH61" s="88">
        <f t="shared" si="80"/>
        <v>1450</v>
      </c>
      <c r="AI61" s="88">
        <f t="shared" si="80"/>
        <v>1500</v>
      </c>
      <c r="AJ61" s="88">
        <f t="shared" si="80"/>
        <v>0</v>
      </c>
      <c r="AK61" s="89">
        <f>+SUM(AF61:AJ61)</f>
        <v>9750</v>
      </c>
      <c r="AL61" s="88">
        <f>+AK61+AE61</f>
        <v>22500</v>
      </c>
    </row>
    <row r="62" spans="2:39" ht="15" x14ac:dyDescent="0.25">
      <c r="B62" s="86"/>
      <c r="C62" s="87"/>
      <c r="D62" s="87" t="s">
        <v>184</v>
      </c>
      <c r="E62" s="88">
        <f t="shared" ref="E62:K62" si="81">+E60-E61</f>
        <v>436000</v>
      </c>
      <c r="F62" s="88">
        <f t="shared" si="81"/>
        <v>-147000</v>
      </c>
      <c r="G62" s="88">
        <f t="shared" si="81"/>
        <v>-109200</v>
      </c>
      <c r="H62" s="88">
        <f t="shared" si="81"/>
        <v>-161600</v>
      </c>
      <c r="I62" s="88">
        <f t="shared" si="81"/>
        <v>-95500</v>
      </c>
      <c r="J62" s="88">
        <f t="shared" si="81"/>
        <v>-37440</v>
      </c>
      <c r="K62" s="88">
        <f t="shared" si="81"/>
        <v>40</v>
      </c>
      <c r="L62" s="89">
        <f>+SUM(E62:K62)</f>
        <v>-114700</v>
      </c>
      <c r="M62" s="88">
        <f>+M60-M61</f>
        <v>-2655</v>
      </c>
      <c r="N62" s="88">
        <f>+N60-N61</f>
        <v>-640</v>
      </c>
      <c r="O62" s="88">
        <f>+O60-O61</f>
        <v>218</v>
      </c>
      <c r="P62" s="88">
        <f>+P60-P61</f>
        <v>169</v>
      </c>
      <c r="Q62" s="88">
        <f>+Q60-Q61</f>
        <v>0</v>
      </c>
      <c r="R62" s="89">
        <f>+SUM(M62:Q62)</f>
        <v>-2908</v>
      </c>
      <c r="S62" s="88">
        <f>+R62+L62</f>
        <v>-117608</v>
      </c>
      <c r="T62" s="88"/>
      <c r="U62" s="86"/>
      <c r="V62" s="87"/>
      <c r="W62" s="87" t="s">
        <v>184</v>
      </c>
      <c r="X62" s="88">
        <f t="shared" ref="X62:AD62" si="82">+X60-X61</f>
        <v>218</v>
      </c>
      <c r="Y62" s="88">
        <f t="shared" si="82"/>
        <v>-147</v>
      </c>
      <c r="Z62" s="88">
        <f t="shared" si="82"/>
        <v>-273</v>
      </c>
      <c r="AA62" s="88">
        <f t="shared" si="82"/>
        <v>-808</v>
      </c>
      <c r="AB62" s="88">
        <f t="shared" si="82"/>
        <v>-955</v>
      </c>
      <c r="AC62" s="88">
        <f t="shared" si="82"/>
        <v>-936</v>
      </c>
      <c r="AD62" s="88">
        <f t="shared" si="82"/>
        <v>2</v>
      </c>
      <c r="AE62" s="89">
        <f>+SUM(X62:AD62)</f>
        <v>-2899</v>
      </c>
      <c r="AF62" s="88">
        <f>+AF60-AF61</f>
        <v>-531</v>
      </c>
      <c r="AG62" s="88">
        <f>+AG60-AG61</f>
        <v>-256</v>
      </c>
      <c r="AH62" s="88">
        <f>+AH60-AH61</f>
        <v>109</v>
      </c>
      <c r="AI62" s="88">
        <f>+AI60-AI61</f>
        <v>169</v>
      </c>
      <c r="AJ62" s="88">
        <f>+AJ60-AJ61</f>
        <v>0</v>
      </c>
      <c r="AK62" s="89">
        <f>+SUM(AF62:AJ62)</f>
        <v>-509</v>
      </c>
      <c r="AL62" s="88">
        <f>+AK62+AE62</f>
        <v>-3408</v>
      </c>
      <c r="AM62" s="91">
        <f>+AL62/550</f>
        <v>-6.1963636363636363</v>
      </c>
    </row>
    <row r="63" spans="2:39" ht="14.25" x14ac:dyDescent="0.2">
      <c r="B63" s="86"/>
      <c r="C63" s="108"/>
      <c r="D63" s="109" t="s">
        <v>186</v>
      </c>
      <c r="E63" s="110">
        <f t="shared" ref="E63:S63" si="83">IF(E60=0,"-",E61/E60)</f>
        <v>0.92124277456647397</v>
      </c>
      <c r="F63" s="110">
        <f t="shared" si="83"/>
        <v>1.0533962949509625</v>
      </c>
      <c r="G63" s="110">
        <f t="shared" si="83"/>
        <v>1.4032496307237814</v>
      </c>
      <c r="H63" s="110">
        <f t="shared" si="83"/>
        <v>2.1676300578034682</v>
      </c>
      <c r="I63" s="110">
        <f t="shared" si="83"/>
        <v>1.7670682730923695</v>
      </c>
      <c r="J63" s="110">
        <f t="shared" si="83"/>
        <v>1.5984654731457801</v>
      </c>
      <c r="K63" s="110">
        <f t="shared" si="83"/>
        <v>0.98684210526315785</v>
      </c>
      <c r="L63" s="111">
        <f t="shared" si="83"/>
        <v>1.0129046049300767</v>
      </c>
      <c r="M63" s="110">
        <f t="shared" si="83"/>
        <v>1.1819116135662899</v>
      </c>
      <c r="N63" s="110">
        <f t="shared" si="83"/>
        <v>1.0827407886231415</v>
      </c>
      <c r="O63" s="110">
        <f t="shared" si="83"/>
        <v>0.93008338678640157</v>
      </c>
      <c r="P63" s="110">
        <f t="shared" si="83"/>
        <v>0.89874176153385266</v>
      </c>
      <c r="Q63" s="110" t="str">
        <f t="shared" si="83"/>
        <v>-</v>
      </c>
      <c r="R63" s="111">
        <f t="shared" si="83"/>
        <v>1.1072390013644577</v>
      </c>
      <c r="S63" s="110">
        <f t="shared" si="83"/>
        <v>1.0131915310299002</v>
      </c>
      <c r="T63" s="95">
        <f>+S63*$T$6</f>
        <v>0.70923407172093011</v>
      </c>
      <c r="U63" s="86"/>
      <c r="V63" s="108"/>
      <c r="W63" s="109" t="s">
        <v>186</v>
      </c>
      <c r="X63" s="110">
        <f t="shared" ref="X63:AL63" si="84">IF(X60=0,"-",X61/X60)</f>
        <v>0.92124277456647397</v>
      </c>
      <c r="Y63" s="110">
        <f t="shared" si="84"/>
        <v>1.0533962949509625</v>
      </c>
      <c r="Z63" s="110">
        <f t="shared" si="84"/>
        <v>1.4032496307237814</v>
      </c>
      <c r="AA63" s="110">
        <f t="shared" si="84"/>
        <v>2.1676300578034682</v>
      </c>
      <c r="AB63" s="110">
        <f t="shared" si="84"/>
        <v>1.7670682730923695</v>
      </c>
      <c r="AC63" s="110">
        <f t="shared" si="84"/>
        <v>1.5984654731457801</v>
      </c>
      <c r="AD63" s="110">
        <f t="shared" si="84"/>
        <v>0.98684210526315785</v>
      </c>
      <c r="AE63" s="111">
        <f t="shared" si="84"/>
        <v>1.294284844178256</v>
      </c>
      <c r="AF63" s="110">
        <f t="shared" si="84"/>
        <v>1.1819116135662899</v>
      </c>
      <c r="AG63" s="110">
        <f t="shared" si="84"/>
        <v>1.0827407886231415</v>
      </c>
      <c r="AH63" s="110">
        <f t="shared" si="84"/>
        <v>0.93008338678640157</v>
      </c>
      <c r="AI63" s="110">
        <f t="shared" si="84"/>
        <v>0.89874176153385266</v>
      </c>
      <c r="AJ63" s="110" t="str">
        <f t="shared" si="84"/>
        <v>-</v>
      </c>
      <c r="AK63" s="111">
        <f t="shared" si="84"/>
        <v>1.0550806189806299</v>
      </c>
      <c r="AL63" s="110">
        <f t="shared" si="84"/>
        <v>1.1785040854808297</v>
      </c>
    </row>
    <row r="64" spans="2:39" ht="14.25" x14ac:dyDescent="0.2">
      <c r="B64" s="103"/>
      <c r="C64" s="104"/>
      <c r="D64" s="104"/>
      <c r="E64" s="98">
        <f>+E63*$L$6</f>
        <v>0.2763728323699422</v>
      </c>
      <c r="F64" s="98">
        <f t="shared" ref="F64:K64" si="85">+F63*$L$6</f>
        <v>0.31601888848528875</v>
      </c>
      <c r="G64" s="98">
        <f t="shared" si="85"/>
        <v>0.42097488921713438</v>
      </c>
      <c r="H64" s="98">
        <f t="shared" si="85"/>
        <v>0.65028901734104039</v>
      </c>
      <c r="I64" s="98">
        <f t="shared" si="85"/>
        <v>0.53012048192771077</v>
      </c>
      <c r="J64" s="98">
        <f t="shared" si="85"/>
        <v>0.479539641943734</v>
      </c>
      <c r="K64" s="98">
        <f t="shared" si="85"/>
        <v>0.29605263157894735</v>
      </c>
      <c r="L64" s="98"/>
      <c r="M64" s="98">
        <f t="shared" ref="M64:P64" si="86">+M63*$L$6</f>
        <v>0.35457348406988698</v>
      </c>
      <c r="N64" s="98">
        <f t="shared" si="86"/>
        <v>0.32482223658694243</v>
      </c>
      <c r="O64" s="98">
        <f t="shared" si="86"/>
        <v>0.27902501603592045</v>
      </c>
      <c r="P64" s="98">
        <f t="shared" si="86"/>
        <v>0.26962252846015577</v>
      </c>
      <c r="Q64" s="98"/>
      <c r="R64" s="105"/>
      <c r="S64" s="98">
        <f>+AVERAGE(E64:Q64)</f>
        <v>0.38158287709242766</v>
      </c>
      <c r="T64" s="100">
        <f>+S64+T63</f>
        <v>1.0908169488133579</v>
      </c>
      <c r="U64" s="103"/>
      <c r="V64" s="104"/>
      <c r="W64" s="104"/>
      <c r="X64" s="106"/>
      <c r="Y64" s="106"/>
      <c r="Z64" s="106"/>
      <c r="AA64" s="106"/>
      <c r="AB64" s="106"/>
      <c r="AC64" s="106"/>
      <c r="AD64" s="106"/>
      <c r="AE64" s="105">
        <f>+SUM(X64:AD64)</f>
        <v>0</v>
      </c>
      <c r="AF64" s="106"/>
      <c r="AG64" s="106"/>
      <c r="AH64" s="106"/>
      <c r="AI64" s="106"/>
      <c r="AJ64" s="106"/>
      <c r="AK64" s="105">
        <f>+SUM(AF64:AJ64)</f>
        <v>0</v>
      </c>
      <c r="AL64" s="107">
        <f>+AK64+AE64</f>
        <v>0</v>
      </c>
    </row>
    <row r="65" spans="2:39" ht="14.25" x14ac:dyDescent="0.2">
      <c r="B65" s="81">
        <v>12</v>
      </c>
      <c r="C65" s="81" t="s">
        <v>212</v>
      </c>
      <c r="D65" s="83" t="s">
        <v>180</v>
      </c>
      <c r="E65" s="84">
        <f>IF($D$1&lt;&gt;"",IF($D$1=$AN$3,HLOOKUP("kdk bpp",rku_01.jan,2,FALSE),IF($D$1=$AN$4,HLOOKUP("kdk bpp",rku_02.feb,2,FALSE),IF($D$1=$AN$5,HLOOKUP("kdk bpp",rku_03.mar,2,FALSE),IF($D$1=$AN$6,HLOOKUP("kdk bpp",rku_04.apr,2,FALSE),IF($D$1=$AN$7,HLOOKUP("kdk bpp",rku_05.mei,2,FALSE),IF($D$1=$AN$8,HLOOKUP("kdk bpp",rku_06.jun,2,FALSE),IF($D$1=$AN$9,HLOOKUP("kdk bpp",rku_07.jul,2,FALSE),IF($D$1=$AN$10,HLOOKUP("kdk bpp",rku_08.ags,2,FALSE),IF($D$1=$AN$11,HLOOKUP("kdk bpp",rku_09.sep,2,FALSE),IF($D$1=$AN$12,HLOOKUP("kdk bpp",rku_10.okt,2,FALSE),IF($D$1=$AN$13,HLOOKUP("kdk bpp",rku_11.nov,2,FALSE),IF($D$1=$AN$14,HLOOKUP("kdk bpp",rku_12.des,2,FALSE),IF($D$1=$AN$15,HLOOKUP("kdk bpp",rku_TW_I,2,FALSE),IF($D$1=$AN$16,HLOOKUP("kdk bpp",rku_TW_II,2,FALSE),IF($D$1=$AN$17,HLOOKUP("kdk bpp",rku_TW_III,2,FALSE),IF($D$1=$AN$18,HLOOKUP("kdk bpp",rku_TW_IV,2,FALSE),IF($D$1=$AN$19,HLOOKUP("kdk bpp",rku_SM_I,2,FALSE),IF($D$1=$AN$20,HLOOKUP("kdk bpp",rku_SM_II,2,FALSE),IF($D$1=$AN$21,HLOOKUP("kdk bpp",rku_2013,2,FALSE),IF($D$1=$AN$22,HLOOKUP("kdk bpp",rku_jan_apr,2,FALSE),IF($D$1=$AN$23,HLOOKUP("kdk bpp",rku_jan_mei,2,FALSE),IF($D$1=$AN$24,HLOOKUP("kdk bpp",rku_jan_jul,2,FALSE),IF($D$1=$AN$25,HLOOKUP("kdk bpp",rku_jan_ags,2,FALSE),IF($D$1=$AN$26,HLOOKUP("kdk bpp",rku_jan_sep,2,FALSE),IF($D$1=$AN$27,HLOOKUP("kdk bpp",rku_jan_okt,2,FALSE),IF($D$1=$AN$28,HLOOKUP("kdk bpp",rku_jan_nov,2,FALSE),0)))))))))))))))))))))))))))</f>
        <v>8378000</v>
      </c>
      <c r="F65" s="84">
        <f>IF($D$1&lt;&gt;"",IF($D$1=$AN$3,HLOOKUP("kdk bpp",rku_01.jan,3,FALSE),IF($D$1=$AN$4,HLOOKUP("kdk bpp",rku_02.feb,3,FALSE),IF($D$1=$AN$5,HLOOKUP("kdk bpp",rku_03.mar,3,FALSE),IF($D$1=$AN$6,HLOOKUP("kdk bpp",rku_04.apr,3,FALSE),IF($D$1=$AN$7,HLOOKUP("kdk bpp",rku_05.mei,3,FALSE),IF($D$1=$AN$8,HLOOKUP("kdk bpp",rku_06.jun,3,FALSE),IF($D$1=$AN$9,HLOOKUP("kdk bpp",rku_07.jul,3,FALSE),IF($D$1=$AN$10,HLOOKUP("kdk bpp",rku_08.ags,3,FALSE),IF($D$1=$AN$11,HLOOKUP("kdk bpp",rku_09.sep,3,FALSE),IF($D$1=$AN$12,HLOOKUP("kdk bpp",rku_10.okt,3,FALSE),IF($D$1=$AN$13,HLOOKUP("kdk bpp",rku_11.nov,3,FALSE),IF($D$1=$AN$14,HLOOKUP("kdk bpp",rku_12.des,3,FALSE),IF($D$1=$AN$15,HLOOKUP("kdk bpp",rku_TW_I,3,FALSE),IF($D$1=$AN$16,HLOOKUP("kdk bpp",rku_TW_II,3,FALSE),IF($D$1=$AN$17,HLOOKUP("kdk bpp",rku_TW_III,3,FALSE),IF($D$1=$AN$18,HLOOKUP("kdk bpp",rku_TW_IV,3,FALSE),IF($D$1=$AN$19,HLOOKUP("kdk bpp",rku_SM_I,3,FALSE),IF($D$1=$AN$20,HLOOKUP("kdk bpp",rku_SM_II,3,FALSE),IF($D$1=$AN$21,HLOOKUP("kdk bpp",rku_2013,3,FALSE),IF($D$1=$AN$22,HLOOKUP("kdk bpp",rku_jan_apr,3,FALSE),IF($D$1=$AN$23,HLOOKUP("kdk bpp",rku_jan_mei,3,FALSE),IF($D$1=$AN$24,HLOOKUP("kdk bpp",rku_jan_jul,3,FALSE),IF($D$1=$AN$25,HLOOKUP("kdk bpp",rku_jan_ags,3,FALSE),IF($D$1=$AN$26,HLOOKUP("kdk bpp",rku_jan_sep,3,FALSE),IF($D$1=$AN$27,HLOOKUP("kdk bpp",rku_jan_okt,3,FALSE),IF($D$1=$AN$28,HLOOKUP("kdk bpp",rku_jan_nov,3,FALSE),0)))))))))))))))))))))))))))</f>
        <v>5047000</v>
      </c>
      <c r="G65" s="84">
        <f>IF($D$1&lt;&gt;"",IF($D$1=$AN$3,HLOOKUP("kdk bpp",rku_01.jan,4,FALSE),IF($D$1=$AN$4,HLOOKUP("kdk bpp",rku_02.feb,4,FALSE),IF($D$1=$AN$5,HLOOKUP("kdk bpp",rku_03.mar,4,FALSE),IF($D$1=$AN$6,HLOOKUP("kdk bpp",rku_04.apr,4,FALSE),IF($D$1=$AN$7,HLOOKUP("kdk bpp",rku_05.mei,4,FALSE),IF($D$1=$AN$8,HLOOKUP("kdk bpp",rku_06.jun,4,FALSE),IF($D$1=$AN$9,HLOOKUP("kdk bpp",rku_07.jul,4,FALSE),IF($D$1=$AN$10,HLOOKUP("kdk bpp",rku_08.ags,4,FALSE),IF($D$1=$AN$11,HLOOKUP("kdk bpp",rku_09.sep,4,FALSE),IF($D$1=$AN$12,HLOOKUP("kdk bpp",rku_10.okt,4,FALSE),IF($D$1=$AN$13,HLOOKUP("kdk bpp",rku_11.nov,4,FALSE),IF($D$1=$AN$14,HLOOKUP("kdk bpp",rku_12.des,4,FALSE),IF($D$1=$AN$15,HLOOKUP("kdk bpp",rku_TW_I,4,FALSE),IF($D$1=$AN$16,HLOOKUP("kdk bpp",rku_TW_II,4,FALSE),IF($D$1=$AN$17,HLOOKUP("kdk bpp",rku_TW_III,4,FALSE),IF($D$1=$AN$18,HLOOKUP("kdk bpp",rku_TW_IV,4,FALSE),IF($D$1=$AN$19,HLOOKUP("kdk bpp",rku_SM_I,4,FALSE),IF($D$1=$AN$20,HLOOKUP("kdk bpp",rku_SM_II,4,FALSE),IF($D$1=$AN$21,HLOOKUP("kdk bpp",rku_2013,4,FALSE),IF($D$1=$AN$22,HLOOKUP("kdk bpp",rku_jan_apr,4,FALSE),IF($D$1=$AN$23,HLOOKUP("kdk bpp",rku_jan_mei,4,FALSE),IF($D$1=$AN$24,HLOOKUP("kdk bpp",rku_jan_jul,4,FALSE),IF($D$1=$AN$25,HLOOKUP("kdk bpp",rku_jan_ags,4,FALSE),IF($D$1=$AN$26,HLOOKUP("kdk bpp",rku_jan_sep,4,FALSE),IF($D$1=$AN$27,HLOOKUP("kdk bpp",rku_jan_okt,4,FALSE),IF($D$1=$AN$28,HLOOKUP("kdk bpp",rku_jan_nov,4,FALSE),0)))))))))))))))))))))))))))</f>
        <v>-134000</v>
      </c>
      <c r="H65" s="84">
        <f>IF($D$1&lt;&gt;"",IF($D$1=$AN$3,HLOOKUP("kdk bpp",rku_01.jan,5,FALSE),IF($D$1=$AN$4,HLOOKUP("kdk bpp",rku_02.feb,5,FALSE),IF($D$1=$AN$5,HLOOKUP("kdk bpp",rku_03.mar,5,FALSE),IF($D$1=$AN$6,HLOOKUP("kdk bpp",rku_04.apr,5,FALSE),IF($D$1=$AN$7,HLOOKUP("kdk bpp",rku_05.mei,5,FALSE),IF($D$1=$AN$8,HLOOKUP("kdk bpp",rku_06.jun,5,FALSE),IF($D$1=$AN$9,HLOOKUP("kdk bpp",rku_07.jul,5,FALSE),IF($D$1=$AN$10,HLOOKUP("kdk bpp",rku_08.ags,5,FALSE),IF($D$1=$AN$11,HLOOKUP("kdk bpp",rku_09.sep,5,FALSE),IF($D$1=$AN$12,HLOOKUP("kdk bpp",rku_10.okt,5,FALSE),IF($D$1=$AN$13,HLOOKUP("kdk bpp",rku_11.nov,5,FALSE),IF($D$1=$AN$14,HLOOKUP("kdk bpp",rku_12.des,5,FALSE),IF($D$1=$AN$15,HLOOKUP("kdk bpp",rku_TW_I,5,FALSE),IF($D$1=$AN$16,HLOOKUP("kdk bpp",rku_TW_II,5,FALSE),IF($D$1=$AN$17,HLOOKUP("kdk bpp",rku_TW_III,5,FALSE),IF($D$1=$AN$18,HLOOKUP("kdk bpp",rku_TW_IV,5,FALSE),IF($D$1=$AN$19,HLOOKUP("kdk bpp",rku_SM_I,5,FALSE),IF($D$1=$AN$20,HLOOKUP("kdk bpp",rku_SM_II,5,FALSE),IF($D$1=$AN$21,HLOOKUP("kdk bpp",rku_2013,5,FALSE),IF($D$1=$AN$22,HLOOKUP("kdk bpp",rku_jan_apr,5,FALSE),IF($D$1=$AN$23,HLOOKUP("kdk bpp",rku_jan_mei,5,FALSE),IF($D$1=$AN$24,HLOOKUP("kdk bpp",rku_jan_jul,5,FALSE),IF($D$1=$AN$25,HLOOKUP("kdk bpp",rku_jan_ags,5,FALSE),IF($D$1=$AN$26,HLOOKUP("kdk bpp",rku_jan_sep,5,FALSE),IF($D$1=$AN$27,HLOOKUP("kdk bpp",rku_jan_okt,5,FALSE),IF($D$1=$AN$28,HLOOKUP("kdk bpp",rku_jan_nov,5,FALSE),0)))))))))))))))))))))))))))</f>
        <v>66600</v>
      </c>
      <c r="I65" s="84">
        <f>IF($D$1&lt;&gt;"",IF($D$1=$AN$3,HLOOKUP("kdk bpp",rku_01.jan,6,FALSE),IF($D$1=$AN$4,HLOOKUP("kdk bpp",rku_02.feb,6,FALSE),IF($D$1=$AN$5,HLOOKUP("kdk bpp",rku_03.mar,6,FALSE),IF($D$1=$AN$6,HLOOKUP("kdk bpp",rku_04.apr,6,FALSE),IF($D$1=$AN$7,HLOOKUP("kdk bpp",rku_05.mei,6,FALSE),IF($D$1=$AN$8,HLOOKUP("kdk bpp",rku_06.jun,6,FALSE),IF($D$1=$AN$9,HLOOKUP("kdk bpp",rku_07.jul,6,FALSE),IF($D$1=$AN$10,HLOOKUP("kdk bpp",rku_08.ags,6,FALSE),IF($D$1=$AN$11,HLOOKUP("kdk bpp",rku_09.sep,6,FALSE),IF($D$1=$AN$12,HLOOKUP("kdk bpp",rku_10.okt,6,FALSE),IF($D$1=$AN$13,HLOOKUP("kdk bpp",rku_11.nov,6,FALSE),IF($D$1=$AN$14,HLOOKUP("kdk bpp",rku_12.des,6,FALSE),IF($D$1=$AN$15,HLOOKUP("kdk bpp",rku_TW_I,6,FALSE),IF($D$1=$AN$16,HLOOKUP("kdk bpp",rku_TW_II,6,FALSE),IF($D$1=$AN$17,HLOOKUP("kdk bpp",rku_TW_III,6,FALSE),IF($D$1=$AN$18,HLOOKUP("kdk bpp",rku_TW_IV,6,FALSE),IF($D$1=$AN$19,HLOOKUP("kdk bpp",rku_SM_I,6,FALSE),IF($D$1=$AN$20,HLOOKUP("kdk bpp",rku_SM_II,6,FALSE),IF($D$1=$AN$21,HLOOKUP("kdk bpp",rku_2013,6,FALSE),IF($D$1=$AN$22,HLOOKUP("kdk bpp",rku_jan_apr,6,FALSE),IF($D$1=$AN$23,HLOOKUP("kdk bpp",rku_jan_mei,6,FALSE),IF($D$1=$AN$24,HLOOKUP("kdk bpp",rku_jan_jul,6,FALSE),IF($D$1=$AN$25,HLOOKUP("kdk bpp",rku_jan_ags,6,FALSE),IF($D$1=$AN$26,HLOOKUP("kdk bpp",rku_jan_sep,6,FALSE),IF($D$1=$AN$27,HLOOKUP("kdk bpp",rku_jan_okt,6,FALSE),IF($D$1=$AN$28,HLOOKUP("kdk bpp",rku_jan_nov,6,FALSE),0)))))))))))))))))))))))))))</f>
        <v>94600</v>
      </c>
      <c r="J65" s="84">
        <f>IF($D$1&lt;&gt;"",IF($D$1=$AN$3,HLOOKUP("kdk bpp",rku_01.jan,7,FALSE),IF($D$1=$AN$4,HLOOKUP("kdk bpp",rku_02.feb,7,FALSE),IF($D$1=$AN$5,HLOOKUP("kdk bpp",rku_03.mar,7,FALSE),IF($D$1=$AN$6,HLOOKUP("kdk bpp",rku_04.apr,7,FALSE),IF($D$1=$AN$7,HLOOKUP("kdk bpp",rku_05.mei,7,FALSE),IF($D$1=$AN$8,HLOOKUP("kdk bpp",rku_06.jun,7,FALSE),IF($D$1=$AN$9,HLOOKUP("kdk bpp",rku_07.jul,7,FALSE),IF($D$1=$AN$10,HLOOKUP("kdk bpp",rku_08.ags,7,FALSE),IF($D$1=$AN$11,HLOOKUP("kdk bpp",rku_09.sep,7,FALSE),IF($D$1=$AN$12,HLOOKUP("kdk bpp",rku_10.okt,7,FALSE),IF($D$1=$AN$13,HLOOKUP("kdk bpp",rku_11.nov,7,FALSE),IF($D$1=$AN$14,HLOOKUP("kdk bpp",rku_12.des,7,FALSE),IF($D$1=$AN$15,HLOOKUP("kdk bpp",rku_TW_I,7,FALSE),IF($D$1=$AN$16,HLOOKUP("kdk bpp",rku_TW_II,7,FALSE),IF($D$1=$AN$17,HLOOKUP("kdk bpp",rku_TW_III,7,FALSE),IF($D$1=$AN$18,HLOOKUP("kdk bpp",rku_TW_IV,7,FALSE),IF($D$1=$AN$19,HLOOKUP("kdk bpp",rku_SM_I,7,FALSE),IF($D$1=$AN$20,HLOOKUP("kdk bpp",rku_SM_II,7,FALSE),IF($D$1=$AN$21,HLOOKUP("kdk bpp",rku_2013,7,FALSE),IF($D$1=$AN$22,HLOOKUP("kdk bpp",rku_jan_apr,7,FALSE),IF($D$1=$AN$23,HLOOKUP("kdk bpp",rku_jan_mei,7,FALSE),IF($D$1=$AN$24,HLOOKUP("kdk bpp",rku_jan_jul,7,FALSE),IF($D$1=$AN$25,HLOOKUP("kdk bpp",rku_jan_ags,7,FALSE),IF($D$1=$AN$26,HLOOKUP("kdk bpp",rku_jan_sep,7,FALSE),IF($D$1=$AN$27,HLOOKUP("kdk bpp",rku_jan_okt,7,FALSE),IF($D$1=$AN$28,HLOOKUP("kdk bpp",rku_jan_nov,7,FALSE),0)))))))))))))))))))))))))))</f>
        <v>61360</v>
      </c>
      <c r="K65" s="84">
        <f>IF($D$1&lt;&gt;"",IF($D$1=$AN$3,HLOOKUP("kdk bpp",rku_01.jan,8,FALSE),IF($D$1=$AN$4,HLOOKUP("kdk bpp",rku_02.feb,8,FALSE),IF($D$1=$AN$5,HLOOKUP("kdk bpp",rku_03.mar,8,FALSE),IF($D$1=$AN$6,HLOOKUP("kdk bpp",rku_04.apr,8,FALSE),IF($D$1=$AN$7,HLOOKUP("kdk bpp",rku_05.mei,8,FALSE),IF($D$1=$AN$8,HLOOKUP("kdk bpp",rku_06.jun,8,FALSE),IF($D$1=$AN$9,HLOOKUP("kdk bpp",rku_07.jul,8,FALSE),IF($D$1=$AN$10,HLOOKUP("kdk bpp",rku_08.ags,8,FALSE),IF($D$1=$AN$11,HLOOKUP("kdk bpp",rku_09.sep,8,FALSE),IF($D$1=$AN$12,HLOOKUP("kdk bpp",rku_10.okt,8,FALSE),IF($D$1=$AN$13,HLOOKUP("kdk bpp",rku_11.nov,8,FALSE),IF($D$1=$AN$14,HLOOKUP("kdk bpp",rku_12.des,8,FALSE),IF($D$1=$AN$15,HLOOKUP("kdk bpp",rku_TW_I,8,FALSE),IF($D$1=$AN$16,HLOOKUP("kdk bpp",rku_TW_II,8,FALSE),IF($D$1=$AN$17,HLOOKUP("kdk bpp",rku_TW_III,8,FALSE),IF($D$1=$AN$18,HLOOKUP("kdk bpp",rku_TW_IV,8,FALSE),IF($D$1=$AN$19,HLOOKUP("kdk bpp",rku_SM_I,8,FALSE),IF($D$1=$AN$20,HLOOKUP("kdk bpp",rku_SM_II,8,FALSE),IF($D$1=$AN$21,HLOOKUP("kdk bpp",rku_2013,8,FALSE),IF($D$1=$AN$22,HLOOKUP("kdk bpp",rku_jan_apr,8,FALSE),IF($D$1=$AN$23,HLOOKUP("kdk bpp",rku_jan_mei,8,FALSE),IF($D$1=$AN$24,HLOOKUP("kdk bpp",rku_jan_jul,8,FALSE),IF($D$1=$AN$25,HLOOKUP("kdk bpp",rku_jan_ags,8,FALSE),IF($D$1=$AN$26,HLOOKUP("kdk bpp",rku_jan_sep,8,FALSE),IF($D$1=$AN$27,HLOOKUP("kdk bpp",rku_jan_okt,8,FALSE),IF($D$1=$AN$28,HLOOKUP("kdk bpp",rku_jan_nov,8,FALSE),0)))))))))))))))))))))))))))</f>
        <v>4900</v>
      </c>
      <c r="L65" s="85">
        <f>+SUM(E65:K65)</f>
        <v>13518460</v>
      </c>
      <c r="M65" s="84">
        <f>IF($D$1&lt;&gt;"",IF($D$1=$AN$3,HLOOKUP("kdk bpp",rku_01.jan,10,FALSE),IF($D$1=$AN$4,HLOOKUP("kdk bpp",rku_02.feb,10,FALSE),IF($D$1=$AN$5,HLOOKUP("kdk bpp",rku_03.mar,10,FALSE),IF($D$1=$AN$6,HLOOKUP("kdk bpp",rku_04.apr,10,FALSE),IF($D$1=$AN$7,HLOOKUP("kdk bpp",rku_05.mei,10,FALSE),IF($D$1=$AN$8,HLOOKUP("kdk bpp",rku_06.jun,10,FALSE),IF($D$1=$AN$9,HLOOKUP("kdk bpp",rku_07.jul,10,FALSE),IF($D$1=$AN$10,HLOOKUP("kdk bpp",rku_08.ags,10,FALSE),IF($D$1=$AN$11,HLOOKUP("kdk bpp",rku_09.sep,10,FALSE),IF($D$1=$AN$12,HLOOKUP("kdk bpp",rku_10.okt,10,FALSE),IF($D$1=$AN$13,HLOOKUP("kdk bpp",rku_11.nov,10,FALSE),IF($D$1=$AN$14,HLOOKUP("kdk bpp",rku_12.des,10,FALSE),IF($D$1=$AN$15,HLOOKUP("kdk bpp",rku_TW_I,10,FALSE),IF($D$1=$AN$16,HLOOKUP("kdk bpp",rku_TW_II,10,FALSE),IF($D$1=$AN$17,HLOOKUP("kdk bpp",rku_TW_III,10,FALSE),IF($D$1=$AN$18,HLOOKUP("kdk bpp",rku_TW_IV,10,FALSE),IF($D$1=$AN$19,HLOOKUP("kdk bpp",rku_SM_I,10,FALSE),IF($D$1=$AN$20,HLOOKUP("kdk bpp",rku_SM_II,10,FALSE),IF($D$1=$AN$21,HLOOKUP("kdk bpp",rku_2013,10,FALSE),IF($D$1=$AN$22,HLOOKUP("kdk bpp",rku_jan_apr,10,FALSE),IF($D$1=$AN$23,HLOOKUP("kdk bpp",rku_jan_mei,10,FALSE),IF($D$1=$AN$24,HLOOKUP("kdk bpp",rku_jan_jul,10,FALSE),IF($D$1=$AN$25,HLOOKUP("kdk bpp",rku_jan_ags,10,FALSE),IF($D$1=$AN$26,HLOOKUP("kdk bpp",rku_jan_sep,10,FALSE),IF($D$1=$AN$27,HLOOKUP("kdk bpp",rku_jan_okt,10,FALSE),IF($D$1=$AN$28,HLOOKUP("kdk bpp",rku_jan_nov,10,FALSE),0)))))))))))))))))))))))))))</f>
        <v>11220</v>
      </c>
      <c r="N65" s="84">
        <f>IF($D$1&lt;&gt;"",IF($D$1=$AN$3,HLOOKUP("kdk bpp",rku_01.jan,11,FALSE),IF($D$1=$AN$4,HLOOKUP("kdk bpp",rku_02.feb,11,FALSE),IF($D$1=$AN$5,HLOOKUP("kdk bpp",rku_03.mar,11,FALSE),IF($D$1=$AN$6,HLOOKUP("kdk bpp",rku_04.apr,11,FALSE),IF($D$1=$AN$7,HLOOKUP("kdk bpp",rku_05.mei,11,FALSE),IF($D$1=$AN$8,HLOOKUP("kdk bpp",rku_06.jun,11,FALSE),IF($D$1=$AN$9,HLOOKUP("kdk bpp",rku_07.jul,11,FALSE),IF($D$1=$AN$10,HLOOKUP("kdk bpp",rku_08.ags,11,FALSE),IF($D$1=$AN$11,HLOOKUP("kdk bpp",rku_09.sep,11,FALSE),IF($D$1=$AN$12,HLOOKUP("kdk bpp",rku_10.okt,11,FALSE),IF($D$1=$AN$13,HLOOKUP("kdk bpp",rku_11.nov,11,FALSE),IF($D$1=$AN$14,HLOOKUP("kdk bpp",rku_12.des,11,FALSE),IF($D$1=$AN$15,HLOOKUP("kdk bpp",rku_TW_I,11,FALSE),IF($D$1=$AN$16,HLOOKUP("kdk bpp",rku_TW_II,11,FALSE),IF($D$1=$AN$17,HLOOKUP("kdk bpp",rku_TW_III,11,FALSE),IF($D$1=$AN$18,HLOOKUP("kdk bpp",rku_TW_IV,11,FALSE),IF($D$1=$AN$19,HLOOKUP("kdk bpp",rku_SM_I,11,FALSE),IF($D$1=$AN$20,HLOOKUP("kdk bpp",rku_SM_II,11,FALSE),IF($D$1=$AN$21,HLOOKUP("kdk bpp",rku_2013,11,FALSE),IF($D$1=$AN$22,HLOOKUP("kdk bpp",rku_jan_apr,11,FALSE),IF($D$1=$AN$23,HLOOKUP("kdk bpp",rku_jan_mei,11,FALSE),IF($D$1=$AN$24,HLOOKUP("kdk bpp",rku_jan_jul,11,FALSE),IF($D$1=$AN$25,HLOOKUP("kdk bpp",rku_jan_ags,11,FALSE),IF($D$1=$AN$26,HLOOKUP("kdk bpp",rku_jan_sep,11,FALSE),IF($D$1=$AN$27,HLOOKUP("kdk bpp",rku_jan_okt,11,FALSE),IF($D$1=$AN$28,HLOOKUP("kdk bpp",rku_jan_nov,11,FALSE),0)))))))))))))))))))))))))))</f>
        <v>5850</v>
      </c>
      <c r="O65" s="84">
        <f>IF($D$1&lt;&gt;"",IF($D$1=$AN$3,HLOOKUP("kdk bpp",rku_01.jan,12,FALSE),IF($D$1=$AN$4,HLOOKUP("kdk bpp",rku_02.feb,12,FALSE),IF($D$1=$AN$5,HLOOKUP("kdk bpp",rku_03.mar,12,FALSE),IF($D$1=$AN$6,HLOOKUP("kdk bpp",rku_04.apr,12,FALSE),IF($D$1=$AN$7,HLOOKUP("kdk bpp",rku_05.mei,12,FALSE),IF($D$1=$AN$8,HLOOKUP("kdk bpp",rku_06.jun,12,FALSE),IF($D$1=$AN$9,HLOOKUP("kdk bpp",rku_07.jul,12,FALSE),IF($D$1=$AN$10,HLOOKUP("kdk bpp",rku_08.ags,12,FALSE),IF($D$1=$AN$11,HLOOKUP("kdk bpp",rku_09.sep,12,FALSE),IF($D$1=$AN$12,HLOOKUP("kdk bpp",rku_10.okt,12,FALSE),IF($D$1=$AN$13,HLOOKUP("kdk bpp",rku_11.nov,12,FALSE),IF($D$1=$AN$14,HLOOKUP("kdk bpp",rku_12.des,12,FALSE),IF($D$1=$AN$15,HLOOKUP("kdk bpp",rku_TW_I,12,FALSE),IF($D$1=$AN$16,HLOOKUP("kdk bpp",rku_TW_II,12,FALSE),IF($D$1=$AN$17,HLOOKUP("kdk bpp",rku_TW_III,12,FALSE),IF($D$1=$AN$18,HLOOKUP("kdk bpp",rku_TW_IV,12,FALSE),IF($D$1=$AN$19,HLOOKUP("kdk bpp",rku_SM_I,12,FALSE),IF($D$1=$AN$20,HLOOKUP("kdk bpp",rku_SM_II,12,FALSE),IF($D$1=$AN$21,HLOOKUP("kdk bpp",rku_2013,12,FALSE),IF($D$1=$AN$22,HLOOKUP("kdk bpp",rku_jan_apr,12,FALSE),IF($D$1=$AN$23,HLOOKUP("kdk bpp",rku_jan_mei,12,FALSE),IF($D$1=$AN$24,HLOOKUP("kdk bpp",rku_jan_jul,12,FALSE),IF($D$1=$AN$25,HLOOKUP("kdk bpp",rku_jan_ags,12,FALSE),IF($D$1=$AN$26,HLOOKUP("kdk bpp",rku_jan_sep,12,FALSE),IF($D$1=$AN$27,HLOOKUP("kdk bpp",rku_jan_okt,12,FALSE),IF($D$1=$AN$28,HLOOKUP("kdk bpp",rku_jan_nov,12,FALSE),0)))))))))))))))))))))))))))</f>
        <v>2180</v>
      </c>
      <c r="P65" s="84">
        <f>IF($D$1&lt;&gt;"",IF($D$1=$AN$3,HLOOKUP("kdk bpp",rku_01.jan,13,FALSE),IF($D$1=$AN$4,HLOOKUP("kdk bpp",rku_02.feb,13,FALSE),IF($D$1=$AN$5,HLOOKUP("kdk bpp",rku_03.mar,13,FALSE),IF($D$1=$AN$6,HLOOKUP("kdk bpp",rku_04.apr,13,FALSE),IF($D$1=$AN$7,HLOOKUP("kdk bpp",rku_05.mei,13,FALSE),IF($D$1=$AN$8,HLOOKUP("kdk bpp",rku_06.jun,13,FALSE),IF($D$1=$AN$9,HLOOKUP("kdk bpp",rku_07.jul,13,FALSE),IF($D$1=$AN$10,HLOOKUP("kdk bpp",rku_08.ags,13,FALSE),IF($D$1=$AN$11,HLOOKUP("kdk bpp",rku_09.sep,13,FALSE),IF($D$1=$AN$12,HLOOKUP("kdk bpp",rku_10.okt,13,FALSE),IF($D$1=$AN$13,HLOOKUP("kdk bpp",rku_11.nov,13,FALSE),IF($D$1=$AN$14,HLOOKUP("kdk bpp",rku_12.des,13,FALSE),IF($D$1=$AN$15,HLOOKUP("kdk bpp",rku_TW_I,13,FALSE),IF($D$1=$AN$16,HLOOKUP("kdk bpp",rku_TW_II,13,FALSE),IF($D$1=$AN$17,HLOOKUP("kdk bpp",rku_TW_III,13,FALSE),IF($D$1=$AN$18,HLOOKUP("kdk bpp",rku_TW_IV,13,FALSE),IF($D$1=$AN$19,HLOOKUP("kdk bpp",rku_SM_I,13,FALSE),IF($D$1=$AN$20,HLOOKUP("kdk bpp",rku_SM_II,13,FALSE),IF($D$1=$AN$21,HLOOKUP("kdk bpp",rku_2013,13,FALSE),IF($D$1=$AN$22,HLOOKUP("kdk bpp",rku_jan_apr,13,FALSE),IF($D$1=$AN$23,HLOOKUP("kdk bpp",rku_jan_mei,13,FALSE),IF($D$1=$AN$24,HLOOKUP("kdk bpp",rku_jan_jul,13,FALSE),IF($D$1=$AN$25,HLOOKUP("kdk bpp",rku_jan_ags,13,FALSE),IF($D$1=$AN$26,HLOOKUP("kdk bpp",rku_jan_sep,13,FALSE),IF($D$1=$AN$27,HLOOKUP("kdk bpp",rku_jan_okt,13,FALSE),IF($D$1=$AN$28,HLOOKUP("kdk bpp",rku_jan_nov,13,FALSE),0)))))))))))))))))))))))))))</f>
        <v>1125</v>
      </c>
      <c r="Q65" s="84">
        <f>IF($D$1&lt;&gt;"",IF($D$1=$AN$3,HLOOKUP("kdk bpp",rku_01.jan,14,FALSE),IF($D$1=$AN$4,HLOOKUP("kdk bpp",rku_02.feb,14,FALSE),IF($D$1=$AN$5,HLOOKUP("kdk bpp",rku_03.mar,14,FALSE),IF($D$1=$AN$6,HLOOKUP("kdk bpp",rku_04.apr,14,FALSE),IF($D$1=$AN$7,HLOOKUP("kdk bpp",rku_05.mei,14,FALSE),IF($D$1=$AN$8,HLOOKUP("kdk bpp",rku_06.jun,14,FALSE),IF($D$1=$AN$9,HLOOKUP("kdk bpp",rku_07.jul,14,FALSE),IF($D$1=$AN$10,HLOOKUP("kdk bpp",rku_08.ags,14,FALSE),IF($D$1=$AN$11,HLOOKUP("kdk bpp",rku_09.sep,14,FALSE),IF($D$1=$AN$12,HLOOKUP("kdk bpp",rku_10.okt,14,FALSE),IF($D$1=$AN$13,HLOOKUP("kdk bpp",rku_11.nov,14,FALSE),IF($D$1=$AN$14,HLOOKUP("kdk bpp",rku_12.des,14,FALSE),IF($D$1=$AN$15,HLOOKUP("kdk bpp",rku_TW_I,14,FALSE),IF($D$1=$AN$16,HLOOKUP("kdk bpp",rku_TW_II,14,FALSE),IF($D$1=$AN$17,HLOOKUP("kdk bpp",rku_TW_III,14,FALSE),IF($D$1=$AN$18,HLOOKUP("kdk bpp",rku_TW_IV,14,FALSE),IF($D$1=$AN$19,HLOOKUP("kdk bpp",rku_SM_I,14,FALSE),IF($D$1=$AN$20,HLOOKUP("kdk bpp",rku_SM_II,14,FALSE),IF($D$1=$AN$21,HLOOKUP("kdk bpp",rku_2013,14,FALSE),IF($D$1=$AN$22,HLOOKUP("kdk bpp",rku_jan_apr,14,FALSE),IF($D$1=$AN$23,HLOOKUP("kdk bpp",rku_jan_mei,14,FALSE),IF($D$1=$AN$24,HLOOKUP("kdk bpp",rku_jan_jul,14,FALSE),IF($D$1=$AN$25,HLOOKUP("kdk bpp",rku_jan_ags,14,FALSE),IF($D$1=$AN$26,HLOOKUP("kdk bpp",rku_jan_sep,14,FALSE),IF($D$1=$AN$27,HLOOKUP("kdk bpp",rku_jan_okt,14,FALSE),IF($D$1=$AN$28,HLOOKUP("kdk bpp",rku_jan_nov,14,FALSE),0)))))))))))))))))))))))))))</f>
        <v>0</v>
      </c>
      <c r="R65" s="85">
        <f>+SUM(M65:Q65)</f>
        <v>20375</v>
      </c>
      <c r="S65" s="84">
        <f>+R65+L65</f>
        <v>13538835</v>
      </c>
      <c r="U65" s="81">
        <v>12</v>
      </c>
      <c r="V65" s="81" t="s">
        <v>212</v>
      </c>
      <c r="W65" s="83" t="s">
        <v>180</v>
      </c>
      <c r="X65" s="84">
        <f t="shared" ref="X65:AD66" si="87">E65/X$100</f>
        <v>4189</v>
      </c>
      <c r="Y65" s="84">
        <f t="shared" si="87"/>
        <v>5047</v>
      </c>
      <c r="Z65" s="84">
        <f t="shared" si="87"/>
        <v>-335</v>
      </c>
      <c r="AA65" s="84">
        <f t="shared" si="87"/>
        <v>333</v>
      </c>
      <c r="AB65" s="84">
        <f t="shared" si="87"/>
        <v>946</v>
      </c>
      <c r="AC65" s="84">
        <f t="shared" si="87"/>
        <v>1534</v>
      </c>
      <c r="AD65" s="84">
        <f t="shared" si="87"/>
        <v>245</v>
      </c>
      <c r="AE65" s="85">
        <f>+SUM(X65:AD65)</f>
        <v>11959</v>
      </c>
      <c r="AF65" s="84">
        <f t="shared" ref="AF65:AJ66" si="88">M65/AF$100</f>
        <v>2244</v>
      </c>
      <c r="AG65" s="84">
        <f t="shared" si="88"/>
        <v>2340</v>
      </c>
      <c r="AH65" s="84">
        <f t="shared" si="88"/>
        <v>1090</v>
      </c>
      <c r="AI65" s="84">
        <f t="shared" si="88"/>
        <v>1125</v>
      </c>
      <c r="AJ65" s="84">
        <f t="shared" si="88"/>
        <v>0</v>
      </c>
      <c r="AK65" s="85">
        <f>+SUM(AF65:AJ65)</f>
        <v>6799</v>
      </c>
      <c r="AL65" s="84">
        <f>+AK65+AE65</f>
        <v>18758</v>
      </c>
    </row>
    <row r="66" spans="2:39" ht="14.25" x14ac:dyDescent="0.2">
      <c r="B66" s="86"/>
      <c r="C66" s="86"/>
      <c r="D66" s="87" t="s">
        <v>182</v>
      </c>
      <c r="E66" s="88">
        <f>IF($D$1&lt;&gt;"",IF($D$1=$AN$3,HLOOKUP("kdk bpp",real_rku_01.jan,2,FALSE),IF($D$1=$AN$4,HLOOKUP("kdk bpp",real_rku_02.feb,2,FALSE),IF($D$1=$AN$5,HLOOKUP("kdk bpp",real_rku_03.mar,2,FALSE),IF($D$1=$AN$6,HLOOKUP("kdk bpp",real_rku_04.apr,2,FALSE),IF($D$1=$AN$7,HLOOKUP("kdk bpp",real_rku_05.mei,2,FALSE),IF($D$1=$AN$8,HLOOKUP("kdk bpp",real_rku_06.jun,2,FALSE),IF($D$1=$AN$9,HLOOKUP("kdk bpp",real_rku_07.jul,2,FALSE),IF($D$1=$AN$10,HLOOKUP("kdk bpp",real_rku_08.ags,2,FALSE),IF($D$1=$AN$11,HLOOKUP("kdk bpp",real_rku_09.sep,2,FALSE),IF($D$1=$AN$12,HLOOKUP("kdk bpp",real_rku_10.okt,2,FALSE),IF($D$1=$AN$13,HLOOKUP("kdk bpp",real_rku_11.nov,2,FALSE),IF($D$1=$AN$14,HLOOKUP("kdk bpp",real_rku_12.des,2,FALSE),IF($D$1=$AN$15,HLOOKUP("kdk bpp",real_rku_TW_I,2,FALSE),IF($D$1=$AN$16,HLOOKUP("kdk bpp",real_rku_TW_II,2,FALSE),IF($D$1=$AN$17,HLOOKUP("kdk bpp",real_rku_TW_III,2,FALSE),IF($D$1=$AN$18,HLOOKUP("kdk bpp",real_rku_TW_IV,2,FALSE),IF($D$1=$AN$19,HLOOKUP("kdk bpp",real_rku_SM_I,2,FALSE),IF($D$1=$AN$20,HLOOKUP("kdk bpp",real_rku_SM_II,2,FALSE),IF($D$1=$AN$21,HLOOKUP("kdk bpp",real_rku_2013,2,FALSE),IF($D$1=$AN$22,HLOOKUP("kdk bpp",real_rku_jan_apr,2,FALSE),IF($D$1=$AN$23,HLOOKUP("kdk bpp",real_rku_jan_mei,2,FALSE),IF($D$1=$AN$24,HLOOKUP("kdk bpp",real_rku_jan_jul,2,FALSE),IF($D$1=$AN$25,HLOOKUP("kdk bpp",real_rku_jan_ags,2,FALSE),IF($D$1=$AN$26,HLOOKUP("kdk bpp",real_rku_jan_sep,2,FALSE),IF($D$1=$AN$27,HLOOKUP("kdk bpp",real_rku_jan_okt,2,FALSE),IF($D$1=$AN$28,HLOOKUP("kdk bpp",real_rku_jan_nov,2,FALSE),0)))))))))))))))))))))))))))</f>
        <v>6800000</v>
      </c>
      <c r="F66" s="88">
        <f>IF($D$1&lt;&gt;"",IF($D$1=$AN$3,HLOOKUP("kdk bpp",real_rku_01.jan,3,FALSE),IF($D$1=$AN$4,HLOOKUP("kdk bpp",real_rku_02.feb,3,FALSE),IF($D$1=$AN$5,HLOOKUP("kdk bpp",real_rku_03.mar,3,FALSE),IF($D$1=$AN$6,HLOOKUP("kdk bpp",real_rku_04.apr,3,FALSE),IF($D$1=$AN$7,HLOOKUP("kdk bpp",real_rku_05.mei,3,FALSE),IF($D$1=$AN$8,HLOOKUP("kdk bpp",real_rku_06.jun,3,FALSE),IF($D$1=$AN$9,HLOOKUP("kdk bpp",real_rku_07.jul,3,FALSE),IF($D$1=$AN$10,HLOOKUP("kdk bpp",real_rku_08.ags,3,FALSE),IF($D$1=$AN$11,HLOOKUP("kdk bpp",real_rku_09.sep,3,FALSE),IF($D$1=$AN$12,HLOOKUP("kdk bpp",real_rku_10.okt,3,FALSE),IF($D$1=$AN$13,HLOOKUP("kdk bpp",real_rku_11.nov,3,FALSE),IF($D$1=$AN$14,HLOOKUP("kdk bpp",real_rku_12.des,3,FALSE),IF($D$1=$AN$15,HLOOKUP("kdk bpp",real_rku_TW_I,3,FALSE),IF($D$1=$AN$16,HLOOKUP("kdk bpp",real_rku_TW_II,3,FALSE),IF($D$1=$AN$17,HLOOKUP("kdk bpp",real_rku_TW_III,3,FALSE),IF($D$1=$AN$18,HLOOKUP("kdk bpp",real_rku_TW_IV,3,FALSE),IF($D$1=$AN$19,HLOOKUP("kdk bpp",real_rku_SM_I,3,FALSE),IF($D$1=$AN$20,HLOOKUP("kdk bpp",real_rku_SM_II,3,FALSE),IF($D$1=$AN$21,HLOOKUP("kdk bpp",real_rku_2013,3,FALSE),IF($D$1=$AN$22,HLOOKUP("kdk bpp",real_rku_jan_apr,3,FALSE),IF($D$1=$AN$23,HLOOKUP("kdk bpp",real_rku_jan_mei,3,FALSE),IF($D$1=$AN$24,HLOOKUP("kdk bpp",real_rku_jan_jul,3,FALSE),IF($D$1=$AN$25,HLOOKUP("kdk bpp",real_rku_jan_ags,3,FALSE),IF($D$1=$AN$26,HLOOKUP("kdk bpp",real_rku_jan_sep,3,FALSE),IF($D$1=$AN$27,HLOOKUP("kdk bpp",real_rku_jan_okt,3,FALSE),IF($D$1=$AN$28,HLOOKUP("kdk bpp",real_rku_jan_nov,3,FALSE),0)))))))))))))))))))))))))))</f>
        <v>5450000</v>
      </c>
      <c r="G66" s="88">
        <f>IF($D$1&lt;&gt;"",IF($D$1=$AN$3,HLOOKUP("kdk bpp",real_rku_01.jan,4,FALSE),IF($D$1=$AN$4,HLOOKUP("kdk bpp",real_rku_02.feb,4,FALSE),IF($D$1=$AN$5,HLOOKUP("kdk bpp",real_rku_03.mar,4,FALSE),IF($D$1=$AN$6,HLOOKUP("kdk bpp",real_rku_04.apr,4,FALSE),IF($D$1=$AN$7,HLOOKUP("kdk bpp",real_rku_05.mei,4,FALSE),IF($D$1=$AN$8,HLOOKUP("kdk bpp",real_rku_06.jun,4,FALSE),IF($D$1=$AN$9,HLOOKUP("kdk bpp",real_rku_07.jul,4,FALSE),IF($D$1=$AN$10,HLOOKUP("kdk bpp",real_rku_08.ags,4,FALSE),IF($D$1=$AN$11,HLOOKUP("kdk bpp",real_rku_09.sep,4,FALSE),IF($D$1=$AN$12,HLOOKUP("kdk bpp",real_rku_10.okt,4,FALSE),IF($D$1=$AN$13,HLOOKUP("kdk bpp",real_rku_11.nov,4,FALSE),IF($D$1=$AN$14,HLOOKUP("kdk bpp",real_rku_12.des,4,FALSE),IF($D$1=$AN$15,HLOOKUP("kdk bpp",real_rku_TW_I,4,FALSE),IF($D$1=$AN$16,HLOOKUP("kdk bpp",real_rku_TW_II,4,FALSE),IF($D$1=$AN$17,HLOOKUP("kdk bpp",real_rku_TW_III,4,FALSE),IF($D$1=$AN$18,HLOOKUP("kdk bpp",real_rku_TW_IV,4,FALSE),IF($D$1=$AN$19,HLOOKUP("kdk bpp",real_rku_SM_I,4,FALSE),IF($D$1=$AN$20,HLOOKUP("kdk bpp",real_rku_SM_II,4,FALSE),IF($D$1=$AN$21,HLOOKUP("kdk bpp",real_rku_2013,4,FALSE),IF($D$1=$AN$22,HLOOKUP("kdk bpp",real_rku_jan_apr,4,FALSE),IF($D$1=$AN$23,HLOOKUP("kdk bpp",real_rku_jan_mei,4,FALSE),IF($D$1=$AN$24,HLOOKUP("kdk bpp",real_rku_jan_jul,4,FALSE),IF($D$1=$AN$25,HLOOKUP("kdk bpp",real_rku_jan_ags,4,FALSE),IF($D$1=$AN$26,HLOOKUP("kdk bpp",real_rku_jan_sep,4,FALSE),IF($D$1=$AN$27,HLOOKUP("kdk bpp",real_rku_jan_okt,4,FALSE),IF($D$1=$AN$28,HLOOKUP("kdk bpp",real_rku_jan_nov,4,FALSE),0)))))))))))))))))))))))))))</f>
        <v>360000</v>
      </c>
      <c r="H66" s="88">
        <f>IF($D$1&lt;&gt;"",IF($D$1=$AN$3,HLOOKUP("kdk bpp",real_rku_01.jan,5,FALSE),IF($D$1=$AN$4,HLOOKUP("kdk bpp",real_rku_02.feb,5,FALSE),IF($D$1=$AN$5,HLOOKUP("kdk bpp",real_rku_03.mar,5,FALSE),IF($D$1=$AN$6,HLOOKUP("kdk bpp",real_rku_04.apr,5,FALSE),IF($D$1=$AN$7,HLOOKUP("kdk bpp",real_rku_05.mei,5,FALSE),IF($D$1=$AN$8,HLOOKUP("kdk bpp",real_rku_06.jun,5,FALSE),IF($D$1=$AN$9,HLOOKUP("kdk bpp",real_rku_07.jul,5,FALSE),IF($D$1=$AN$10,HLOOKUP("kdk bpp",real_rku_08.ags,5,FALSE),IF($D$1=$AN$11,HLOOKUP("kdk bpp",real_rku_09.sep,5,FALSE),IF($D$1=$AN$12,HLOOKUP("kdk bpp",real_rku_10.okt,5,FALSE),IF($D$1=$AN$13,HLOOKUP("kdk bpp",real_rku_11.nov,5,FALSE),IF($D$1=$AN$14,HLOOKUP("kdk bpp",real_rku_12.des,5,FALSE),IF($D$1=$AN$15,HLOOKUP("kdk bpp",real_rku_TW_I,5,FALSE),IF($D$1=$AN$16,HLOOKUP("kdk bpp",real_rku_TW_II,5,FALSE),IF($D$1=$AN$17,HLOOKUP("kdk bpp",real_rku_TW_III,5,FALSE),IF($D$1=$AN$18,HLOOKUP("kdk bpp",real_rku_TW_IV,5,FALSE),IF($D$1=$AN$19,HLOOKUP("kdk bpp",real_rku_SM_I,5,FALSE),IF($D$1=$AN$20,HLOOKUP("kdk bpp",real_rku_SM_II,5,FALSE),IF($D$1=$AN$21,HLOOKUP("kdk bpp",real_rku_2013,5,FALSE),IF($D$1=$AN$22,HLOOKUP("kdk bpp",real_rku_jan_apr,5,FALSE),IF($D$1=$AN$23,HLOOKUP("kdk bpp",real_rku_jan_mei,5,FALSE),IF($D$1=$AN$24,HLOOKUP("kdk bpp",real_rku_jan_jul,5,FALSE),IF($D$1=$AN$25,HLOOKUP("kdk bpp",real_rku_jan_ags,5,FALSE),IF($D$1=$AN$26,HLOOKUP("kdk bpp",real_rku_jan_sep,5,FALSE),IF($D$1=$AN$27,HLOOKUP("kdk bpp",real_rku_jan_okt,5,FALSE),IF($D$1=$AN$28,HLOOKUP("kdk bpp",real_rku_jan_nov,5,FALSE),0)))))))))))))))))))))))))))</f>
        <v>420000</v>
      </c>
      <c r="I66" s="88">
        <f>IF($D$1&lt;&gt;"",IF($D$1=$AN$3,HLOOKUP("kdk bpp",real_rku_01.jan,6,FALSE),IF($D$1=$AN$4,HLOOKUP("kdk bpp",real_rku_02.feb,6,FALSE),IF($D$1=$AN$5,HLOOKUP("kdk bpp",real_rku_03.mar,6,FALSE),IF($D$1=$AN$6,HLOOKUP("kdk bpp",real_rku_04.apr,6,FALSE),IF($D$1=$AN$7,HLOOKUP("kdk bpp",real_rku_05.mei,6,FALSE),IF($D$1=$AN$8,HLOOKUP("kdk bpp",real_rku_06.jun,6,FALSE),IF($D$1=$AN$9,HLOOKUP("kdk bpp",real_rku_07.jul,6,FALSE),IF($D$1=$AN$10,HLOOKUP("kdk bpp",real_rku_08.ags,6,FALSE),IF($D$1=$AN$11,HLOOKUP("kdk bpp",real_rku_09.sep,6,FALSE),IF($D$1=$AN$12,HLOOKUP("kdk bpp",real_rku_10.okt,6,FALSE),IF($D$1=$AN$13,HLOOKUP("kdk bpp",real_rku_11.nov,6,FALSE),IF($D$1=$AN$14,HLOOKUP("kdk bpp",real_rku_12.des,6,FALSE),IF($D$1=$AN$15,HLOOKUP("kdk bpp",real_rku_TW_I,6,FALSE),IF($D$1=$AN$16,HLOOKUP("kdk bpp",real_rku_TW_II,6,FALSE),IF($D$1=$AN$17,HLOOKUP("kdk bpp",real_rku_TW_III,6,FALSE),IF($D$1=$AN$18,HLOOKUP("kdk bpp",real_rku_TW_IV,6,FALSE),IF($D$1=$AN$19,HLOOKUP("kdk bpp",real_rku_SM_I,6,FALSE),IF($D$1=$AN$20,HLOOKUP("kdk bpp",real_rku_SM_II,6,FALSE),IF($D$1=$AN$21,HLOOKUP("kdk bpp",real_rku_2013,6,FALSE),IF($D$1=$AN$22,HLOOKUP("kdk bpp",real_rku_jan_apr,6,FALSE),IF($D$1=$AN$23,HLOOKUP("kdk bpp",real_rku_jan_mei,6,FALSE),IF($D$1=$AN$24,HLOOKUP("kdk bpp",real_rku_jan_jul,6,FALSE),IF($D$1=$AN$25,HLOOKUP("kdk bpp",real_rku_jan_ags,6,FALSE),IF($D$1=$AN$26,HLOOKUP("kdk bpp",real_rku_jan_sep,6,FALSE),IF($D$1=$AN$27,HLOOKUP("kdk bpp",real_rku_jan_okt,6,FALSE),IF($D$1=$AN$28,HLOOKUP("kdk bpp",real_rku_jan_nov,6,FALSE),0)))))))))))))))))))))))))))</f>
        <v>260000</v>
      </c>
      <c r="J66" s="88">
        <f>IF($D$1&lt;&gt;"",IF($D$1=$AN$3,HLOOKUP("kdk bpp",real_rku_01.jan,7,FALSE),IF($D$1=$AN$4,HLOOKUP("kdk bpp",real_rku_02.feb,7,FALSE),IF($D$1=$AN$5,HLOOKUP("kdk bpp",real_rku_03.mar,7,FALSE),IF($D$1=$AN$6,HLOOKUP("kdk bpp",real_rku_04.apr,7,FALSE),IF($D$1=$AN$7,HLOOKUP("kdk bpp",real_rku_05.mei,7,FALSE),IF($D$1=$AN$8,HLOOKUP("kdk bpp",real_rku_06.jun,7,FALSE),IF($D$1=$AN$9,HLOOKUP("kdk bpp",real_rku_07.jul,7,FALSE),IF($D$1=$AN$10,HLOOKUP("kdk bpp",real_rku_08.ags,7,FALSE),IF($D$1=$AN$11,HLOOKUP("kdk bpp",real_rku_09.sep,7,FALSE),IF($D$1=$AN$12,HLOOKUP("kdk bpp",real_rku_10.okt,7,FALSE),IF($D$1=$AN$13,HLOOKUP("kdk bpp",real_rku_11.nov,7,FALSE),IF($D$1=$AN$14,HLOOKUP("kdk bpp",real_rku_12.des,7,FALSE),IF($D$1=$AN$15,HLOOKUP("kdk bpp",real_rku_TW_I,7,FALSE),IF($D$1=$AN$16,HLOOKUP("kdk bpp",real_rku_TW_II,7,FALSE),IF($D$1=$AN$17,HLOOKUP("kdk bpp",real_rku_TW_III,7,FALSE),IF($D$1=$AN$18,HLOOKUP("kdk bpp",real_rku_TW_IV,7,FALSE),IF($D$1=$AN$19,HLOOKUP("kdk bpp",real_rku_SM_I,7,FALSE),IF($D$1=$AN$20,HLOOKUP("kdk bpp",real_rku_SM_II,7,FALSE),IF($D$1=$AN$21,HLOOKUP("kdk bpp",real_rku_2013,7,FALSE),IF($D$1=$AN$22,HLOOKUP("kdk bpp",real_rku_jan_apr,7,FALSE),IF($D$1=$AN$23,HLOOKUP("kdk bpp",real_rku_jan_mei,7,FALSE),IF($D$1=$AN$24,HLOOKUP("kdk bpp",real_rku_jan_jul,7,FALSE),IF($D$1=$AN$25,HLOOKUP("kdk bpp",real_rku_jan_ags,7,FALSE),IF($D$1=$AN$26,HLOOKUP("kdk bpp",real_rku_jan_sep,7,FALSE),IF($D$1=$AN$27,HLOOKUP("kdk bpp",real_rku_jan_okt,7,FALSE),IF($D$1=$AN$28,HLOOKUP("kdk bpp",real_rku_jan_nov,7,FALSE),0)))))))))))))))))))))))))))</f>
        <v>122000</v>
      </c>
      <c r="K66" s="88">
        <f>IF($D$1&lt;&gt;"",IF($D$1=$AN$3,HLOOKUP("kdk bpp",real_rku_01.jan,8,FALSE),IF($D$1=$AN$4,HLOOKUP("kdk bpp",real_rku_02.feb,8,FALSE),IF($D$1=$AN$5,HLOOKUP("kdk bpp",real_rku_03.mar,8,FALSE),IF($D$1=$AN$6,HLOOKUP("kdk bpp",real_rku_04.apr,8,FALSE),IF($D$1=$AN$7,HLOOKUP("kdk bpp",real_rku_05.mei,8,FALSE),IF($D$1=$AN$8,HLOOKUP("kdk bpp",real_rku_06.jun,8,FALSE),IF($D$1=$AN$9,HLOOKUP("kdk bpp",real_rku_07.jul,8,FALSE),IF($D$1=$AN$10,HLOOKUP("kdk bpp",real_rku_08.ags,8,FALSE),IF($D$1=$AN$11,HLOOKUP("kdk bpp",real_rku_09.sep,8,FALSE),IF($D$1=$AN$12,HLOOKUP("kdk bpp",real_rku_10.okt,8,FALSE),IF($D$1=$AN$13,HLOOKUP("kdk bpp",real_rku_11.nov,8,FALSE),IF($D$1=$AN$14,HLOOKUP("kdk bpp",real_rku_12.des,8,FALSE),IF($D$1=$AN$15,HLOOKUP("kdk bpp",real_rku_TW_I,8,FALSE),IF($D$1=$AN$16,HLOOKUP("kdk bpp",real_rku_TW_II,8,FALSE),IF($D$1=$AN$17,HLOOKUP("kdk bpp",real_rku_TW_III,8,FALSE),IF($D$1=$AN$18,HLOOKUP("kdk bpp",real_rku_TW_IV,8,FALSE),IF($D$1=$AN$19,HLOOKUP("kdk bpp",real_rku_SM_I,8,FALSE),IF($D$1=$AN$20,HLOOKUP("kdk bpp",real_rku_SM_II,8,FALSE),IF($D$1=$AN$21,HLOOKUP("kdk bpp",real_rku_2013,8,FALSE),IF($D$1=$AN$22,HLOOKUP("kdk bpp",real_rku_jan_apr,8,FALSE),IF($D$1=$AN$23,HLOOKUP("kdk bpp",real_rku_jan_mei,8,FALSE),IF($D$1=$AN$24,HLOOKUP("kdk bpp",real_rku_jan_jul,8,FALSE),IF($D$1=$AN$25,HLOOKUP("kdk bpp",real_rku_jan_ags,8,FALSE),IF($D$1=$AN$26,HLOOKUP("kdk bpp",real_rku_jan_sep,8,FALSE),IF($D$1=$AN$27,HLOOKUP("kdk bpp",real_rku_jan_okt,8,FALSE),IF($D$1=$AN$28,HLOOKUP("kdk bpp",real_rku_jan_nov,8,FALSE),0)))))))))))))))))))))))))))</f>
        <v>6000</v>
      </c>
      <c r="L66" s="89">
        <f>+SUM(E66:K66)</f>
        <v>13418000</v>
      </c>
      <c r="M66" s="88">
        <f>IF($D$1&lt;&gt;"",IF($D$1=$AN$3,HLOOKUP("kdk bpp",real_rku_01.jan,10,FALSE),IF($D$1=$AN$4,HLOOKUP("kdk bpp",real_rku_02.feb,10,FALSE),IF($D$1=$AN$5,HLOOKUP("kdk bpp",real_rku_03.mar,10,FALSE),IF($D$1=$AN$6,HLOOKUP("kdk bpp",real_rku_04.apr,10,FALSE),IF($D$1=$AN$7,HLOOKUP("kdk bpp",real_rku_05.mei,10,FALSE),IF($D$1=$AN$8,HLOOKUP("kdk bpp",real_rku_06.jun,10,FALSE),IF($D$1=$AN$9,HLOOKUP("kdk bpp",real_rku_07.jul,10,FALSE),IF($D$1=$AN$10,HLOOKUP("kdk bpp",real_rku_08.ags,10,FALSE),IF($D$1=$AN$11,HLOOKUP("kdk bpp",real_rku_09.sep,10,FALSE),IF($D$1=$AN$12,HLOOKUP("kdk bpp",real_rku_10.okt,10,FALSE),IF($D$1=$AN$13,HLOOKUP("kdk bpp",real_rku_11.nov,10,FALSE),IF($D$1=$AN$14,HLOOKUP("kdk bpp",real_rku_12.des,10,FALSE),IF($D$1=$AN$15,HLOOKUP("kdk bpp",real_rku_TW_I,10,FALSE),IF($D$1=$AN$16,HLOOKUP("kdk bpp",real_rku_TW_II,10,FALSE),IF($D$1=$AN$17,HLOOKUP("kdk bpp",real_rku_TW_III,10,FALSE),IF($D$1=$AN$18,HLOOKUP("kdk bpp",real_rku_TW_IV,10,FALSE),IF($D$1=$AN$19,HLOOKUP("kdk bpp",real_rku_SM_I,10,FALSE),IF($D$1=$AN$20,HLOOKUP("kdk bpp",real_rku_SM_II,10,FALSE),IF($D$1=$AN$21,HLOOKUP("kdk bpp",real_rku_2013,10,FALSE),IF($D$1=$AN$22,HLOOKUP("kdk bpp",real_rku_jan_apr,10,FALSE),IF($D$1=$AN$23,HLOOKUP("kdk bpp",real_rku_jan_mei,10,FALSE),IF($D$1=$AN$24,HLOOKUP("kdk bpp",real_rku_jan_jul,10,FALSE),IF($D$1=$AN$25,HLOOKUP("kdk bpp",real_rku_jan_ags,10,FALSE),IF($D$1=$AN$26,HLOOKUP("kdk bpp",real_rku_jan_sep,10,FALSE),IF($D$1=$AN$27,HLOOKUP("kdk bpp",real_rku_jan_okt,10,FALSE),IF($D$1=$AN$28,HLOOKUP("kdk bpp",real_rku_jan_nov,10,FALSE),0)))))))))))))))))))))))))))</f>
        <v>17250</v>
      </c>
      <c r="N66" s="88">
        <f>IF($D$1&lt;&gt;"",IF($D$1=$AN$3,HLOOKUP("kdk bpp",real_rku_01.jan,11,FALSE),IF($D$1=$AN$4,HLOOKUP("kdk bpp",real_rku_02.feb,11,FALSE),IF($D$1=$AN$5,HLOOKUP("kdk bpp",real_rku_03.mar,11,FALSE),IF($D$1=$AN$6,HLOOKUP("kdk bpp",real_rku_04.apr,11,FALSE),IF($D$1=$AN$7,HLOOKUP("kdk bpp",real_rku_05.mei,11,FALSE),IF($D$1=$AN$8,HLOOKUP("kdk bpp",real_rku_06.jun,11,FALSE),IF($D$1=$AN$9,HLOOKUP("kdk bpp",real_rku_07.jul,11,FALSE),IF($D$1=$AN$10,HLOOKUP("kdk bpp",real_rku_08.ags,11,FALSE),IF($D$1=$AN$11,HLOOKUP("kdk bpp",real_rku_09.sep,11,FALSE),IF($D$1=$AN$12,HLOOKUP("kdk bpp",real_rku_10.okt,11,FALSE),IF($D$1=$AN$13,HLOOKUP("kdk bpp",real_rku_11.nov,11,FALSE),IF($D$1=$AN$14,HLOOKUP("kdk bpp",real_rku_12.des,11,FALSE),IF($D$1=$AN$15,HLOOKUP("kdk bpp",real_rku_TW_I,11,FALSE),IF($D$1=$AN$16,HLOOKUP("kdk bpp",real_rku_TW_II,11,FALSE),IF($D$1=$AN$17,HLOOKUP("kdk bpp",real_rku_TW_III,11,FALSE),IF($D$1=$AN$18,HLOOKUP("kdk bpp",real_rku_TW_IV,11,FALSE),IF($D$1=$AN$19,HLOOKUP("kdk bpp",real_rku_SM_I,11,FALSE),IF($D$1=$AN$20,HLOOKUP("kdk bpp",real_rku_SM_II,11,FALSE),IF($D$1=$AN$21,HLOOKUP("kdk bpp",real_rku_2013,11,FALSE),IF($D$1=$AN$22,HLOOKUP("kdk bpp",real_rku_jan_apr,11,FALSE),IF($D$1=$AN$23,HLOOKUP("kdk bpp",real_rku_jan_mei,11,FALSE),IF($D$1=$AN$24,HLOOKUP("kdk bpp",real_rku_jan_jul,11,FALSE),IF($D$1=$AN$25,HLOOKUP("kdk bpp",real_rku_jan_ags,11,FALSE),IF($D$1=$AN$26,HLOOKUP("kdk bpp",real_rku_jan_sep,11,FALSE),IF($D$1=$AN$27,HLOOKUP("kdk bpp",real_rku_jan_okt,11,FALSE),IF($D$1=$AN$28,HLOOKUP("kdk bpp",real_rku_jan_nov,11,FALSE),0)))))))))))))))))))))))))))</f>
        <v>8750</v>
      </c>
      <c r="O66" s="88">
        <f>IF($D$1&lt;&gt;"",IF($D$1=$AN$3,HLOOKUP("kdk bpp",real_rku_01.jan,12,FALSE),IF($D$1=$AN$4,HLOOKUP("kdk bpp",real_rku_02.feb,12,FALSE),IF($D$1=$AN$5,HLOOKUP("kdk bpp",real_rku_03.mar,12,FALSE),IF($D$1=$AN$6,HLOOKUP("kdk bpp",real_rku_04.apr,12,FALSE),IF($D$1=$AN$7,HLOOKUP("kdk bpp",real_rku_05.mei,12,FALSE),IF($D$1=$AN$8,HLOOKUP("kdk bpp",real_rku_06.jun,12,FALSE),IF($D$1=$AN$9,HLOOKUP("kdk bpp",real_rku_07.jul,12,FALSE),IF($D$1=$AN$10,HLOOKUP("kdk bpp",real_rku_08.ags,12,FALSE),IF($D$1=$AN$11,HLOOKUP("kdk bpp",real_rku_09.sep,12,FALSE),IF($D$1=$AN$12,HLOOKUP("kdk bpp",real_rku_10.okt,12,FALSE),IF($D$1=$AN$13,HLOOKUP("kdk bpp",real_rku_11.nov,12,FALSE),IF($D$1=$AN$14,HLOOKUP("kdk bpp",real_rku_12.des,12,FALSE),IF($D$1=$AN$15,HLOOKUP("kdk bpp",real_rku_TW_I,12,FALSE),IF($D$1=$AN$16,HLOOKUP("kdk bpp",real_rku_TW_II,12,FALSE),IF($D$1=$AN$17,HLOOKUP("kdk bpp",real_rku_TW_III,12,FALSE),IF($D$1=$AN$18,HLOOKUP("kdk bpp",real_rku_TW_IV,12,FALSE),IF($D$1=$AN$19,HLOOKUP("kdk bpp",real_rku_SM_I,12,FALSE),IF($D$1=$AN$20,HLOOKUP("kdk bpp",real_rku_SM_II,12,FALSE),IF($D$1=$AN$21,HLOOKUP("kdk bpp",real_rku_2013,12,FALSE),IF($D$1=$AN$22,HLOOKUP("kdk bpp",real_rku_jan_apr,12,FALSE),IF($D$1=$AN$23,HLOOKUP("kdk bpp",real_rku_jan_mei,12,FALSE),IF($D$1=$AN$24,HLOOKUP("kdk bpp",real_rku_jan_jul,12,FALSE),IF($D$1=$AN$25,HLOOKUP("kdk bpp",real_rku_jan_ags,12,FALSE),IF($D$1=$AN$26,HLOOKUP("kdk bpp",real_rku_jan_sep,12,FALSE),IF($D$1=$AN$27,HLOOKUP("kdk bpp",real_rku_jan_okt,12,FALSE),IF($D$1=$AN$28,HLOOKUP("kdk bpp",real_rku_jan_nov,12,FALSE),0)))))))))))))))))))))))))))</f>
        <v>3300</v>
      </c>
      <c r="P66" s="88">
        <f>IF($D$1&lt;&gt;"",IF($D$1=$AN$3,HLOOKUP("kdk bpp",real_rku_01.jan,13,FALSE),IF($D$1=$AN$4,HLOOKUP("kdk bpp",real_rku_02.feb,13,FALSE),IF($D$1=$AN$5,HLOOKUP("kdk bpp",real_rku_03.mar,13,FALSE),IF($D$1=$AN$6,HLOOKUP("kdk bpp",real_rku_04.apr,13,FALSE),IF($D$1=$AN$7,HLOOKUP("kdk bpp",real_rku_05.mei,13,FALSE),IF($D$1=$AN$8,HLOOKUP("kdk bpp",real_rku_06.jun,13,FALSE),IF($D$1=$AN$9,HLOOKUP("kdk bpp",real_rku_07.jul,13,FALSE),IF($D$1=$AN$10,HLOOKUP("kdk bpp",real_rku_08.ags,13,FALSE),IF($D$1=$AN$11,HLOOKUP("kdk bpp",real_rku_09.sep,13,FALSE),IF($D$1=$AN$12,HLOOKUP("kdk bpp",real_rku_10.okt,13,FALSE),IF($D$1=$AN$13,HLOOKUP("kdk bpp",real_rku_11.nov,13,FALSE),IF($D$1=$AN$14,HLOOKUP("kdk bpp",real_rku_12.des,13,FALSE),IF($D$1=$AN$15,HLOOKUP("kdk bpp",real_rku_TW_I,13,FALSE),IF($D$1=$AN$16,HLOOKUP("kdk bpp",real_rku_TW_II,13,FALSE),IF($D$1=$AN$17,HLOOKUP("kdk bpp",real_rku_TW_III,13,FALSE),IF($D$1=$AN$18,HLOOKUP("kdk bpp",real_rku_TW_IV,13,FALSE),IF($D$1=$AN$19,HLOOKUP("kdk bpp",real_rku_SM_I,13,FALSE),IF($D$1=$AN$20,HLOOKUP("kdk bpp",real_rku_SM_II,13,FALSE),IF($D$1=$AN$21,HLOOKUP("kdk bpp",real_rku_2013,13,FALSE),IF($D$1=$AN$22,HLOOKUP("kdk bpp",real_rku_jan_apr,13,FALSE),IF($D$1=$AN$23,HLOOKUP("kdk bpp",real_rku_jan_mei,13,FALSE),IF($D$1=$AN$24,HLOOKUP("kdk bpp",real_rku_jan_jul,13,FALSE),IF($D$1=$AN$25,HLOOKUP("kdk bpp",real_rku_jan_ags,13,FALSE),IF($D$1=$AN$26,HLOOKUP("kdk bpp",real_rku_jan_sep,13,FALSE),IF($D$1=$AN$27,HLOOKUP("kdk bpp",real_rku_jan_okt,13,FALSE),IF($D$1=$AN$28,HLOOKUP("kdk bpp",real_rku_jan_nov,13,FALSE),0)))))))))))))))))))))))))))</f>
        <v>1400</v>
      </c>
      <c r="Q66" s="88">
        <f>IF($D$1&lt;&gt;"",IF($D$1=$AN$3,HLOOKUP("kdk bpp",real_rku_01.jan,14,FALSE),IF($D$1=$AN$4,HLOOKUP("kdk bpp",real_rku_02.feb,14,FALSE),IF($D$1=$AN$5,HLOOKUP("kdk bpp",real_rku_03.mar,14,FALSE),IF($D$1=$AN$6,HLOOKUP("kdk bpp",real_rku_04.apr,14,FALSE),IF($D$1=$AN$7,HLOOKUP("kdk bpp",real_rku_05.mei,14,FALSE),IF($D$1=$AN$8,HLOOKUP("kdk bpp",real_rku_06.jun,14,FALSE),IF($D$1=$AN$9,HLOOKUP("kdk bpp",real_rku_07.jul,14,FALSE),IF($D$1=$AN$10,HLOOKUP("kdk bpp",real_rku_08.ags,14,FALSE),IF($D$1=$AN$11,HLOOKUP("kdk bpp",real_rku_09.sep,14,FALSE),IF($D$1=$AN$12,HLOOKUP("kdk bpp",real_rku_10.okt,14,FALSE),IF($D$1=$AN$13,HLOOKUP("kdk bpp",real_rku_11.nov,14,FALSE),IF($D$1=$AN$14,HLOOKUP("kdk bpp",real_rku_12.des,14,FALSE),IF($D$1=$AN$15,HLOOKUP("kdk bpp",real_rku_TW_I,14,FALSE),IF($D$1=$AN$16,HLOOKUP("kdk bpp",real_rku_TW_II,14,FALSE),IF($D$1=$AN$17,HLOOKUP("kdk bpp",real_rku_TW_III,14,FALSE),IF($D$1=$AN$18,HLOOKUP("kdk bpp",real_rku_TW_IV,14,FALSE),IF($D$1=$AN$19,HLOOKUP("kdk bpp",real_rku_SM_I,14,FALSE),IF($D$1=$AN$20,HLOOKUP("kdk bpp",real_rku_SM_II,14,FALSE),IF($D$1=$AN$21,HLOOKUP("kdk bpp",real_rku_2013,14,FALSE),IF($D$1=$AN$22,HLOOKUP("kdk bpp",real_rku_jan_apr,14,FALSE),IF($D$1=$AN$23,HLOOKUP("kdk bpp",real_rku_jan_mei,14,FALSE),IF($D$1=$AN$24,HLOOKUP("kdk bpp",real_rku_jan_jul,14,FALSE),IF($D$1=$AN$25,HLOOKUP("kdk bpp",real_rku_jan_ags,14,FALSE),IF($D$1=$AN$26,HLOOKUP("kdk bpp",real_rku_jan_sep,14,FALSE),IF($D$1=$AN$27,HLOOKUP("kdk bpp",real_rku_jan_okt,14,FALSE),IF($D$1=$AN$28,HLOOKUP("kdk bpp",real_rku_jan_nov,14,FALSE),0)))))))))))))))))))))))))))</f>
        <v>0</v>
      </c>
      <c r="R66" s="89">
        <f>+SUM(M66:Q66)</f>
        <v>30700</v>
      </c>
      <c r="S66" s="88">
        <f>+R66+L66</f>
        <v>13448700</v>
      </c>
      <c r="T66" s="76"/>
      <c r="U66" s="86"/>
      <c r="V66" s="86"/>
      <c r="W66" s="87" t="s">
        <v>182</v>
      </c>
      <c r="X66" s="88">
        <f t="shared" si="87"/>
        <v>3400</v>
      </c>
      <c r="Y66" s="88">
        <f t="shared" si="87"/>
        <v>5450</v>
      </c>
      <c r="Z66" s="88">
        <f t="shared" si="87"/>
        <v>900</v>
      </c>
      <c r="AA66" s="88">
        <f t="shared" si="87"/>
        <v>2100</v>
      </c>
      <c r="AB66" s="88">
        <f t="shared" si="87"/>
        <v>2600</v>
      </c>
      <c r="AC66" s="88">
        <f t="shared" si="87"/>
        <v>3050</v>
      </c>
      <c r="AD66" s="88">
        <f t="shared" si="87"/>
        <v>300</v>
      </c>
      <c r="AE66" s="89">
        <f>+SUM(X66:AD66)</f>
        <v>17800</v>
      </c>
      <c r="AF66" s="88">
        <f t="shared" si="88"/>
        <v>3450</v>
      </c>
      <c r="AG66" s="88">
        <f t="shared" si="88"/>
        <v>3500</v>
      </c>
      <c r="AH66" s="88">
        <f t="shared" si="88"/>
        <v>1650</v>
      </c>
      <c r="AI66" s="88">
        <f t="shared" si="88"/>
        <v>1400</v>
      </c>
      <c r="AJ66" s="88">
        <f t="shared" si="88"/>
        <v>0</v>
      </c>
      <c r="AK66" s="89">
        <f>+SUM(AF66:AJ66)</f>
        <v>10000</v>
      </c>
      <c r="AL66" s="88">
        <f>+AK66+AE66</f>
        <v>27800</v>
      </c>
    </row>
    <row r="67" spans="2:39" ht="15" x14ac:dyDescent="0.25">
      <c r="B67" s="86"/>
      <c r="C67" s="86"/>
      <c r="D67" s="87" t="s">
        <v>184</v>
      </c>
      <c r="E67" s="88">
        <f t="shared" ref="E67:K67" si="89">+E65-E66</f>
        <v>1578000</v>
      </c>
      <c r="F67" s="88">
        <f t="shared" si="89"/>
        <v>-403000</v>
      </c>
      <c r="G67" s="88">
        <f t="shared" si="89"/>
        <v>-494000</v>
      </c>
      <c r="H67" s="88">
        <f t="shared" si="89"/>
        <v>-353400</v>
      </c>
      <c r="I67" s="88">
        <f t="shared" si="89"/>
        <v>-165400</v>
      </c>
      <c r="J67" s="88">
        <f t="shared" si="89"/>
        <v>-60640</v>
      </c>
      <c r="K67" s="88">
        <f t="shared" si="89"/>
        <v>-1100</v>
      </c>
      <c r="L67" s="89">
        <f>+SUM(E67:K67)</f>
        <v>100460</v>
      </c>
      <c r="M67" s="88">
        <f>+M65-M66</f>
        <v>-6030</v>
      </c>
      <c r="N67" s="88">
        <f>+N65-N66</f>
        <v>-2900</v>
      </c>
      <c r="O67" s="88">
        <f>+O65-O66</f>
        <v>-1120</v>
      </c>
      <c r="P67" s="88">
        <f>+P65-P66</f>
        <v>-275</v>
      </c>
      <c r="Q67" s="88">
        <f>+Q65-Q66</f>
        <v>0</v>
      </c>
      <c r="R67" s="89">
        <f>+SUM(M67:Q67)</f>
        <v>-10325</v>
      </c>
      <c r="S67" s="88">
        <f>+R67+L67</f>
        <v>90135</v>
      </c>
      <c r="T67" s="88"/>
      <c r="U67" s="86"/>
      <c r="V67" s="86"/>
      <c r="W67" s="87" t="s">
        <v>184</v>
      </c>
      <c r="X67" s="88">
        <f t="shared" ref="X67:AD67" si="90">+X65-X66</f>
        <v>789</v>
      </c>
      <c r="Y67" s="88">
        <f t="shared" si="90"/>
        <v>-403</v>
      </c>
      <c r="Z67" s="88">
        <f t="shared" si="90"/>
        <v>-1235</v>
      </c>
      <c r="AA67" s="88">
        <f t="shared" si="90"/>
        <v>-1767</v>
      </c>
      <c r="AB67" s="88">
        <f t="shared" si="90"/>
        <v>-1654</v>
      </c>
      <c r="AC67" s="88">
        <f t="shared" si="90"/>
        <v>-1516</v>
      </c>
      <c r="AD67" s="88">
        <f t="shared" si="90"/>
        <v>-55</v>
      </c>
      <c r="AE67" s="89">
        <f>+SUM(X67:AD67)</f>
        <v>-5841</v>
      </c>
      <c r="AF67" s="88">
        <f>+AF65-AF66</f>
        <v>-1206</v>
      </c>
      <c r="AG67" s="88">
        <f>+AG65-AG66</f>
        <v>-1160</v>
      </c>
      <c r="AH67" s="88">
        <f>+AH65-AH66</f>
        <v>-560</v>
      </c>
      <c r="AI67" s="88">
        <f>+AI65-AI66</f>
        <v>-275</v>
      </c>
      <c r="AJ67" s="88">
        <f>+AJ65-AJ66</f>
        <v>0</v>
      </c>
      <c r="AK67" s="89">
        <f>+SUM(AF67:AJ67)</f>
        <v>-3201</v>
      </c>
      <c r="AL67" s="88">
        <f>+AK67+AE67</f>
        <v>-9042</v>
      </c>
      <c r="AM67" s="91">
        <f>+AL67/550</f>
        <v>-16.440000000000001</v>
      </c>
    </row>
    <row r="68" spans="2:39" ht="14.25" x14ac:dyDescent="0.2">
      <c r="B68" s="86"/>
      <c r="C68" s="112"/>
      <c r="D68" s="109" t="s">
        <v>186</v>
      </c>
      <c r="E68" s="110">
        <f t="shared" ref="E68:S68" si="91">IF(E65=0,"-",E66/E65)</f>
        <v>0.81164955836715202</v>
      </c>
      <c r="F68" s="110">
        <f t="shared" si="91"/>
        <v>1.079849415494353</v>
      </c>
      <c r="G68" s="110">
        <f t="shared" si="91"/>
        <v>-2.6865671641791047</v>
      </c>
      <c r="H68" s="110">
        <f t="shared" si="91"/>
        <v>6.3063063063063067</v>
      </c>
      <c r="I68" s="110">
        <f t="shared" si="91"/>
        <v>2.7484143763213531</v>
      </c>
      <c r="J68" s="110">
        <f t="shared" si="91"/>
        <v>1.9882659713168187</v>
      </c>
      <c r="K68" s="110">
        <f t="shared" si="91"/>
        <v>1.2244897959183674</v>
      </c>
      <c r="L68" s="110">
        <f t="shared" si="91"/>
        <v>0.99256868016031408</v>
      </c>
      <c r="M68" s="110">
        <f t="shared" si="91"/>
        <v>1.5374331550802138</v>
      </c>
      <c r="N68" s="110">
        <f t="shared" si="91"/>
        <v>1.4957264957264957</v>
      </c>
      <c r="O68" s="110">
        <f t="shared" si="91"/>
        <v>1.5137614678899083</v>
      </c>
      <c r="P68" s="110">
        <f t="shared" si="91"/>
        <v>1.2444444444444445</v>
      </c>
      <c r="Q68" s="110" t="str">
        <f t="shared" si="91"/>
        <v>-</v>
      </c>
      <c r="R68" s="110">
        <f t="shared" si="91"/>
        <v>1.5067484662576687</v>
      </c>
      <c r="S68" s="110">
        <f t="shared" si="91"/>
        <v>0.99334248478543385</v>
      </c>
      <c r="T68" s="95">
        <f>+S68*$T$6</f>
        <v>0.69533973934980364</v>
      </c>
      <c r="U68" s="86"/>
      <c r="V68" s="112"/>
      <c r="W68" s="109" t="s">
        <v>186</v>
      </c>
      <c r="X68" s="110">
        <f t="shared" ref="X68:AL68" si="92">IF(X65=0,"-",X66/X65)</f>
        <v>0.81164955836715202</v>
      </c>
      <c r="Y68" s="110">
        <f t="shared" si="92"/>
        <v>1.079849415494353</v>
      </c>
      <c r="Z68" s="110">
        <f t="shared" si="92"/>
        <v>-2.6865671641791047</v>
      </c>
      <c r="AA68" s="110">
        <f t="shared" si="92"/>
        <v>6.3063063063063067</v>
      </c>
      <c r="AB68" s="110">
        <f t="shared" si="92"/>
        <v>2.7484143763213531</v>
      </c>
      <c r="AC68" s="110">
        <f t="shared" si="92"/>
        <v>1.9882659713168187</v>
      </c>
      <c r="AD68" s="110">
        <f t="shared" si="92"/>
        <v>1.2244897959183674</v>
      </c>
      <c r="AE68" s="110">
        <f t="shared" si="92"/>
        <v>1.4884187641107116</v>
      </c>
      <c r="AF68" s="110">
        <f t="shared" si="92"/>
        <v>1.5374331550802138</v>
      </c>
      <c r="AG68" s="110">
        <f t="shared" si="92"/>
        <v>1.4957264957264957</v>
      </c>
      <c r="AH68" s="110">
        <f t="shared" si="92"/>
        <v>1.5137614678899083</v>
      </c>
      <c r="AI68" s="110">
        <f t="shared" si="92"/>
        <v>1.2444444444444445</v>
      </c>
      <c r="AJ68" s="110" t="str">
        <f t="shared" si="92"/>
        <v>-</v>
      </c>
      <c r="AK68" s="110">
        <f t="shared" si="92"/>
        <v>1.4708045300779526</v>
      </c>
      <c r="AL68" s="110">
        <f t="shared" si="92"/>
        <v>1.4820343320183389</v>
      </c>
    </row>
    <row r="69" spans="2:39" ht="14.25" x14ac:dyDescent="0.2">
      <c r="B69" s="103"/>
      <c r="C69" s="104"/>
      <c r="D69" s="104"/>
      <c r="E69" s="98">
        <f>+E68*$L$6</f>
        <v>0.2434948675101456</v>
      </c>
      <c r="F69" s="98">
        <f t="shared" ref="F69:K69" si="93">+F68*$L$6</f>
        <v>0.32395482464830588</v>
      </c>
      <c r="G69" s="98">
        <f t="shared" si="93"/>
        <v>-0.80597014925373134</v>
      </c>
      <c r="H69" s="98">
        <f t="shared" si="93"/>
        <v>1.8918918918918919</v>
      </c>
      <c r="I69" s="98">
        <f t="shared" si="93"/>
        <v>0.82452431289640593</v>
      </c>
      <c r="J69" s="98">
        <f t="shared" si="93"/>
        <v>0.59647979139504559</v>
      </c>
      <c r="K69" s="98">
        <f t="shared" si="93"/>
        <v>0.36734693877551022</v>
      </c>
      <c r="L69" s="98"/>
      <c r="M69" s="98">
        <f t="shared" ref="M69:P69" si="94">+M68*$L$6</f>
        <v>0.46122994652406413</v>
      </c>
      <c r="N69" s="98">
        <f t="shared" si="94"/>
        <v>0.44871794871794873</v>
      </c>
      <c r="O69" s="98">
        <f t="shared" si="94"/>
        <v>0.45412844036697247</v>
      </c>
      <c r="P69" s="98">
        <f t="shared" si="94"/>
        <v>0.37333333333333335</v>
      </c>
      <c r="Q69" s="98"/>
      <c r="R69" s="105"/>
      <c r="S69" s="98">
        <f>+AVERAGE(E69:Q69)</f>
        <v>0.47083019516417202</v>
      </c>
      <c r="T69" s="100">
        <f>+S69+T68</f>
        <v>1.1661699345139755</v>
      </c>
      <c r="U69" s="103"/>
      <c r="V69" s="104"/>
      <c r="W69" s="104"/>
      <c r="X69" s="106"/>
      <c r="Y69" s="106"/>
      <c r="Z69" s="106"/>
      <c r="AA69" s="106"/>
      <c r="AB69" s="106"/>
      <c r="AC69" s="106"/>
      <c r="AD69" s="106"/>
      <c r="AE69" s="105">
        <f>+SUM(X69:AD69)</f>
        <v>0</v>
      </c>
      <c r="AF69" s="106"/>
      <c r="AG69" s="106"/>
      <c r="AH69" s="106"/>
      <c r="AI69" s="106"/>
      <c r="AJ69" s="106"/>
      <c r="AK69" s="105">
        <f>+SUM(AF69:AJ69)</f>
        <v>0</v>
      </c>
      <c r="AL69" s="107">
        <f>+AK69+AE69</f>
        <v>0</v>
      </c>
    </row>
    <row r="70" spans="2:39" ht="14.25" x14ac:dyDescent="0.2">
      <c r="B70" s="81">
        <v>13</v>
      </c>
      <c r="C70" s="83" t="s">
        <v>213</v>
      </c>
      <c r="D70" s="83" t="s">
        <v>180</v>
      </c>
      <c r="E70" s="84">
        <f>IF($D$1&lt;&gt;"",IF($D$1=$AN$3,HLOOKUP("ptk",rku_01.jan,2,FALSE),IF($D$1=$AN$4,HLOOKUP("ptk",rku_02.feb,2,FALSE),IF($D$1=$AN$5,HLOOKUP("ptk",rku_03.mar,2,FALSE),IF($D$1=$AN$6,HLOOKUP("ptk",rku_04.apr,2,FALSE),IF($D$1=$AN$7,HLOOKUP("ptk",rku_05.mei,2,FALSE),IF($D$1=$AN$8,HLOOKUP("ptk",rku_06.jun,2,FALSE),IF($D$1=$AN$9,HLOOKUP("ptk",rku_07.jul,2,FALSE),IF($D$1=$AN$10,HLOOKUP("ptk",rku_08.ags,2,FALSE),IF($D$1=$AN$11,HLOOKUP("ptk",rku_09.sep,2,FALSE),IF($D$1=$AN$12,HLOOKUP("ptk",rku_10.okt,2,FALSE),IF($D$1=$AN$13,HLOOKUP("ptk",rku_11.nov,2,FALSE),IF($D$1=$AN$14,HLOOKUP("ptk",rku_12.des,2,FALSE),IF($D$1=$AN$15,HLOOKUP("ptk",rku_TW_I,2,FALSE),IF($D$1=$AN$16,HLOOKUP("ptk",rku_TW_II,2,FALSE),IF($D$1=$AN$17,HLOOKUP("ptk",rku_TW_III,2,FALSE),IF($D$1=$AN$18,HLOOKUP("ptk",rku_TW_IV,2,FALSE),IF($D$1=$AN$19,HLOOKUP("ptk",rku_SM_I,2,FALSE),IF($D$1=$AN$20,HLOOKUP("ptk",rku_SM_II,2,FALSE),IF($D$1=$AN$21,HLOOKUP("ptk",rku_2013,2,FALSE),IF($D$1=$AN$22,HLOOKUP("ptk",rku_jan_apr,2,FALSE),IF($D$1=$AN$23,HLOOKUP("ptk",rku_jan_mei,2,FALSE),IF($D$1=$AN$24,HLOOKUP("ptk",rku_jan_jul,2,FALSE),IF($D$1=$AN$25,HLOOKUP("ptk",rku_jan_ags,2,FALSE),IF($D$1=$AN$26,HLOOKUP("ptk",rku_jan_sep,2,FALSE),IF($D$1=$AN$27,HLOOKUP("ptk",rku_jan_okt,2,FALSE),IF($D$1=$AN$28,HLOOKUP("ptk",rku_jan_nov,2,FALSE),0)))))))))))))))))))))))))))</f>
        <v>3648000</v>
      </c>
      <c r="F70" s="84">
        <f>IF($D$1&lt;&gt;"",IF($D$1=$AN$3,HLOOKUP("ptk",rku_01.jan,3,FALSE),IF($D$1=$AN$4,HLOOKUP("ptk",rku_02.feb,3,FALSE),IF($D$1=$AN$5,HLOOKUP("ptk",rku_03.mar,3,FALSE),IF($D$1=$AN$6,HLOOKUP("ptk",rku_04.apr,3,FALSE),IF($D$1=$AN$7,HLOOKUP("ptk",rku_05.mei,3,FALSE),IF($D$1=$AN$8,HLOOKUP("ptk",rku_06.jun,3,FALSE),IF($D$1=$AN$9,HLOOKUP("ptk",rku_07.jul,3,FALSE),IF($D$1=$AN$10,HLOOKUP("ptk",rku_08.ags,3,FALSE),IF($D$1=$AN$11,HLOOKUP("ptk",rku_09.sep,3,FALSE),IF($D$1=$AN$12,HLOOKUP("ptk",rku_10.okt,3,FALSE),IF($D$1=$AN$13,HLOOKUP("ptk",rku_11.nov,3,FALSE),IF($D$1=$AN$14,HLOOKUP("ptk",rku_12.des,3,FALSE),IF($D$1=$AN$15,HLOOKUP("ptk",rku_TW_I,3,FALSE),IF($D$1=$AN$16,HLOOKUP("ptk",rku_TW_II,3,FALSE),IF($D$1=$AN$17,HLOOKUP("ptk",rku_TW_III,3,FALSE),IF($D$1=$AN$18,HLOOKUP("ptk",rku_TW_IV,3,FALSE),IF($D$1=$AN$19,HLOOKUP("ptk",rku_SM_I,3,FALSE),IF($D$1=$AN$20,HLOOKUP("ptk",rku_SM_II,3,FALSE),IF($D$1=$AN$21,HLOOKUP("ptk",rku_2013,3,FALSE),IF($D$1=$AN$22,HLOOKUP("ptk",rku_jan_apr,3,FALSE),IF($D$1=$AN$23,HLOOKUP("ptk",rku_jan_mei,3,FALSE),IF($D$1=$AN$24,HLOOKUP("ptk",rku_jan_jul,3,FALSE),IF($D$1=$AN$25,HLOOKUP("ptk",rku_jan_ags,3,FALSE),IF($D$1=$AN$26,HLOOKUP("ptk",rku_jan_sep,3,FALSE),IF($D$1=$AN$27,HLOOKUP("ptk",rku_jan_okt,3,FALSE),IF($D$1=$AN$28,HLOOKUP("ptk",rku_jan_nov,3,FALSE),0)))))))))))))))))))))))))))</f>
        <v>1572000</v>
      </c>
      <c r="G70" s="84">
        <f>IF($D$1&lt;&gt;"",IF($D$1=$AN$3,HLOOKUP("ptk",rku_01.jan,4,FALSE),IF($D$1=$AN$4,HLOOKUP("ptk",rku_02.feb,4,FALSE),IF($D$1=$AN$5,HLOOKUP("ptk",rku_03.mar,4,FALSE),IF($D$1=$AN$6,HLOOKUP("ptk",rku_04.apr,4,FALSE),IF($D$1=$AN$7,HLOOKUP("ptk",rku_05.mei,4,FALSE),IF($D$1=$AN$8,HLOOKUP("ptk",rku_06.jun,4,FALSE),IF($D$1=$AN$9,HLOOKUP("ptk",rku_07.jul,4,FALSE),IF($D$1=$AN$10,HLOOKUP("ptk",rku_08.ags,4,FALSE),IF($D$1=$AN$11,HLOOKUP("ptk",rku_09.sep,4,FALSE),IF($D$1=$AN$12,HLOOKUP("ptk",rku_10.okt,4,FALSE),IF($D$1=$AN$13,HLOOKUP("ptk",rku_11.nov,4,FALSE),IF($D$1=$AN$14,HLOOKUP("ptk",rku_12.des,4,FALSE),IF($D$1=$AN$15,HLOOKUP("ptk",rku_TW_I,4,FALSE),IF($D$1=$AN$16,HLOOKUP("ptk",rku_TW_II,4,FALSE),IF($D$1=$AN$17,HLOOKUP("ptk",rku_TW_III,4,FALSE),IF($D$1=$AN$18,HLOOKUP("ptk",rku_TW_IV,4,FALSE),IF($D$1=$AN$19,HLOOKUP("ptk",rku_SM_I,4,FALSE),IF($D$1=$AN$20,HLOOKUP("ptk",rku_SM_II,4,FALSE),IF($D$1=$AN$21,HLOOKUP("ptk",rku_2013,4,FALSE),IF($D$1=$AN$22,HLOOKUP("ptk",rku_jan_apr,4,FALSE),IF($D$1=$AN$23,HLOOKUP("ptk",rku_jan_mei,4,FALSE),IF($D$1=$AN$24,HLOOKUP("ptk",rku_jan_jul,4,FALSE),IF($D$1=$AN$25,HLOOKUP("ptk",rku_jan_ags,4,FALSE),IF($D$1=$AN$26,HLOOKUP("ptk",rku_jan_sep,4,FALSE),IF($D$1=$AN$27,HLOOKUP("ptk",rku_jan_okt,4,FALSE),IF($D$1=$AN$28,HLOOKUP("ptk",rku_jan_nov,4,FALSE),0)))))))))))))))))))))))))))</f>
        <v>48400</v>
      </c>
      <c r="H70" s="84">
        <f>IF($D$1&lt;&gt;"",IF($D$1=$AN$3,HLOOKUP("ptk",rku_01.jan,5,FALSE),IF($D$1=$AN$4,HLOOKUP("ptk",rku_02.feb,5,FALSE),IF($D$1=$AN$5,HLOOKUP("ptk",rku_03.mar,5,FALSE),IF($D$1=$AN$6,HLOOKUP("ptk",rku_04.apr,5,FALSE),IF($D$1=$AN$7,HLOOKUP("ptk",rku_05.mei,5,FALSE),IF($D$1=$AN$8,HLOOKUP("ptk",rku_06.jun,5,FALSE),IF($D$1=$AN$9,HLOOKUP("ptk",rku_07.jul,5,FALSE),IF($D$1=$AN$10,HLOOKUP("ptk",rku_08.ags,5,FALSE),IF($D$1=$AN$11,HLOOKUP("ptk",rku_09.sep,5,FALSE),IF($D$1=$AN$12,HLOOKUP("ptk",rku_10.okt,5,FALSE),IF($D$1=$AN$13,HLOOKUP("ptk",rku_11.nov,5,FALSE),IF($D$1=$AN$14,HLOOKUP("ptk",rku_12.des,5,FALSE),IF($D$1=$AN$15,HLOOKUP("ptk",rku_TW_I,5,FALSE),IF($D$1=$AN$16,HLOOKUP("ptk",rku_TW_II,5,FALSE),IF($D$1=$AN$17,HLOOKUP("ptk",rku_TW_III,5,FALSE),IF($D$1=$AN$18,HLOOKUP("ptk",rku_TW_IV,5,FALSE),IF($D$1=$AN$19,HLOOKUP("ptk",rku_SM_I,5,FALSE),IF($D$1=$AN$20,HLOOKUP("ptk",rku_SM_II,5,FALSE),IF($D$1=$AN$21,HLOOKUP("ptk",rku_2013,5,FALSE),IF($D$1=$AN$22,HLOOKUP("ptk",rku_jan_apr,5,FALSE),IF($D$1=$AN$23,HLOOKUP("ptk",rku_jan_mei,5,FALSE),IF($D$1=$AN$24,HLOOKUP("ptk",rku_jan_jul,5,FALSE),IF($D$1=$AN$25,HLOOKUP("ptk",rku_jan_ags,5,FALSE),IF($D$1=$AN$26,HLOOKUP("ptk",rku_jan_sep,5,FALSE),IF($D$1=$AN$27,HLOOKUP("ptk",rku_jan_okt,5,FALSE),IF($D$1=$AN$28,HLOOKUP("ptk",rku_jan_nov,5,FALSE),0)))))))))))))))))))))))))))</f>
        <v>8800</v>
      </c>
      <c r="I70" s="84">
        <f>IF($D$1&lt;&gt;"",IF($D$1=$AN$3,HLOOKUP("ptk",rku_01.jan,6,FALSE),IF($D$1=$AN$4,HLOOKUP("ptk",rku_02.feb,6,FALSE),IF($D$1=$AN$5,HLOOKUP("ptk",rku_03.mar,6,FALSE),IF($D$1=$AN$6,HLOOKUP("ptk",rku_04.apr,6,FALSE),IF($D$1=$AN$7,HLOOKUP("ptk",rku_05.mei,6,FALSE),IF($D$1=$AN$8,HLOOKUP("ptk",rku_06.jun,6,FALSE),IF($D$1=$AN$9,HLOOKUP("ptk",rku_07.jul,6,FALSE),IF($D$1=$AN$10,HLOOKUP("ptk",rku_08.ags,6,FALSE),IF($D$1=$AN$11,HLOOKUP("ptk",rku_09.sep,6,FALSE),IF($D$1=$AN$12,HLOOKUP("ptk",rku_10.okt,6,FALSE),IF($D$1=$AN$13,HLOOKUP("ptk",rku_11.nov,6,FALSE),IF($D$1=$AN$14,HLOOKUP("ptk",rku_12.des,6,FALSE),IF($D$1=$AN$15,HLOOKUP("ptk",rku_TW_I,6,FALSE),IF($D$1=$AN$16,HLOOKUP("ptk",rku_TW_II,6,FALSE),IF($D$1=$AN$17,HLOOKUP("ptk",rku_TW_III,6,FALSE),IF($D$1=$AN$18,HLOOKUP("ptk",rku_TW_IV,6,FALSE),IF($D$1=$AN$19,HLOOKUP("ptk",rku_SM_I,6,FALSE),IF($D$1=$AN$20,HLOOKUP("ptk",rku_SM_II,6,FALSE),IF($D$1=$AN$21,HLOOKUP("ptk",rku_2013,6,FALSE),IF($D$1=$AN$22,HLOOKUP("ptk",rku_jan_apr,6,FALSE),IF($D$1=$AN$23,HLOOKUP("ptk",rku_jan_mei,6,FALSE),IF($D$1=$AN$24,HLOOKUP("ptk",rku_jan_jul,6,FALSE),IF($D$1=$AN$25,HLOOKUP("ptk",rku_jan_ags,6,FALSE),IF($D$1=$AN$26,HLOOKUP("ptk",rku_jan_sep,6,FALSE),IF($D$1=$AN$27,HLOOKUP("ptk",rku_jan_okt,6,FALSE),IF($D$1=$AN$28,HLOOKUP("ptk",rku_jan_nov,6,FALSE),0)))))))))))))))))))))))))))</f>
        <v>14100</v>
      </c>
      <c r="J70" s="84">
        <f>IF($D$1&lt;&gt;"",IF($D$1=$AN$3,HLOOKUP("ptk",rku_01.jan,7,FALSE),IF($D$1=$AN$4,HLOOKUP("ptk",rku_02.feb,7,FALSE),IF($D$1=$AN$5,HLOOKUP("ptk",rku_03.mar,7,FALSE),IF($D$1=$AN$6,HLOOKUP("ptk",rku_04.apr,7,FALSE),IF($D$1=$AN$7,HLOOKUP("ptk",rku_05.mei,7,FALSE),IF($D$1=$AN$8,HLOOKUP("ptk",rku_06.jun,7,FALSE),IF($D$1=$AN$9,HLOOKUP("ptk",rku_07.jul,7,FALSE),IF($D$1=$AN$10,HLOOKUP("ptk",rku_08.ags,7,FALSE),IF($D$1=$AN$11,HLOOKUP("ptk",rku_09.sep,7,FALSE),IF($D$1=$AN$12,HLOOKUP("ptk",rku_10.okt,7,FALSE),IF($D$1=$AN$13,HLOOKUP("ptk",rku_11.nov,7,FALSE),IF($D$1=$AN$14,HLOOKUP("ptk",rku_12.des,7,FALSE),IF($D$1=$AN$15,HLOOKUP("ptk",rku_TW_I,7,FALSE),IF($D$1=$AN$16,HLOOKUP("ptk",rku_TW_II,7,FALSE),IF($D$1=$AN$17,HLOOKUP("ptk",rku_TW_III,7,FALSE),IF($D$1=$AN$18,HLOOKUP("ptk",rku_TW_IV,7,FALSE),IF($D$1=$AN$19,HLOOKUP("ptk",rku_SM_I,7,FALSE),IF($D$1=$AN$20,HLOOKUP("ptk",rku_SM_II,7,FALSE),IF($D$1=$AN$21,HLOOKUP("ptk",rku_2013,7,FALSE),IF($D$1=$AN$22,HLOOKUP("ptk",rku_jan_apr,7,FALSE),IF($D$1=$AN$23,HLOOKUP("ptk",rku_jan_mei,7,FALSE),IF($D$1=$AN$24,HLOOKUP("ptk",rku_jan_jul,7,FALSE),IF($D$1=$AN$25,HLOOKUP("ptk",rku_jan_ags,7,FALSE),IF($D$1=$AN$26,HLOOKUP("ptk",rku_jan_sep,7,FALSE),IF($D$1=$AN$27,HLOOKUP("ptk",rku_jan_okt,7,FALSE),IF($D$1=$AN$28,HLOOKUP("ptk",rku_jan_nov,7,FALSE),0)))))))))))))))))))))))))))</f>
        <v>13440</v>
      </c>
      <c r="K70" s="84">
        <f>IF($D$1&lt;&gt;"",IF($D$1=$AN$3,HLOOKUP("ptk",rku_01.jan,8,FALSE),IF($D$1=$AN$4,HLOOKUP("ptk",rku_02.feb,8,FALSE),IF($D$1=$AN$5,HLOOKUP("ptk",rku_03.mar,8,FALSE),IF($D$1=$AN$6,HLOOKUP("ptk",rku_04.apr,8,FALSE),IF($D$1=$AN$7,HLOOKUP("ptk",rku_05.mei,8,FALSE),IF($D$1=$AN$8,HLOOKUP("ptk",rku_06.jun,8,FALSE),IF($D$1=$AN$9,HLOOKUP("ptk",rku_07.jul,8,FALSE),IF($D$1=$AN$10,HLOOKUP("ptk",rku_08.ags,8,FALSE),IF($D$1=$AN$11,HLOOKUP("ptk",rku_09.sep,8,FALSE),IF($D$1=$AN$12,HLOOKUP("ptk",rku_10.okt,8,FALSE),IF($D$1=$AN$13,HLOOKUP("ptk",rku_11.nov,8,FALSE),IF($D$1=$AN$14,HLOOKUP("ptk",rku_12.des,8,FALSE),IF($D$1=$AN$15,HLOOKUP("ptk",rku_TW_I,8,FALSE),IF($D$1=$AN$16,HLOOKUP("ptk",rku_TW_II,8,FALSE),IF($D$1=$AN$17,HLOOKUP("ptk",rku_TW_III,8,FALSE),IF($D$1=$AN$18,HLOOKUP("ptk",rku_TW_IV,8,FALSE),IF($D$1=$AN$19,HLOOKUP("ptk",rku_SM_I,8,FALSE),IF($D$1=$AN$20,HLOOKUP("ptk",rku_SM_II,8,FALSE),IF($D$1=$AN$21,HLOOKUP("ptk",rku_2013,8,FALSE),IF($D$1=$AN$22,HLOOKUP("ptk",rku_jan_apr,8,FALSE),IF($D$1=$AN$23,HLOOKUP("ptk",rku_jan_mei,8,FALSE),IF($D$1=$AN$24,HLOOKUP("ptk",rku_jan_jul,8,FALSE),IF($D$1=$AN$25,HLOOKUP("ptk",rku_jan_ags,8,FALSE),IF($D$1=$AN$26,HLOOKUP("ptk",rku_jan_sep,8,FALSE),IF($D$1=$AN$27,HLOOKUP("ptk",rku_jan_okt,8,FALSE),IF($D$1=$AN$28,HLOOKUP("ptk",rku_jan_nov,8,FALSE),0)))))))))))))))))))))))))))</f>
        <v>4000</v>
      </c>
      <c r="L70" s="85">
        <f>+SUM(E70:K70)</f>
        <v>5308740</v>
      </c>
      <c r="M70" s="84">
        <f>IF($D$1&lt;&gt;"",IF($D$1=$AN$3,HLOOKUP("ptk",rku_01.jan,10,FALSE),IF($D$1=$AN$4,HLOOKUP("ptk",rku_02.feb,10,FALSE),IF($D$1=$AN$5,HLOOKUP("ptk",rku_03.mar,10,FALSE),IF($D$1=$AN$6,HLOOKUP("ptk",rku_04.apr,10,FALSE),IF($D$1=$AN$7,HLOOKUP("ptk",rku_05.mei,10,FALSE),IF($D$1=$AN$8,HLOOKUP("ptk",rku_06.jun,10,FALSE),IF($D$1=$AN$9,HLOOKUP("ptk",rku_07.jul,10,FALSE),IF($D$1=$AN$10,HLOOKUP("ptk",rku_08.ags,10,FALSE),IF($D$1=$AN$11,HLOOKUP("ptk",rku_09.sep,10,FALSE),IF($D$1=$AN$12,HLOOKUP("ptk",rku_10.okt,10,FALSE),IF($D$1=$AN$13,HLOOKUP("ptk",rku_11.nov,10,FALSE),IF($D$1=$AN$14,HLOOKUP("ptk",rku_12.des,10,FALSE),IF($D$1=$AN$15,HLOOKUP("ptk",rku_TW_I,10,FALSE),IF($D$1=$AN$16,HLOOKUP("ptk",rku_TW_II,10,FALSE),IF($D$1=$AN$17,HLOOKUP("ptk",rku_TW_III,10,FALSE),IF($D$1=$AN$18,HLOOKUP("ptk",rku_TW_IV,10,FALSE),IF($D$1=$AN$19,HLOOKUP("ptk",rku_SM_I,10,FALSE),IF($D$1=$AN$20,HLOOKUP("ptk",rku_SM_II,10,FALSE),IF($D$1=$AN$21,HLOOKUP("ptk",rku_2013,10,FALSE),IF($D$1=$AN$22,HLOOKUP("ptk",rku_jan_apr,10,FALSE),IF($D$1=$AN$23,HLOOKUP("ptk",rku_jan_mei,10,FALSE),IF($D$1=$AN$24,HLOOKUP("ptk",rku_jan_jul,10,FALSE),IF($D$1=$AN$25,HLOOKUP("ptk",rku_jan_ags,10,FALSE),IF($D$1=$AN$26,HLOOKUP("ptk",rku_jan_sep,10,FALSE),IF($D$1=$AN$27,HLOOKUP("ptk",rku_jan_okt,10,FALSE),IF($D$1=$AN$28,HLOOKUP("ptk",rku_jan_nov,10,FALSE),0)))))))))))))))))))))))))))</f>
        <v>11330</v>
      </c>
      <c r="N70" s="84">
        <f>IF($D$1&lt;&gt;"",IF($D$1=$AN$3,HLOOKUP("ptk",rku_01.jan,11,FALSE),IF($D$1=$AN$4,HLOOKUP("ptk",rku_02.feb,11,FALSE),IF($D$1=$AN$5,HLOOKUP("ptk",rku_03.mar,11,FALSE),IF($D$1=$AN$6,HLOOKUP("ptk",rku_04.apr,11,FALSE),IF($D$1=$AN$7,HLOOKUP("ptk",rku_05.mei,11,FALSE),IF($D$1=$AN$8,HLOOKUP("ptk",rku_06.jun,11,FALSE),IF($D$1=$AN$9,HLOOKUP("ptk",rku_07.jul,11,FALSE),IF($D$1=$AN$10,HLOOKUP("ptk",rku_08.ags,11,FALSE),IF($D$1=$AN$11,HLOOKUP("ptk",rku_09.sep,11,FALSE),IF($D$1=$AN$12,HLOOKUP("ptk",rku_10.okt,11,FALSE),IF($D$1=$AN$13,HLOOKUP("ptk",rku_11.nov,11,FALSE),IF($D$1=$AN$14,HLOOKUP("ptk",rku_12.des,11,FALSE),IF($D$1=$AN$15,HLOOKUP("ptk",rku_TW_I,11,FALSE),IF($D$1=$AN$16,HLOOKUP("ptk",rku_TW_II,11,FALSE),IF($D$1=$AN$17,HLOOKUP("ptk",rku_TW_III,11,FALSE),IF($D$1=$AN$18,HLOOKUP("ptk",rku_TW_IV,11,FALSE),IF($D$1=$AN$19,HLOOKUP("ptk",rku_SM_I,11,FALSE),IF($D$1=$AN$20,HLOOKUP("ptk",rku_SM_II,11,FALSE),IF($D$1=$AN$21,HLOOKUP("ptk",rku_2013,11,FALSE),IF($D$1=$AN$22,HLOOKUP("ptk",rku_jan_apr,11,FALSE),IF($D$1=$AN$23,HLOOKUP("ptk",rku_jan_mei,11,FALSE),IF($D$1=$AN$24,HLOOKUP("ptk",rku_jan_jul,11,FALSE),IF($D$1=$AN$25,HLOOKUP("ptk",rku_jan_ags,11,FALSE),IF($D$1=$AN$26,HLOOKUP("ptk",rku_jan_sep,11,FALSE),IF($D$1=$AN$27,HLOOKUP("ptk",rku_jan_okt,11,FALSE),IF($D$1=$AN$28,HLOOKUP("ptk",rku_jan_nov,11,FALSE),0)))))))))))))))))))))))))))</f>
        <v>3365</v>
      </c>
      <c r="O70" s="84">
        <f>IF($D$1&lt;&gt;"",IF($D$1=$AN$3,HLOOKUP("ptk",rku_01.jan,12,FALSE),IF($D$1=$AN$4,HLOOKUP("ptk",rku_02.feb,12,FALSE),IF($D$1=$AN$5,HLOOKUP("ptk",rku_03.mar,12,FALSE),IF($D$1=$AN$6,HLOOKUP("ptk",rku_04.apr,12,FALSE),IF($D$1=$AN$7,HLOOKUP("ptk",rku_05.mei,12,FALSE),IF($D$1=$AN$8,HLOOKUP("ptk",rku_06.jun,12,FALSE),IF($D$1=$AN$9,HLOOKUP("ptk",rku_07.jul,12,FALSE),IF($D$1=$AN$10,HLOOKUP("ptk",rku_08.ags,12,FALSE),IF($D$1=$AN$11,HLOOKUP("ptk",rku_09.sep,12,FALSE),IF($D$1=$AN$12,HLOOKUP("ptk",rku_10.okt,12,FALSE),IF($D$1=$AN$13,HLOOKUP("ptk",rku_11.nov,12,FALSE),IF($D$1=$AN$14,HLOOKUP("ptk",rku_12.des,12,FALSE),IF($D$1=$AN$15,HLOOKUP("ptk",rku_TW_I,12,FALSE),IF($D$1=$AN$16,HLOOKUP("ptk",rku_TW_II,12,FALSE),IF($D$1=$AN$17,HLOOKUP("ptk",rku_TW_III,12,FALSE),IF($D$1=$AN$18,HLOOKUP("ptk",rku_TW_IV,12,FALSE),IF($D$1=$AN$19,HLOOKUP("ptk",rku_SM_I,12,FALSE),IF($D$1=$AN$20,HLOOKUP("ptk",rku_SM_II,12,FALSE),IF($D$1=$AN$21,HLOOKUP("ptk",rku_2013,12,FALSE),IF($D$1=$AN$22,HLOOKUP("ptk",rku_jan_apr,12,FALSE),IF($D$1=$AN$23,HLOOKUP("ptk",rku_jan_mei,12,FALSE),IF($D$1=$AN$24,HLOOKUP("ptk",rku_jan_jul,12,FALSE),IF($D$1=$AN$25,HLOOKUP("ptk",rku_jan_ags,12,FALSE),IF($D$1=$AN$26,HLOOKUP("ptk",rku_jan_sep,12,FALSE),IF($D$1=$AN$27,HLOOKUP("ptk",rku_jan_okt,12,FALSE),IF($D$1=$AN$28,HLOOKUP("ptk",rku_jan_nov,12,FALSE),0)))))))))))))))))))))))))))</f>
        <v>630</v>
      </c>
      <c r="P70" s="84">
        <f>IF($D$1&lt;&gt;"",IF($D$1=$AN$3,HLOOKUP("ptk",rku_01.jan,13,FALSE),IF($D$1=$AN$4,HLOOKUP("ptk",rku_02.feb,13,FALSE),IF($D$1=$AN$5,HLOOKUP("ptk",rku_03.mar,13,FALSE),IF($D$1=$AN$6,HLOOKUP("ptk",rku_04.apr,13,FALSE),IF($D$1=$AN$7,HLOOKUP("ptk",rku_05.mei,13,FALSE),IF($D$1=$AN$8,HLOOKUP("ptk",rku_06.jun,13,FALSE),IF($D$1=$AN$9,HLOOKUP("ptk",rku_07.jul,13,FALSE),IF($D$1=$AN$10,HLOOKUP("ptk",rku_08.ags,13,FALSE),IF($D$1=$AN$11,HLOOKUP("ptk",rku_09.sep,13,FALSE),IF($D$1=$AN$12,HLOOKUP("ptk",rku_10.okt,13,FALSE),IF($D$1=$AN$13,HLOOKUP("ptk",rku_11.nov,13,FALSE),IF($D$1=$AN$14,HLOOKUP("ptk",rku_12.des,13,FALSE),IF($D$1=$AN$15,HLOOKUP("ptk",rku_TW_I,13,FALSE),IF($D$1=$AN$16,HLOOKUP("ptk",rku_TW_II,13,FALSE),IF($D$1=$AN$17,HLOOKUP("ptk",rku_TW_III,13,FALSE),IF($D$1=$AN$18,HLOOKUP("ptk",rku_TW_IV,13,FALSE),IF($D$1=$AN$19,HLOOKUP("ptk",rku_SM_I,13,FALSE),IF($D$1=$AN$20,HLOOKUP("ptk",rku_SM_II,13,FALSE),IF($D$1=$AN$21,HLOOKUP("ptk",rku_2013,13,FALSE),IF($D$1=$AN$22,HLOOKUP("ptk",rku_jan_apr,13,FALSE),IF($D$1=$AN$23,HLOOKUP("ptk",rku_jan_mei,13,FALSE),IF($D$1=$AN$24,HLOOKUP("ptk",rku_jan_jul,13,FALSE),IF($D$1=$AN$25,HLOOKUP("ptk",rku_jan_ags,13,FALSE),IF($D$1=$AN$26,HLOOKUP("ptk",rku_jan_sep,13,FALSE),IF($D$1=$AN$27,HLOOKUP("ptk",rku_jan_okt,13,FALSE),IF($D$1=$AN$28,HLOOKUP("ptk",rku_jan_nov,13,FALSE),0)))))))))))))))))))))))))))</f>
        <v>717</v>
      </c>
      <c r="Q70" s="84">
        <f>IF($D$1&lt;&gt;"",IF($D$1=$AN$3,HLOOKUP("ptk",rku_01.jan,14,FALSE),IF($D$1=$AN$4,HLOOKUP("ptk",rku_02.feb,14,FALSE),IF($D$1=$AN$5,HLOOKUP("ptk",rku_03.mar,14,FALSE),IF($D$1=$AN$6,HLOOKUP("ptk",rku_04.apr,14,FALSE),IF($D$1=$AN$7,HLOOKUP("ptk",rku_05.mei,14,FALSE),IF($D$1=$AN$8,HLOOKUP("ptk",rku_06.jun,14,FALSE),IF($D$1=$AN$9,HLOOKUP("ptk",rku_07.jul,14,FALSE),IF($D$1=$AN$10,HLOOKUP("ptk",rku_08.ags,14,FALSE),IF($D$1=$AN$11,HLOOKUP("ptk",rku_09.sep,14,FALSE),IF($D$1=$AN$12,HLOOKUP("ptk",rku_10.okt,14,FALSE),IF($D$1=$AN$13,HLOOKUP("ptk",rku_11.nov,14,FALSE),IF($D$1=$AN$14,HLOOKUP("ptk",rku_12.des,14,FALSE),IF($D$1=$AN$15,HLOOKUP("ptk",rku_TW_I,14,FALSE),IF($D$1=$AN$16,HLOOKUP("ptk",rku_TW_II,14,FALSE),IF($D$1=$AN$17,HLOOKUP("ptk",rku_TW_III,14,FALSE),IF($D$1=$AN$18,HLOOKUP("ptk",rku_TW_IV,14,FALSE),IF($D$1=$AN$19,HLOOKUP("ptk",rku_SM_I,14,FALSE),IF($D$1=$AN$20,HLOOKUP("ptk",rku_SM_II,14,FALSE),IF($D$1=$AN$21,HLOOKUP("ptk",rku_2013,14,FALSE),IF($D$1=$AN$22,HLOOKUP("ptk",rku_jan_apr,14,FALSE),IF($D$1=$AN$23,HLOOKUP("ptk",rku_jan_mei,14,FALSE),IF($D$1=$AN$24,HLOOKUP("ptk",rku_jan_jul,14,FALSE),IF($D$1=$AN$25,HLOOKUP("ptk",rku_jan_ags,14,FALSE),IF($D$1=$AN$26,HLOOKUP("ptk",rku_jan_sep,14,FALSE),IF($D$1=$AN$27,HLOOKUP("ptk",rku_jan_okt,14,FALSE),IF($D$1=$AN$28,HLOOKUP("ptk",rku_jan_nov,14,FALSE),0)))))))))))))))))))))))))))</f>
        <v>0</v>
      </c>
      <c r="R70" s="85">
        <f>+SUM(M70:Q70)</f>
        <v>16042</v>
      </c>
      <c r="S70" s="84">
        <f>+R70+L70</f>
        <v>5324782</v>
      </c>
      <c r="U70" s="81">
        <v>13</v>
      </c>
      <c r="V70" s="83" t="s">
        <v>213</v>
      </c>
      <c r="W70" s="83" t="s">
        <v>180</v>
      </c>
      <c r="X70" s="84">
        <f t="shared" ref="X70:AD71" si="95">E70/X$100</f>
        <v>1824</v>
      </c>
      <c r="Y70" s="84">
        <f t="shared" si="95"/>
        <v>1572</v>
      </c>
      <c r="Z70" s="84">
        <f t="shared" si="95"/>
        <v>121</v>
      </c>
      <c r="AA70" s="84">
        <f t="shared" si="95"/>
        <v>44</v>
      </c>
      <c r="AB70" s="84">
        <f t="shared" si="95"/>
        <v>141</v>
      </c>
      <c r="AC70" s="84">
        <f t="shared" si="95"/>
        <v>336</v>
      </c>
      <c r="AD70" s="84">
        <f t="shared" si="95"/>
        <v>200</v>
      </c>
      <c r="AE70" s="85">
        <f>+SUM(X70:AD70)</f>
        <v>4238</v>
      </c>
      <c r="AF70" s="84">
        <f t="shared" ref="AF70:AJ71" si="96">M70/AF$100</f>
        <v>2266</v>
      </c>
      <c r="AG70" s="84">
        <f t="shared" si="96"/>
        <v>1346</v>
      </c>
      <c r="AH70" s="84">
        <f t="shared" si="96"/>
        <v>315</v>
      </c>
      <c r="AI70" s="84">
        <f t="shared" si="96"/>
        <v>717</v>
      </c>
      <c r="AJ70" s="84">
        <f t="shared" si="96"/>
        <v>0</v>
      </c>
      <c r="AK70" s="85">
        <f>+SUM(AF70:AJ70)</f>
        <v>4644</v>
      </c>
      <c r="AL70" s="84">
        <f>+AK70+AE70</f>
        <v>8882</v>
      </c>
    </row>
    <row r="71" spans="2:39" ht="14.25" x14ac:dyDescent="0.2">
      <c r="B71" s="86"/>
      <c r="C71" s="87"/>
      <c r="D71" s="87" t="s">
        <v>182</v>
      </c>
      <c r="E71" s="88">
        <f>IF($D$1&lt;&gt;"",IF($D$1=$AN$3,HLOOKUP("ptk",real_rku_01.jan,2,FALSE),IF($D$1=$AN$4,HLOOKUP("ptk",real_rku_02.feb,2,FALSE),IF($D$1=$AN$5,HLOOKUP("ptk",real_rku_03.mar,2,FALSE),IF($D$1=$AN$6,HLOOKUP("ptk",real_rku_04.apr,2,FALSE),IF($D$1=$AN$7,HLOOKUP("ptk",real_rku_05.mei,2,FALSE),IF($D$1=$AN$8,HLOOKUP("ptk",real_rku_06.jun,2,FALSE),IF($D$1=$AN$9,HLOOKUP("ptk",real_rku_07.jul,2,FALSE),IF($D$1=$AN$10,HLOOKUP("ptk",real_rku_08.ags,2,FALSE),IF($D$1=$AN$11,HLOOKUP("ptk",real_rku_09.sep,2,FALSE),IF($D$1=$AN$12,HLOOKUP("ptk",real_rku_10.okt,2,FALSE),IF($D$1=$AN$13,HLOOKUP("ptk",real_rku_11.nov,2,FALSE),IF($D$1=$AN$14,HLOOKUP("ptk",real_rku_12.des,2,FALSE),IF($D$1=$AN$15,HLOOKUP("ptk",real_rku_TW_I,2,FALSE),IF($D$1=$AN$16,HLOOKUP("ptk",real_rku_TW_II,2,FALSE),IF($D$1=$AN$17,HLOOKUP("ptk",real_rku_TW_III,2,FALSE),IF($D$1=$AN$18,HLOOKUP("ptk",real_rku_TW_IV,2,FALSE),IF($D$1=$AN$19,HLOOKUP("ptk",real_rku_SM_I,2,FALSE),IF($D$1=$AN$20,HLOOKUP("ptk",real_rku_SM_II,2,FALSE),IF($D$1=$AN$21,HLOOKUP("ptk",real_rku_2013,2,FALSE),IF($D$1=$AN$22,HLOOKUP("ptk",real_rku_jan_apr,2,FALSE),IF($D$1=$AN$23,HLOOKUP("ptk",real_rku_jan_mei,2,FALSE),IF($D$1=$AN$24,HLOOKUP("ptk",real_rku_jan_jul,2,FALSE),IF($D$1=$AN$25,HLOOKUP("ptk",real_rku_jan_ags,2,FALSE),IF($D$1=$AN$26,HLOOKUP("ptk",real_rku_jan_sep,2,FALSE),IF($D$1=$AN$27,HLOOKUP("ptk",real_rku_jan_okt,2,FALSE),IF($D$1=$AN$28,HLOOKUP("ptk",real_rku_jan_nov,2,FALSE),0)))))))))))))))))))))))))))</f>
        <v>3150000</v>
      </c>
      <c r="F71" s="88">
        <f>IF($D$1&lt;&gt;"",IF($D$1=$AN$3,HLOOKUP("ptk",real_rku_01.jan,3,FALSE),IF($D$1=$AN$4,HLOOKUP("ptk",real_rku_02.feb,3,FALSE),IF($D$1=$AN$5,HLOOKUP("ptk",real_rku_03.mar,3,FALSE),IF($D$1=$AN$6,HLOOKUP("ptk",real_rku_04.apr,3,FALSE),IF($D$1=$AN$7,HLOOKUP("ptk",real_rku_05.mei,3,FALSE),IF($D$1=$AN$8,HLOOKUP("ptk",real_rku_06.jun,3,FALSE),IF($D$1=$AN$9,HLOOKUP("ptk",real_rku_07.jul,3,FALSE),IF($D$1=$AN$10,HLOOKUP("ptk",real_rku_08.ags,3,FALSE),IF($D$1=$AN$11,HLOOKUP("ptk",real_rku_09.sep,3,FALSE),IF($D$1=$AN$12,HLOOKUP("ptk",real_rku_10.okt,3,FALSE),IF($D$1=$AN$13,HLOOKUP("ptk",real_rku_11.nov,3,FALSE),IF($D$1=$AN$14,HLOOKUP("ptk",real_rku_12.des,3,FALSE),IF($D$1=$AN$15,HLOOKUP("ptk",real_rku_TW_I,3,FALSE),IF($D$1=$AN$16,HLOOKUP("ptk",real_rku_TW_II,3,FALSE),IF($D$1=$AN$17,HLOOKUP("ptk",real_rku_TW_III,3,FALSE),IF($D$1=$AN$18,HLOOKUP("ptk",real_rku_TW_IV,3,FALSE),IF($D$1=$AN$19,HLOOKUP("ptk",real_rku_SM_I,3,FALSE),IF($D$1=$AN$20,HLOOKUP("ptk",real_rku_SM_II,3,FALSE),IF($D$1=$AN$21,HLOOKUP("ptk",real_rku_2013,3,FALSE),IF($D$1=$AN$22,HLOOKUP("ptk",real_rku_jan_apr,3,FALSE),IF($D$1=$AN$23,HLOOKUP("ptk",real_rku_jan_mei,3,FALSE),IF($D$1=$AN$24,HLOOKUP("ptk",real_rku_jan_jul,3,FALSE),IF($D$1=$AN$25,HLOOKUP("ptk",real_rku_jan_ags,3,FALSE),IF($D$1=$AN$26,HLOOKUP("ptk",real_rku_jan_sep,3,FALSE),IF($D$1=$AN$27,HLOOKUP("ptk",real_rku_jan_okt,3,FALSE),IF($D$1=$AN$28,HLOOKUP("ptk",real_rku_jan_nov,3,FALSE),0)))))))))))))))))))))))))))</f>
        <v>1600000</v>
      </c>
      <c r="G71" s="88">
        <f>IF($D$1&lt;&gt;"",IF($D$1=$AN$3,HLOOKUP("ptk",real_rku_01.jan,4,FALSE),IF($D$1=$AN$4,HLOOKUP("ptk",real_rku_02.feb,4,FALSE),IF($D$1=$AN$5,HLOOKUP("ptk",real_rku_03.mar,4,FALSE),IF($D$1=$AN$6,HLOOKUP("ptk",real_rku_04.apr,4,FALSE),IF($D$1=$AN$7,HLOOKUP("ptk",real_rku_05.mei,4,FALSE),IF($D$1=$AN$8,HLOOKUP("ptk",real_rku_06.jun,4,FALSE),IF($D$1=$AN$9,HLOOKUP("ptk",real_rku_07.jul,4,FALSE),IF($D$1=$AN$10,HLOOKUP("ptk",real_rku_08.ags,4,FALSE),IF($D$1=$AN$11,HLOOKUP("ptk",real_rku_09.sep,4,FALSE),IF($D$1=$AN$12,HLOOKUP("ptk",real_rku_10.okt,4,FALSE),IF($D$1=$AN$13,HLOOKUP("ptk",real_rku_11.nov,4,FALSE),IF($D$1=$AN$14,HLOOKUP("ptk",real_rku_12.des,4,FALSE),IF($D$1=$AN$15,HLOOKUP("ptk",real_rku_TW_I,4,FALSE),IF($D$1=$AN$16,HLOOKUP("ptk",real_rku_TW_II,4,FALSE),IF($D$1=$AN$17,HLOOKUP("ptk",real_rku_TW_III,4,FALSE),IF($D$1=$AN$18,HLOOKUP("ptk",real_rku_TW_IV,4,FALSE),IF($D$1=$AN$19,HLOOKUP("ptk",real_rku_SM_I,4,FALSE),IF($D$1=$AN$20,HLOOKUP("ptk",real_rku_SM_II,4,FALSE),IF($D$1=$AN$21,HLOOKUP("ptk",real_rku_2013,4,FALSE),IF($D$1=$AN$22,HLOOKUP("ptk",real_rku_jan_apr,4,FALSE),IF($D$1=$AN$23,HLOOKUP("ptk",real_rku_jan_mei,4,FALSE),IF($D$1=$AN$24,HLOOKUP("ptk",real_rku_jan_jul,4,FALSE),IF($D$1=$AN$25,HLOOKUP("ptk",real_rku_jan_ags,4,FALSE),IF($D$1=$AN$26,HLOOKUP("ptk",real_rku_jan_sep,4,FALSE),IF($D$1=$AN$27,HLOOKUP("ptk",real_rku_jan_okt,4,FALSE),IF($D$1=$AN$28,HLOOKUP("ptk",real_rku_jan_nov,4,FALSE),0)))))))))))))))))))))))))))</f>
        <v>260000</v>
      </c>
      <c r="H71" s="88">
        <f>IF($D$1&lt;&gt;"",IF($D$1=$AN$3,HLOOKUP("ptk",real_rku_01.jan,5,FALSE),IF($D$1=$AN$4,HLOOKUP("ptk",real_rku_02.feb,5,FALSE),IF($D$1=$AN$5,HLOOKUP("ptk",real_rku_03.mar,5,FALSE),IF($D$1=$AN$6,HLOOKUP("ptk",real_rku_04.apr,5,FALSE),IF($D$1=$AN$7,HLOOKUP("ptk",real_rku_05.mei,5,FALSE),IF($D$1=$AN$8,HLOOKUP("ptk",real_rku_06.jun,5,FALSE),IF($D$1=$AN$9,HLOOKUP("ptk",real_rku_07.jul,5,FALSE),IF($D$1=$AN$10,HLOOKUP("ptk",real_rku_08.ags,5,FALSE),IF($D$1=$AN$11,HLOOKUP("ptk",real_rku_09.sep,5,FALSE),IF($D$1=$AN$12,HLOOKUP("ptk",real_rku_10.okt,5,FALSE),IF($D$1=$AN$13,HLOOKUP("ptk",real_rku_11.nov,5,FALSE),IF($D$1=$AN$14,HLOOKUP("ptk",real_rku_12.des,5,FALSE),IF($D$1=$AN$15,HLOOKUP("ptk",real_rku_TW_I,5,FALSE),IF($D$1=$AN$16,HLOOKUP("ptk",real_rku_TW_II,5,FALSE),IF($D$1=$AN$17,HLOOKUP("ptk",real_rku_TW_III,5,FALSE),IF($D$1=$AN$18,HLOOKUP("ptk",real_rku_TW_IV,5,FALSE),IF($D$1=$AN$19,HLOOKUP("ptk",real_rku_SM_I,5,FALSE),IF($D$1=$AN$20,HLOOKUP("ptk",real_rku_SM_II,5,FALSE),IF($D$1=$AN$21,HLOOKUP("ptk",real_rku_2013,5,FALSE),IF($D$1=$AN$22,HLOOKUP("ptk",real_rku_jan_apr,5,FALSE),IF($D$1=$AN$23,HLOOKUP("ptk",real_rku_jan_mei,5,FALSE),IF($D$1=$AN$24,HLOOKUP("ptk",real_rku_jan_jul,5,FALSE),IF($D$1=$AN$25,HLOOKUP("ptk",real_rku_jan_ags,5,FALSE),IF($D$1=$AN$26,HLOOKUP("ptk",real_rku_jan_sep,5,FALSE),IF($D$1=$AN$27,HLOOKUP("ptk",real_rku_jan_okt,5,FALSE),IF($D$1=$AN$28,HLOOKUP("ptk",real_rku_jan_nov,5,FALSE),0)))))))))))))))))))))))))))</f>
        <v>190000</v>
      </c>
      <c r="I71" s="88">
        <f>IF($D$1&lt;&gt;"",IF($D$1=$AN$3,HLOOKUP("ptk",real_rku_01.jan,6,FALSE),IF($D$1=$AN$4,HLOOKUP("ptk",real_rku_02.feb,6,FALSE),IF($D$1=$AN$5,HLOOKUP("ptk",real_rku_03.mar,6,FALSE),IF($D$1=$AN$6,HLOOKUP("ptk",real_rku_04.apr,6,FALSE),IF($D$1=$AN$7,HLOOKUP("ptk",real_rku_05.mei,6,FALSE),IF($D$1=$AN$8,HLOOKUP("ptk",real_rku_06.jun,6,FALSE),IF($D$1=$AN$9,HLOOKUP("ptk",real_rku_07.jul,6,FALSE),IF($D$1=$AN$10,HLOOKUP("ptk",real_rku_08.ags,6,FALSE),IF($D$1=$AN$11,HLOOKUP("ptk",real_rku_09.sep,6,FALSE),IF($D$1=$AN$12,HLOOKUP("ptk",real_rku_10.okt,6,FALSE),IF($D$1=$AN$13,HLOOKUP("ptk",real_rku_11.nov,6,FALSE),IF($D$1=$AN$14,HLOOKUP("ptk",real_rku_12.des,6,FALSE),IF($D$1=$AN$15,HLOOKUP("ptk",real_rku_TW_I,6,FALSE),IF($D$1=$AN$16,HLOOKUP("ptk",real_rku_TW_II,6,FALSE),IF($D$1=$AN$17,HLOOKUP("ptk",real_rku_TW_III,6,FALSE),IF($D$1=$AN$18,HLOOKUP("ptk",real_rku_TW_IV,6,FALSE),IF($D$1=$AN$19,HLOOKUP("ptk",real_rku_SM_I,6,FALSE),IF($D$1=$AN$20,HLOOKUP("ptk",real_rku_SM_II,6,FALSE),IF($D$1=$AN$21,HLOOKUP("ptk",real_rku_2013,6,FALSE),IF($D$1=$AN$22,HLOOKUP("ptk",real_rku_jan_apr,6,FALSE),IF($D$1=$AN$23,HLOOKUP("ptk",real_rku_jan_mei,6,FALSE),IF($D$1=$AN$24,HLOOKUP("ptk",real_rku_jan_jul,6,FALSE),IF($D$1=$AN$25,HLOOKUP("ptk",real_rku_jan_ags,6,FALSE),IF($D$1=$AN$26,HLOOKUP("ptk",real_rku_jan_sep,6,FALSE),IF($D$1=$AN$27,HLOOKUP("ptk",real_rku_jan_okt,6,FALSE),IF($D$1=$AN$28,HLOOKUP("ptk",real_rku_jan_nov,6,FALSE),0)))))))))))))))))))))))))))</f>
        <v>130000</v>
      </c>
      <c r="J71" s="88">
        <f>IF($D$1&lt;&gt;"",IF($D$1=$AN$3,HLOOKUP("ptk",real_rku_01.jan,7,FALSE),IF($D$1=$AN$4,HLOOKUP("ptk",real_rku_02.feb,7,FALSE),IF($D$1=$AN$5,HLOOKUP("ptk",real_rku_03.mar,7,FALSE),IF($D$1=$AN$6,HLOOKUP("ptk",real_rku_04.apr,7,FALSE),IF($D$1=$AN$7,HLOOKUP("ptk",real_rku_05.mei,7,FALSE),IF($D$1=$AN$8,HLOOKUP("ptk",real_rku_06.jun,7,FALSE),IF($D$1=$AN$9,HLOOKUP("ptk",real_rku_07.jul,7,FALSE),IF($D$1=$AN$10,HLOOKUP("ptk",real_rku_08.ags,7,FALSE),IF($D$1=$AN$11,HLOOKUP("ptk",real_rku_09.sep,7,FALSE),IF($D$1=$AN$12,HLOOKUP("ptk",real_rku_10.okt,7,FALSE),IF($D$1=$AN$13,HLOOKUP("ptk",real_rku_11.nov,7,FALSE),IF($D$1=$AN$14,HLOOKUP("ptk",real_rku_12.des,7,FALSE),IF($D$1=$AN$15,HLOOKUP("ptk",real_rku_TW_I,7,FALSE),IF($D$1=$AN$16,HLOOKUP("ptk",real_rku_TW_II,7,FALSE),IF($D$1=$AN$17,HLOOKUP("ptk",real_rku_TW_III,7,FALSE),IF($D$1=$AN$18,HLOOKUP("ptk",real_rku_TW_IV,7,FALSE),IF($D$1=$AN$19,HLOOKUP("ptk",real_rku_SM_I,7,FALSE),IF($D$1=$AN$20,HLOOKUP("ptk",real_rku_SM_II,7,FALSE),IF($D$1=$AN$21,HLOOKUP("ptk",real_rku_2013,7,FALSE),IF($D$1=$AN$22,HLOOKUP("ptk",real_rku_jan_apr,7,FALSE),IF($D$1=$AN$23,HLOOKUP("ptk",real_rku_jan_mei,7,FALSE),IF($D$1=$AN$24,HLOOKUP("ptk",real_rku_jan_jul,7,FALSE),IF($D$1=$AN$25,HLOOKUP("ptk",real_rku_jan_ags,7,FALSE),IF($D$1=$AN$26,HLOOKUP("ptk",real_rku_jan_sep,7,FALSE),IF($D$1=$AN$27,HLOOKUP("ptk",real_rku_jan_okt,7,FALSE),IF($D$1=$AN$28,HLOOKUP("ptk",real_rku_jan_nov,7,FALSE),0)))))))))))))))))))))))))))</f>
        <v>58000</v>
      </c>
      <c r="K71" s="88">
        <f>IF($D$1&lt;&gt;"",IF($D$1=$AN$3,HLOOKUP("ptk",real_rku_01.jan,8,FALSE),IF($D$1=$AN$4,HLOOKUP("ptk",real_rku_02.feb,8,FALSE),IF($D$1=$AN$5,HLOOKUP("ptk",real_rku_03.mar,8,FALSE),IF($D$1=$AN$6,HLOOKUP("ptk",real_rku_04.apr,8,FALSE),IF($D$1=$AN$7,HLOOKUP("ptk",real_rku_05.mei,8,FALSE),IF($D$1=$AN$8,HLOOKUP("ptk",real_rku_06.jun,8,FALSE),IF($D$1=$AN$9,HLOOKUP("ptk",real_rku_07.jul,8,FALSE),IF($D$1=$AN$10,HLOOKUP("ptk",real_rku_08.ags,8,FALSE),IF($D$1=$AN$11,HLOOKUP("ptk",real_rku_09.sep,8,FALSE),IF($D$1=$AN$12,HLOOKUP("ptk",real_rku_10.okt,8,FALSE),IF($D$1=$AN$13,HLOOKUP("ptk",real_rku_11.nov,8,FALSE),IF($D$1=$AN$14,HLOOKUP("ptk",real_rku_12.des,8,FALSE),IF($D$1=$AN$15,HLOOKUP("ptk",real_rku_TW_I,8,FALSE),IF($D$1=$AN$16,HLOOKUP("ptk",real_rku_TW_II,8,FALSE),IF($D$1=$AN$17,HLOOKUP("ptk",real_rku_TW_III,8,FALSE),IF($D$1=$AN$18,HLOOKUP("ptk",real_rku_TW_IV,8,FALSE),IF($D$1=$AN$19,HLOOKUP("ptk",real_rku_SM_I,8,FALSE),IF($D$1=$AN$20,HLOOKUP("ptk",real_rku_SM_II,8,FALSE),IF($D$1=$AN$21,HLOOKUP("ptk",real_rku_2013,8,FALSE),IF($D$1=$AN$22,HLOOKUP("ptk",real_rku_jan_apr,8,FALSE),IF($D$1=$AN$23,HLOOKUP("ptk",real_rku_jan_mei,8,FALSE),IF($D$1=$AN$24,HLOOKUP("ptk",real_rku_jan_jul,8,FALSE),IF($D$1=$AN$25,HLOOKUP("ptk",real_rku_jan_ags,8,FALSE),IF($D$1=$AN$26,HLOOKUP("ptk",real_rku_jan_sep,8,FALSE),IF($D$1=$AN$27,HLOOKUP("ptk",real_rku_jan_okt,8,FALSE),IF($D$1=$AN$28,HLOOKUP("ptk",real_rku_jan_nov,8,FALSE),0)))))))))))))))))))))))))))</f>
        <v>4000</v>
      </c>
      <c r="L71" s="89">
        <f>+SUM(E71:K71)</f>
        <v>5392000</v>
      </c>
      <c r="M71" s="88">
        <f>IF($D$1&lt;&gt;"",IF($D$1=$AN$3,HLOOKUP("ptk",real_rku_01.jan,10,FALSE),IF($D$1=$AN$4,HLOOKUP("ptk",real_rku_02.feb,10,FALSE),IF($D$1=$AN$5,HLOOKUP("ptk",real_rku_03.mar,10,FALSE),IF($D$1=$AN$6,HLOOKUP("ptk",real_rku_04.apr,10,FALSE),IF($D$1=$AN$7,HLOOKUP("ptk",real_rku_05.mei,10,FALSE),IF($D$1=$AN$8,HLOOKUP("ptk",real_rku_06.jun,10,FALSE),IF($D$1=$AN$9,HLOOKUP("ptk",real_rku_07.jul,10,FALSE),IF($D$1=$AN$10,HLOOKUP("ptk",real_rku_08.ags,10,FALSE),IF($D$1=$AN$11,HLOOKUP("ptk",real_rku_09.sep,10,FALSE),IF($D$1=$AN$12,HLOOKUP("ptk",real_rku_10.okt,10,FALSE),IF($D$1=$AN$13,HLOOKUP("ptk",real_rku_11.nov,10,FALSE),IF($D$1=$AN$14,HLOOKUP("ptk",real_rku_12.des,10,FALSE),IF($D$1=$AN$15,HLOOKUP("ptk",real_rku_TW_I,10,FALSE),IF($D$1=$AN$16,HLOOKUP("ptk",real_rku_TW_II,10,FALSE),IF($D$1=$AN$17,HLOOKUP("ptk",real_rku_TW_III,10,FALSE),IF($D$1=$AN$18,HLOOKUP("ptk",real_rku_TW_IV,10,FALSE),IF($D$1=$AN$19,HLOOKUP("ptk",real_rku_SM_I,10,FALSE),IF($D$1=$AN$20,HLOOKUP("ptk",real_rku_SM_II,10,FALSE),IF($D$1=$AN$21,HLOOKUP("ptk",real_rku_2013,10,FALSE),IF($D$1=$AN$22,HLOOKUP("ptk",real_rku_jan_apr,10,FALSE),IF($D$1=$AN$23,HLOOKUP("ptk",real_rku_jan_mei,10,FALSE),IF($D$1=$AN$24,HLOOKUP("ptk",real_rku_jan_jul,10,FALSE),IF($D$1=$AN$25,HLOOKUP("ptk",real_rku_jan_ags,10,FALSE),IF($D$1=$AN$26,HLOOKUP("ptk",real_rku_jan_sep,10,FALSE),IF($D$1=$AN$27,HLOOKUP("ptk",real_rku_jan_okt,10,FALSE),IF($D$1=$AN$28,HLOOKUP("ptk",real_rku_jan_nov,10,FALSE),0)))))))))))))))))))))))))))</f>
        <v>13500</v>
      </c>
      <c r="N71" s="88">
        <f>IF($D$1&lt;&gt;"",IF($D$1=$AN$3,HLOOKUP("ptk",real_rku_01.jan,11,FALSE),IF($D$1=$AN$4,HLOOKUP("ptk",real_rku_02.feb,11,FALSE),IF($D$1=$AN$5,HLOOKUP("ptk",real_rku_03.mar,11,FALSE),IF($D$1=$AN$6,HLOOKUP("ptk",real_rku_04.apr,11,FALSE),IF($D$1=$AN$7,HLOOKUP("ptk",real_rku_05.mei,11,FALSE),IF($D$1=$AN$8,HLOOKUP("ptk",real_rku_06.jun,11,FALSE),IF($D$1=$AN$9,HLOOKUP("ptk",real_rku_07.jul,11,FALSE),IF($D$1=$AN$10,HLOOKUP("ptk",real_rku_08.ags,11,FALSE),IF($D$1=$AN$11,HLOOKUP("ptk",real_rku_09.sep,11,FALSE),IF($D$1=$AN$12,HLOOKUP("ptk",real_rku_10.okt,11,FALSE),IF($D$1=$AN$13,HLOOKUP("ptk",real_rku_11.nov,11,FALSE),IF($D$1=$AN$14,HLOOKUP("ptk",real_rku_12.des,11,FALSE),IF($D$1=$AN$15,HLOOKUP("ptk",real_rku_TW_I,11,FALSE),IF($D$1=$AN$16,HLOOKUP("ptk",real_rku_TW_II,11,FALSE),IF($D$1=$AN$17,HLOOKUP("ptk",real_rku_TW_III,11,FALSE),IF($D$1=$AN$18,HLOOKUP("ptk",real_rku_TW_IV,11,FALSE),IF($D$1=$AN$19,HLOOKUP("ptk",real_rku_SM_I,11,FALSE),IF($D$1=$AN$20,HLOOKUP("ptk",real_rku_SM_II,11,FALSE),IF($D$1=$AN$21,HLOOKUP("ptk",real_rku_2013,11,FALSE),IF($D$1=$AN$22,HLOOKUP("ptk",real_rku_jan_apr,11,FALSE),IF($D$1=$AN$23,HLOOKUP("ptk",real_rku_jan_mei,11,FALSE),IF($D$1=$AN$24,HLOOKUP("ptk",real_rku_jan_jul,11,FALSE),IF($D$1=$AN$25,HLOOKUP("ptk",real_rku_jan_ags,11,FALSE),IF($D$1=$AN$26,HLOOKUP("ptk",real_rku_jan_sep,11,FALSE),IF($D$1=$AN$27,HLOOKUP("ptk",real_rku_jan_okt,11,FALSE),IF($D$1=$AN$28,HLOOKUP("ptk",real_rku_jan_nov,11,FALSE),0)))))))))))))))))))))))))))</f>
        <v>4000</v>
      </c>
      <c r="O71" s="88">
        <f>IF($D$1&lt;&gt;"",IF($D$1=$AN$3,HLOOKUP("ptk",real_rku_01.jan,12,FALSE),IF($D$1=$AN$4,HLOOKUP("ptk",real_rku_02.feb,12,FALSE),IF($D$1=$AN$5,HLOOKUP("ptk",real_rku_03.mar,12,FALSE),IF($D$1=$AN$6,HLOOKUP("ptk",real_rku_04.apr,12,FALSE),IF($D$1=$AN$7,HLOOKUP("ptk",real_rku_05.mei,12,FALSE),IF($D$1=$AN$8,HLOOKUP("ptk",real_rku_06.jun,12,FALSE),IF($D$1=$AN$9,HLOOKUP("ptk",real_rku_07.jul,12,FALSE),IF($D$1=$AN$10,HLOOKUP("ptk",real_rku_08.ags,12,FALSE),IF($D$1=$AN$11,HLOOKUP("ptk",real_rku_09.sep,12,FALSE),IF($D$1=$AN$12,HLOOKUP("ptk",real_rku_10.okt,12,FALSE),IF($D$1=$AN$13,HLOOKUP("ptk",real_rku_11.nov,12,FALSE),IF($D$1=$AN$14,HLOOKUP("ptk",real_rku_12.des,12,FALSE),IF($D$1=$AN$15,HLOOKUP("ptk",real_rku_TW_I,12,FALSE),IF($D$1=$AN$16,HLOOKUP("ptk",real_rku_TW_II,12,FALSE),IF($D$1=$AN$17,HLOOKUP("ptk",real_rku_TW_III,12,FALSE),IF($D$1=$AN$18,HLOOKUP("ptk",real_rku_TW_IV,12,FALSE),IF($D$1=$AN$19,HLOOKUP("ptk",real_rku_SM_I,12,FALSE),IF($D$1=$AN$20,HLOOKUP("ptk",real_rku_SM_II,12,FALSE),IF($D$1=$AN$21,HLOOKUP("ptk",real_rku_2013,12,FALSE),IF($D$1=$AN$22,HLOOKUP("ptk",real_rku_jan_apr,12,FALSE),IF($D$1=$AN$23,HLOOKUP("ptk",real_rku_jan_mei,12,FALSE),IF($D$1=$AN$24,HLOOKUP("ptk",real_rku_jan_jul,12,FALSE),IF($D$1=$AN$25,HLOOKUP("ptk",real_rku_jan_ags,12,FALSE),IF($D$1=$AN$26,HLOOKUP("ptk",real_rku_jan_sep,12,FALSE),IF($D$1=$AN$27,HLOOKUP("ptk",real_rku_jan_okt,12,FALSE),IF($D$1=$AN$28,HLOOKUP("ptk",real_rku_jan_nov,12,FALSE),0)))))))))))))))))))))))))))</f>
        <v>1400</v>
      </c>
      <c r="P71" s="88">
        <f>IF($D$1&lt;&gt;"",IF($D$1=$AN$3,HLOOKUP("ptk",real_rku_01.jan,13,FALSE),IF($D$1=$AN$4,HLOOKUP("ptk",real_rku_02.feb,13,FALSE),IF($D$1=$AN$5,HLOOKUP("ptk",real_rku_03.mar,13,FALSE),IF($D$1=$AN$6,HLOOKUP("ptk",real_rku_04.apr,13,FALSE),IF($D$1=$AN$7,HLOOKUP("ptk",real_rku_05.mei,13,FALSE),IF($D$1=$AN$8,HLOOKUP("ptk",real_rku_06.jun,13,FALSE),IF($D$1=$AN$9,HLOOKUP("ptk",real_rku_07.jul,13,FALSE),IF($D$1=$AN$10,HLOOKUP("ptk",real_rku_08.ags,13,FALSE),IF($D$1=$AN$11,HLOOKUP("ptk",real_rku_09.sep,13,FALSE),IF($D$1=$AN$12,HLOOKUP("ptk",real_rku_10.okt,13,FALSE),IF($D$1=$AN$13,HLOOKUP("ptk",real_rku_11.nov,13,FALSE),IF($D$1=$AN$14,HLOOKUP("ptk",real_rku_12.des,13,FALSE),IF($D$1=$AN$15,HLOOKUP("ptk",real_rku_TW_I,13,FALSE),IF($D$1=$AN$16,HLOOKUP("ptk",real_rku_TW_II,13,FALSE),IF($D$1=$AN$17,HLOOKUP("ptk",real_rku_TW_III,13,FALSE),IF($D$1=$AN$18,HLOOKUP("ptk",real_rku_TW_IV,13,FALSE),IF($D$1=$AN$19,HLOOKUP("ptk",real_rku_SM_I,13,FALSE),IF($D$1=$AN$20,HLOOKUP("ptk",real_rku_SM_II,13,FALSE),IF($D$1=$AN$21,HLOOKUP("ptk",real_rku_2013,13,FALSE),IF($D$1=$AN$22,HLOOKUP("ptk",real_rku_jan_apr,13,FALSE),IF($D$1=$AN$23,HLOOKUP("ptk",real_rku_jan_mei,13,FALSE),IF($D$1=$AN$24,HLOOKUP("ptk",real_rku_jan_jul,13,FALSE),IF($D$1=$AN$25,HLOOKUP("ptk",real_rku_jan_ags,13,FALSE),IF($D$1=$AN$26,HLOOKUP("ptk",real_rku_jan_sep,13,FALSE),IF($D$1=$AN$27,HLOOKUP("ptk",real_rku_jan_okt,13,FALSE),IF($D$1=$AN$28,HLOOKUP("ptk",real_rku_jan_nov,13,FALSE),0)))))))))))))))))))))))))))</f>
        <v>850</v>
      </c>
      <c r="Q71" s="88">
        <f>IF($D$1&lt;&gt;"",IF($D$1=$AN$3,HLOOKUP("ptk",real_rku_01.jan,14,FALSE),IF($D$1=$AN$4,HLOOKUP("ptk",real_rku_02.feb,14,FALSE),IF($D$1=$AN$5,HLOOKUP("ptk",real_rku_03.mar,14,FALSE),IF($D$1=$AN$6,HLOOKUP("ptk",real_rku_04.apr,14,FALSE),IF($D$1=$AN$7,HLOOKUP("ptk",real_rku_05.mei,14,FALSE),IF($D$1=$AN$8,HLOOKUP("ptk",real_rku_06.jun,14,FALSE),IF($D$1=$AN$9,HLOOKUP("ptk",real_rku_07.jul,14,FALSE),IF($D$1=$AN$10,HLOOKUP("ptk",real_rku_08.ags,14,FALSE),IF($D$1=$AN$11,HLOOKUP("ptk",real_rku_09.sep,14,FALSE),IF($D$1=$AN$12,HLOOKUP("ptk",real_rku_10.okt,14,FALSE),IF($D$1=$AN$13,HLOOKUP("ptk",real_rku_11.nov,14,FALSE),IF($D$1=$AN$14,HLOOKUP("ptk",real_rku_12.des,14,FALSE),IF($D$1=$AN$15,HLOOKUP("ptk",real_rku_TW_I,14,FALSE),IF($D$1=$AN$16,HLOOKUP("ptk",real_rku_TW_II,14,FALSE),IF($D$1=$AN$17,HLOOKUP("ptk",real_rku_TW_III,14,FALSE),IF($D$1=$AN$18,HLOOKUP("ptk",real_rku_TW_IV,14,FALSE),IF($D$1=$AN$19,HLOOKUP("ptk",real_rku_SM_I,14,FALSE),IF($D$1=$AN$20,HLOOKUP("ptk",real_rku_SM_II,14,FALSE),IF($D$1=$AN$21,HLOOKUP("ptk",real_rku_2013,14,FALSE),IF($D$1=$AN$22,HLOOKUP("ptk",real_rku_jan_apr,14,FALSE),IF($D$1=$AN$23,HLOOKUP("ptk",real_rku_jan_mei,14,FALSE),IF($D$1=$AN$24,HLOOKUP("ptk",real_rku_jan_jul,14,FALSE),IF($D$1=$AN$25,HLOOKUP("ptk",real_rku_jan_ags,14,FALSE),IF($D$1=$AN$26,HLOOKUP("ptk",real_rku_jan_sep,14,FALSE),IF($D$1=$AN$27,HLOOKUP("ptk",real_rku_jan_okt,14,FALSE),IF($D$1=$AN$28,HLOOKUP("ptk",real_rku_jan_nov,14,FALSE),0)))))))))))))))))))))))))))</f>
        <v>0</v>
      </c>
      <c r="R71" s="89">
        <f>+SUM(M71:Q71)</f>
        <v>19750</v>
      </c>
      <c r="S71" s="88">
        <f>+R71+L71</f>
        <v>5411750</v>
      </c>
      <c r="T71" s="88"/>
      <c r="U71" s="86"/>
      <c r="V71" s="87"/>
      <c r="W71" s="87" t="s">
        <v>182</v>
      </c>
      <c r="X71" s="88">
        <f t="shared" si="95"/>
        <v>1575</v>
      </c>
      <c r="Y71" s="88">
        <f t="shared" si="95"/>
        <v>1600</v>
      </c>
      <c r="Z71" s="88">
        <f t="shared" si="95"/>
        <v>650</v>
      </c>
      <c r="AA71" s="88">
        <f t="shared" si="95"/>
        <v>950</v>
      </c>
      <c r="AB71" s="88">
        <f t="shared" si="95"/>
        <v>1300</v>
      </c>
      <c r="AC71" s="88">
        <f t="shared" si="95"/>
        <v>1450</v>
      </c>
      <c r="AD71" s="88">
        <f t="shared" si="95"/>
        <v>200</v>
      </c>
      <c r="AE71" s="89">
        <f>+SUM(X71:AD71)</f>
        <v>7725</v>
      </c>
      <c r="AF71" s="88">
        <f t="shared" si="96"/>
        <v>2700</v>
      </c>
      <c r="AG71" s="88">
        <f t="shared" si="96"/>
        <v>1600</v>
      </c>
      <c r="AH71" s="88">
        <f t="shared" si="96"/>
        <v>700</v>
      </c>
      <c r="AI71" s="88">
        <f t="shared" si="96"/>
        <v>850</v>
      </c>
      <c r="AJ71" s="88">
        <f t="shared" si="96"/>
        <v>0</v>
      </c>
      <c r="AK71" s="89">
        <f>+SUM(AF71:AJ71)</f>
        <v>5850</v>
      </c>
      <c r="AL71" s="88">
        <f>+AK71+AE71</f>
        <v>13575</v>
      </c>
    </row>
    <row r="72" spans="2:39" ht="15" x14ac:dyDescent="0.25">
      <c r="B72" s="86"/>
      <c r="C72" s="87"/>
      <c r="D72" s="87" t="s">
        <v>184</v>
      </c>
      <c r="E72" s="88">
        <f t="shared" ref="E72:K72" si="97">+E70-E71</f>
        <v>498000</v>
      </c>
      <c r="F72" s="88">
        <f t="shared" si="97"/>
        <v>-28000</v>
      </c>
      <c r="G72" s="88">
        <f t="shared" si="97"/>
        <v>-211600</v>
      </c>
      <c r="H72" s="88">
        <f t="shared" si="97"/>
        <v>-181200</v>
      </c>
      <c r="I72" s="88">
        <f t="shared" si="97"/>
        <v>-115900</v>
      </c>
      <c r="J72" s="88">
        <f t="shared" si="97"/>
        <v>-44560</v>
      </c>
      <c r="K72" s="88">
        <f t="shared" si="97"/>
        <v>0</v>
      </c>
      <c r="L72" s="89">
        <f>+SUM(E72:K72)</f>
        <v>-83260</v>
      </c>
      <c r="M72" s="88">
        <f>+M70-M71</f>
        <v>-2170</v>
      </c>
      <c r="N72" s="88">
        <f>+N70-N71</f>
        <v>-635</v>
      </c>
      <c r="O72" s="88">
        <f>+O70-O71</f>
        <v>-770</v>
      </c>
      <c r="P72" s="88">
        <f>+P70-P71</f>
        <v>-133</v>
      </c>
      <c r="Q72" s="88">
        <f>+Q70-Q71</f>
        <v>0</v>
      </c>
      <c r="R72" s="89">
        <f>+SUM(M72:Q72)</f>
        <v>-3708</v>
      </c>
      <c r="S72" s="88">
        <f>+R72+L72</f>
        <v>-86968</v>
      </c>
      <c r="T72" s="88"/>
      <c r="U72" s="86"/>
      <c r="V72" s="87"/>
      <c r="W72" s="87" t="s">
        <v>184</v>
      </c>
      <c r="X72" s="88">
        <f t="shared" ref="X72:AD72" si="98">+X70-X71</f>
        <v>249</v>
      </c>
      <c r="Y72" s="88">
        <f t="shared" si="98"/>
        <v>-28</v>
      </c>
      <c r="Z72" s="88">
        <f t="shared" si="98"/>
        <v>-529</v>
      </c>
      <c r="AA72" s="88">
        <f t="shared" si="98"/>
        <v>-906</v>
      </c>
      <c r="AB72" s="88">
        <f t="shared" si="98"/>
        <v>-1159</v>
      </c>
      <c r="AC72" s="88">
        <f t="shared" si="98"/>
        <v>-1114</v>
      </c>
      <c r="AD72" s="88">
        <f t="shared" si="98"/>
        <v>0</v>
      </c>
      <c r="AE72" s="89">
        <f>+SUM(X72:AD72)</f>
        <v>-3487</v>
      </c>
      <c r="AF72" s="88">
        <f>+AF70-AF71</f>
        <v>-434</v>
      </c>
      <c r="AG72" s="88">
        <f>+AG70-AG71</f>
        <v>-254</v>
      </c>
      <c r="AH72" s="88">
        <f>+AH70-AH71</f>
        <v>-385</v>
      </c>
      <c r="AI72" s="88">
        <f>+AI70-AI71</f>
        <v>-133</v>
      </c>
      <c r="AJ72" s="88">
        <f>+AJ70-AJ71</f>
        <v>0</v>
      </c>
      <c r="AK72" s="89">
        <f>+SUM(AF72:AJ72)</f>
        <v>-1206</v>
      </c>
      <c r="AL72" s="88">
        <f>+AK72+AE72</f>
        <v>-4693</v>
      </c>
      <c r="AM72" s="91">
        <f>+AL72/550</f>
        <v>-8.5327272727272732</v>
      </c>
    </row>
    <row r="73" spans="2:39" ht="14.25" x14ac:dyDescent="0.2">
      <c r="B73" s="86"/>
      <c r="C73" s="87"/>
      <c r="D73" s="92" t="s">
        <v>186</v>
      </c>
      <c r="E73" s="93">
        <f t="shared" ref="E73:S73" si="99">IF(E70=0,"-",E71/E70)</f>
        <v>0.86348684210526316</v>
      </c>
      <c r="F73" s="93">
        <f t="shared" si="99"/>
        <v>1.0178117048346056</v>
      </c>
      <c r="G73" s="93">
        <f t="shared" si="99"/>
        <v>5.3719008264462813</v>
      </c>
      <c r="H73" s="93">
        <f t="shared" si="99"/>
        <v>21.59090909090909</v>
      </c>
      <c r="I73" s="93">
        <f t="shared" si="99"/>
        <v>9.2198581560283692</v>
      </c>
      <c r="J73" s="93">
        <f t="shared" si="99"/>
        <v>4.3154761904761907</v>
      </c>
      <c r="K73" s="93">
        <f t="shared" si="99"/>
        <v>1</v>
      </c>
      <c r="L73" s="94">
        <f t="shared" si="99"/>
        <v>1.0156835708661565</v>
      </c>
      <c r="M73" s="93">
        <f t="shared" si="99"/>
        <v>1.1915269196822595</v>
      </c>
      <c r="N73" s="93">
        <f t="shared" si="99"/>
        <v>1.1887072808320951</v>
      </c>
      <c r="O73" s="93">
        <f t="shared" si="99"/>
        <v>2.2222222222222223</v>
      </c>
      <c r="P73" s="93">
        <f t="shared" si="99"/>
        <v>1.185495118549512</v>
      </c>
      <c r="Q73" s="93" t="str">
        <f t="shared" si="99"/>
        <v>-</v>
      </c>
      <c r="R73" s="94">
        <f t="shared" si="99"/>
        <v>1.23114324897145</v>
      </c>
      <c r="S73" s="93">
        <f t="shared" si="99"/>
        <v>1.0163326874226963</v>
      </c>
      <c r="T73" s="95">
        <f>+S73*$T$6</f>
        <v>0.71143288119588743</v>
      </c>
      <c r="U73" s="86"/>
      <c r="V73" s="87"/>
      <c r="W73" s="92" t="s">
        <v>186</v>
      </c>
      <c r="X73" s="93">
        <f t="shared" ref="X73:AL73" si="100">IF(X70=0,"-",X71/X70)</f>
        <v>0.86348684210526316</v>
      </c>
      <c r="Y73" s="93">
        <f t="shared" si="100"/>
        <v>1.0178117048346056</v>
      </c>
      <c r="Z73" s="93">
        <f t="shared" si="100"/>
        <v>5.3719008264462813</v>
      </c>
      <c r="AA73" s="93">
        <f t="shared" si="100"/>
        <v>21.59090909090909</v>
      </c>
      <c r="AB73" s="93">
        <f t="shared" si="100"/>
        <v>9.2198581560283692</v>
      </c>
      <c r="AC73" s="93">
        <f t="shared" si="100"/>
        <v>4.3154761904761907</v>
      </c>
      <c r="AD73" s="93">
        <f t="shared" si="100"/>
        <v>1</v>
      </c>
      <c r="AE73" s="94">
        <f t="shared" si="100"/>
        <v>1.8227937706465314</v>
      </c>
      <c r="AF73" s="93">
        <f t="shared" si="100"/>
        <v>1.1915269196822595</v>
      </c>
      <c r="AG73" s="93">
        <f t="shared" si="100"/>
        <v>1.1887072808320951</v>
      </c>
      <c r="AH73" s="93">
        <f t="shared" si="100"/>
        <v>2.2222222222222223</v>
      </c>
      <c r="AI73" s="93">
        <f t="shared" si="100"/>
        <v>1.185495118549512</v>
      </c>
      <c r="AJ73" s="93" t="str">
        <f t="shared" si="100"/>
        <v>-</v>
      </c>
      <c r="AK73" s="94">
        <f t="shared" si="100"/>
        <v>1.2596899224806202</v>
      </c>
      <c r="AL73" s="93">
        <f t="shared" si="100"/>
        <v>1.5283719882909255</v>
      </c>
    </row>
    <row r="74" spans="2:39" ht="14.25" x14ac:dyDescent="0.2">
      <c r="B74" s="96"/>
      <c r="C74" s="97"/>
      <c r="D74" s="97"/>
      <c r="E74" s="98">
        <f>+E73*$L$6</f>
        <v>0.25904605263157893</v>
      </c>
      <c r="F74" s="98">
        <f t="shared" ref="F74:K74" si="101">+F73*$L$6</f>
        <v>0.30534351145038169</v>
      </c>
      <c r="G74" s="98">
        <f t="shared" si="101"/>
        <v>1.6115702479338843</v>
      </c>
      <c r="H74" s="98">
        <f t="shared" si="101"/>
        <v>6.4772727272727266</v>
      </c>
      <c r="I74" s="98">
        <f t="shared" si="101"/>
        <v>2.7659574468085109</v>
      </c>
      <c r="J74" s="98">
        <f t="shared" si="101"/>
        <v>1.2946428571428572</v>
      </c>
      <c r="K74" s="98">
        <f t="shared" si="101"/>
        <v>0.3</v>
      </c>
      <c r="L74" s="98"/>
      <c r="M74" s="98">
        <f t="shared" ref="M74:P74" si="102">+M73*$L$6</f>
        <v>0.35745807590467787</v>
      </c>
      <c r="N74" s="98">
        <f t="shared" si="102"/>
        <v>0.35661218424962854</v>
      </c>
      <c r="O74" s="98">
        <f t="shared" si="102"/>
        <v>0.66666666666666663</v>
      </c>
      <c r="P74" s="98">
        <f t="shared" si="102"/>
        <v>0.3556485355648536</v>
      </c>
      <c r="Q74" s="98"/>
      <c r="R74" s="99"/>
      <c r="S74" s="98">
        <f>+AVERAGE(E74:Q74)</f>
        <v>1.3409289368750696</v>
      </c>
      <c r="T74" s="100">
        <f>+S74+T73</f>
        <v>2.0523618180709571</v>
      </c>
      <c r="U74" s="96"/>
      <c r="V74" s="97"/>
      <c r="W74" s="97"/>
      <c r="X74" s="101"/>
      <c r="Y74" s="101"/>
      <c r="Z74" s="101"/>
      <c r="AA74" s="101"/>
      <c r="AB74" s="101"/>
      <c r="AC74" s="101"/>
      <c r="AD74" s="101"/>
      <c r="AE74" s="99">
        <f>+SUM(X74:AD74)</f>
        <v>0</v>
      </c>
      <c r="AF74" s="101"/>
      <c r="AG74" s="101"/>
      <c r="AH74" s="101"/>
      <c r="AI74" s="101"/>
      <c r="AJ74" s="101"/>
      <c r="AK74" s="99">
        <f>+SUM(AF74:AJ74)</f>
        <v>0</v>
      </c>
      <c r="AL74" s="101">
        <f>+AK74+AE74</f>
        <v>0</v>
      </c>
    </row>
    <row r="75" spans="2:39" ht="14.25" x14ac:dyDescent="0.2">
      <c r="B75" s="81">
        <v>14</v>
      </c>
      <c r="C75" s="83" t="s">
        <v>214</v>
      </c>
      <c r="D75" s="83" t="s">
        <v>180</v>
      </c>
      <c r="E75" s="84">
        <f>IF($D$1&lt;&gt;"",IF($D$1=$AN$3,HLOOKUP("kdk mks",rku_01.jan,2,FALSE),IF($D$1=$AN$4,HLOOKUP("kdk mks",rku_02.feb,2,FALSE),IF($D$1=$AN$5,HLOOKUP("kdk mks",rku_03.mar,2,FALSE),IF($D$1=$AN$6,HLOOKUP("kdk mks",rku_04.apr,2,FALSE),IF($D$1=$AN$7,HLOOKUP("kdk mks",rku_05.mei,2,FALSE),IF($D$1=$AN$8,HLOOKUP("kdk mks",rku_06.jun,2,FALSE),IF($D$1=$AN$9,HLOOKUP("kdk mks",rku_07.jul,2,FALSE),IF($D$1=$AN$10,HLOOKUP("kdk mks",rku_08.ags,2,FALSE),IF($D$1=$AN$11,HLOOKUP("kdk mks",rku_09.sep,2,FALSE),IF($D$1=$AN$12,HLOOKUP("kdk mks",rku_10.okt,2,FALSE),IF($D$1=$AN$13,HLOOKUP("kdk mks",rku_11.nov,2,FALSE),IF($D$1=$AN$14,HLOOKUP("kdk mks",rku_12.des,2,FALSE),IF($D$1=$AN$15,HLOOKUP("kdk mks",rku_TW_I,2,FALSE),IF($D$1=$AN$16,HLOOKUP("kdk mks",rku_TW_II,2,FALSE),IF($D$1=$AN$17,HLOOKUP("kdk mks",rku_TW_III,2,FALSE),IF($D$1=$AN$18,HLOOKUP("kdk mks",rku_TW_IV,2,FALSE),IF($D$1=$AN$19,HLOOKUP("kdk mks",rku_SM_I,2,FALSE),IF($D$1=$AN$20,HLOOKUP("kdk mks",rku_SM_II,2,FALSE),IF($D$1=$AN$21,HLOOKUP("kdk mks",rku_2013,2,FALSE),IF($D$1=$AN$22,HLOOKUP("kdk mks",rku_jan_apr,2,FALSE),IF($D$1=$AN$23,HLOOKUP("kdk mks",rku_jan_mei,2,FALSE),IF($D$1=$AN$24,HLOOKUP("kdk mks",rku_jan_jul,2,FALSE),IF($D$1=$AN$25,HLOOKUP("kdk mks",rku_jan_ags,2,FALSE),IF($D$1=$AN$26,HLOOKUP("kdk mks",rku_jan_sep,2,FALSE),IF($D$1=$AN$27,HLOOKUP("kdk mks",rku_jan_okt,2,FALSE),IF($D$1=$AN$28,HLOOKUP("kdk mks",rku_jan_nov,2,FALSE),0)))))))))))))))))))))))))))</f>
        <v>18666000</v>
      </c>
      <c r="F75" s="84">
        <f>IF($D$1&lt;&gt;"",IF($D$1=$AN$3,HLOOKUP("kdk mks",rku_01.jan,3,FALSE),IF($D$1=$AN$4,HLOOKUP("kdk mks",rku_02.feb,3,FALSE),IF($D$1=$AN$5,HLOOKUP("kdk mks",rku_03.mar,3,FALSE),IF($D$1=$AN$6,HLOOKUP("kdk mks",rku_04.apr,3,FALSE),IF($D$1=$AN$7,HLOOKUP("kdk mks",rku_05.mei,3,FALSE),IF($D$1=$AN$8,HLOOKUP("kdk mks",rku_06.jun,3,FALSE),IF($D$1=$AN$9,HLOOKUP("kdk mks",rku_07.jul,3,FALSE),IF($D$1=$AN$10,HLOOKUP("kdk mks",rku_08.ags,3,FALSE),IF($D$1=$AN$11,HLOOKUP("kdk mks",rku_09.sep,3,FALSE),IF($D$1=$AN$12,HLOOKUP("kdk mks",rku_10.okt,3,FALSE),IF($D$1=$AN$13,HLOOKUP("kdk mks",rku_11.nov,3,FALSE),IF($D$1=$AN$14,HLOOKUP("kdk mks",rku_12.des,3,FALSE),IF($D$1=$AN$15,HLOOKUP("kdk mks",rku_TW_I,3,FALSE),IF($D$1=$AN$16,HLOOKUP("kdk mks",rku_TW_II,3,FALSE),IF($D$1=$AN$17,HLOOKUP("kdk mks",rku_TW_III,3,FALSE),IF($D$1=$AN$18,HLOOKUP("kdk mks",rku_TW_IV,3,FALSE),IF($D$1=$AN$19,HLOOKUP("kdk mks",rku_SM_I,3,FALSE),IF($D$1=$AN$20,HLOOKUP("kdk mks",rku_SM_II,3,FALSE),IF($D$1=$AN$21,HLOOKUP("kdk mks",rku_2013,3,FALSE),IF($D$1=$AN$22,HLOOKUP("kdk mks",rku_jan_apr,3,FALSE),IF($D$1=$AN$23,HLOOKUP("kdk mks",rku_jan_mei,3,FALSE),IF($D$1=$AN$24,HLOOKUP("kdk mks",rku_jan_jul,3,FALSE),IF($D$1=$AN$25,HLOOKUP("kdk mks",rku_jan_ags,3,FALSE),IF($D$1=$AN$26,HLOOKUP("kdk mks",rku_jan_sep,3,FALSE),IF($D$1=$AN$27,HLOOKUP("kdk mks",rku_jan_okt,3,FALSE),IF($D$1=$AN$28,HLOOKUP("kdk mks",rku_jan_nov,3,FALSE),0)))))))))))))))))))))))))))</f>
        <v>7363000</v>
      </c>
      <c r="G75" s="84">
        <f>IF($D$1&lt;&gt;"",IF($D$1=$AN$3,HLOOKUP("kdk mks",rku_01.jan,4,FALSE),IF($D$1=$AN$4,HLOOKUP("kdk mks",rku_02.feb,4,FALSE),IF($D$1=$AN$5,HLOOKUP("kdk mks",rku_03.mar,4,FALSE),IF($D$1=$AN$6,HLOOKUP("kdk mks",rku_04.apr,4,FALSE),IF($D$1=$AN$7,HLOOKUP("kdk mks",rku_05.mei,4,FALSE),IF($D$1=$AN$8,HLOOKUP("kdk mks",rku_06.jun,4,FALSE),IF($D$1=$AN$9,HLOOKUP("kdk mks",rku_07.jul,4,FALSE),IF($D$1=$AN$10,HLOOKUP("kdk mks",rku_08.ags,4,FALSE),IF($D$1=$AN$11,HLOOKUP("kdk mks",rku_09.sep,4,FALSE),IF($D$1=$AN$12,HLOOKUP("kdk mks",rku_10.okt,4,FALSE),IF($D$1=$AN$13,HLOOKUP("kdk mks",rku_11.nov,4,FALSE),IF($D$1=$AN$14,HLOOKUP("kdk mks",rku_12.des,4,FALSE),IF($D$1=$AN$15,HLOOKUP("kdk mks",rku_TW_I,4,FALSE),IF($D$1=$AN$16,HLOOKUP("kdk mks",rku_TW_II,4,FALSE),IF($D$1=$AN$17,HLOOKUP("kdk mks",rku_TW_III,4,FALSE),IF($D$1=$AN$18,HLOOKUP("kdk mks",rku_TW_IV,4,FALSE),IF($D$1=$AN$19,HLOOKUP("kdk mks",rku_SM_I,4,FALSE),IF($D$1=$AN$20,HLOOKUP("kdk mks",rku_SM_II,4,FALSE),IF($D$1=$AN$21,HLOOKUP("kdk mks",rku_2013,4,FALSE),IF($D$1=$AN$22,HLOOKUP("kdk mks",rku_jan_apr,4,FALSE),IF($D$1=$AN$23,HLOOKUP("kdk mks",rku_jan_mei,4,FALSE),IF($D$1=$AN$24,HLOOKUP("kdk mks",rku_jan_jul,4,FALSE),IF($D$1=$AN$25,HLOOKUP("kdk mks",rku_jan_ags,4,FALSE),IF($D$1=$AN$26,HLOOKUP("kdk mks",rku_jan_sep,4,FALSE),IF($D$1=$AN$27,HLOOKUP("kdk mks",rku_jan_okt,4,FALSE),IF($D$1=$AN$28,HLOOKUP("kdk mks",rku_jan_nov,4,FALSE),0)))))))))))))))))))))))))))</f>
        <v>615600</v>
      </c>
      <c r="H75" s="84">
        <f>IF($D$1&lt;&gt;"",IF($D$1=$AN$3,HLOOKUP("kdk mks",rku_01.jan,5,FALSE),IF($D$1=$AN$4,HLOOKUP("kdk mks",rku_02.feb,5,FALSE),IF($D$1=$AN$5,HLOOKUP("kdk mks",rku_03.mar,5,FALSE),IF($D$1=$AN$6,HLOOKUP("kdk mks",rku_04.apr,5,FALSE),IF($D$1=$AN$7,HLOOKUP("kdk mks",rku_05.mei,5,FALSE),IF($D$1=$AN$8,HLOOKUP("kdk mks",rku_06.jun,5,FALSE),IF($D$1=$AN$9,HLOOKUP("kdk mks",rku_07.jul,5,FALSE),IF($D$1=$AN$10,HLOOKUP("kdk mks",rku_08.ags,5,FALSE),IF($D$1=$AN$11,HLOOKUP("kdk mks",rku_09.sep,5,FALSE),IF($D$1=$AN$12,HLOOKUP("kdk mks",rku_10.okt,5,FALSE),IF($D$1=$AN$13,HLOOKUP("kdk mks",rku_11.nov,5,FALSE),IF($D$1=$AN$14,HLOOKUP("kdk mks",rku_12.des,5,FALSE),IF($D$1=$AN$15,HLOOKUP("kdk mks",rku_TW_I,5,FALSE),IF($D$1=$AN$16,HLOOKUP("kdk mks",rku_TW_II,5,FALSE),IF($D$1=$AN$17,HLOOKUP("kdk mks",rku_TW_III,5,FALSE),IF($D$1=$AN$18,HLOOKUP("kdk mks",rku_TW_IV,5,FALSE),IF($D$1=$AN$19,HLOOKUP("kdk mks",rku_SM_I,5,FALSE),IF($D$1=$AN$20,HLOOKUP("kdk mks",rku_SM_II,5,FALSE),IF($D$1=$AN$21,HLOOKUP("kdk mks",rku_2013,5,FALSE),IF($D$1=$AN$22,HLOOKUP("kdk mks",rku_jan_apr,5,FALSE),IF($D$1=$AN$23,HLOOKUP("kdk mks",rku_jan_mei,5,FALSE),IF($D$1=$AN$24,HLOOKUP("kdk mks",rku_jan_jul,5,FALSE),IF($D$1=$AN$25,HLOOKUP("kdk mks",rku_jan_ags,5,FALSE),IF($D$1=$AN$26,HLOOKUP("kdk mks",rku_jan_sep,5,FALSE),IF($D$1=$AN$27,HLOOKUP("kdk mks",rku_jan_okt,5,FALSE),IF($D$1=$AN$28,HLOOKUP("kdk mks",rku_jan_nov,5,FALSE),0)))))))))))))))))))))))))))</f>
        <v>545600</v>
      </c>
      <c r="I75" s="84">
        <f>IF($D$1&lt;&gt;"",IF($D$1=$AN$3,HLOOKUP("kdk mks",rku_01.jan,6,FALSE),IF($D$1=$AN$4,HLOOKUP("kdk mks",rku_02.feb,6,FALSE),IF($D$1=$AN$5,HLOOKUP("kdk mks",rku_03.mar,6,FALSE),IF($D$1=$AN$6,HLOOKUP("kdk mks",rku_04.apr,6,FALSE),IF($D$1=$AN$7,HLOOKUP("kdk mks",rku_05.mei,6,FALSE),IF($D$1=$AN$8,HLOOKUP("kdk mks",rku_06.jun,6,FALSE),IF($D$1=$AN$9,HLOOKUP("kdk mks",rku_07.jul,6,FALSE),IF($D$1=$AN$10,HLOOKUP("kdk mks",rku_08.ags,6,FALSE),IF($D$1=$AN$11,HLOOKUP("kdk mks",rku_09.sep,6,FALSE),IF($D$1=$AN$12,HLOOKUP("kdk mks",rku_10.okt,6,FALSE),IF($D$1=$AN$13,HLOOKUP("kdk mks",rku_11.nov,6,FALSE),IF($D$1=$AN$14,HLOOKUP("kdk mks",rku_12.des,6,FALSE),IF($D$1=$AN$15,HLOOKUP("kdk mks",rku_TW_I,6,FALSE),IF($D$1=$AN$16,HLOOKUP("kdk mks",rku_TW_II,6,FALSE),IF($D$1=$AN$17,HLOOKUP("kdk mks",rku_TW_III,6,FALSE),IF($D$1=$AN$18,HLOOKUP("kdk mks",rku_TW_IV,6,FALSE),IF($D$1=$AN$19,HLOOKUP("kdk mks",rku_SM_I,6,FALSE),IF($D$1=$AN$20,HLOOKUP("kdk mks",rku_SM_II,6,FALSE),IF($D$1=$AN$21,HLOOKUP("kdk mks",rku_2013,6,FALSE),IF($D$1=$AN$22,HLOOKUP("kdk mks",rku_jan_apr,6,FALSE),IF($D$1=$AN$23,HLOOKUP("kdk mks",rku_jan_mei,6,FALSE),IF($D$1=$AN$24,HLOOKUP("kdk mks",rku_jan_jul,6,FALSE),IF($D$1=$AN$25,HLOOKUP("kdk mks",rku_jan_ags,6,FALSE),IF($D$1=$AN$26,HLOOKUP("kdk mks",rku_jan_sep,6,FALSE),IF($D$1=$AN$27,HLOOKUP("kdk mks",rku_jan_okt,6,FALSE),IF($D$1=$AN$28,HLOOKUP("kdk mks",rku_jan_nov,6,FALSE),0)))))))))))))))))))))))))))</f>
        <v>412100</v>
      </c>
      <c r="J75" s="84">
        <f>IF($D$1&lt;&gt;"",IF($D$1=$AN$3,HLOOKUP("kdk mks",rku_01.jan,7,FALSE),IF($D$1=$AN$4,HLOOKUP("kdk mks",rku_02.feb,7,FALSE),IF($D$1=$AN$5,HLOOKUP("kdk mks",rku_03.mar,7,FALSE),IF($D$1=$AN$6,HLOOKUP("kdk mks",rku_04.apr,7,FALSE),IF($D$1=$AN$7,HLOOKUP("kdk mks",rku_05.mei,7,FALSE),IF($D$1=$AN$8,HLOOKUP("kdk mks",rku_06.jun,7,FALSE),IF($D$1=$AN$9,HLOOKUP("kdk mks",rku_07.jul,7,FALSE),IF($D$1=$AN$10,HLOOKUP("kdk mks",rku_08.ags,7,FALSE),IF($D$1=$AN$11,HLOOKUP("kdk mks",rku_09.sep,7,FALSE),IF($D$1=$AN$12,HLOOKUP("kdk mks",rku_10.okt,7,FALSE),IF($D$1=$AN$13,HLOOKUP("kdk mks",rku_11.nov,7,FALSE),IF($D$1=$AN$14,HLOOKUP("kdk mks",rku_12.des,7,FALSE),IF($D$1=$AN$15,HLOOKUP("kdk mks",rku_TW_I,7,FALSE),IF($D$1=$AN$16,HLOOKUP("kdk mks",rku_TW_II,7,FALSE),IF($D$1=$AN$17,HLOOKUP("kdk mks",rku_TW_III,7,FALSE),IF($D$1=$AN$18,HLOOKUP("kdk mks",rku_TW_IV,7,FALSE),IF($D$1=$AN$19,HLOOKUP("kdk mks",rku_SM_I,7,FALSE),IF($D$1=$AN$20,HLOOKUP("kdk mks",rku_SM_II,7,FALSE),IF($D$1=$AN$21,HLOOKUP("kdk mks",rku_2013,7,FALSE),IF($D$1=$AN$22,HLOOKUP("kdk mks",rku_jan_apr,7,FALSE),IF($D$1=$AN$23,HLOOKUP("kdk mks",rku_jan_mei,7,FALSE),IF($D$1=$AN$24,HLOOKUP("kdk mks",rku_jan_jul,7,FALSE),IF($D$1=$AN$25,HLOOKUP("kdk mks",rku_jan_ags,7,FALSE),IF($D$1=$AN$26,HLOOKUP("kdk mks",rku_jan_sep,7,FALSE),IF($D$1=$AN$27,HLOOKUP("kdk mks",rku_jan_okt,7,FALSE),IF($D$1=$AN$28,HLOOKUP("kdk mks",rku_jan_nov,7,FALSE),0)))))))))))))))))))))))))))</f>
        <v>180320</v>
      </c>
      <c r="K75" s="84">
        <f>IF($D$1&lt;&gt;"",IF($D$1=$AN$3,HLOOKUP("kdk mks",rku_01.jan,8,FALSE),IF($D$1=$AN$4,HLOOKUP("kdk mks",rku_02.feb,8,FALSE),IF($D$1=$AN$5,HLOOKUP("kdk mks",rku_03.mar,8,FALSE),IF($D$1=$AN$6,HLOOKUP("kdk mks",rku_04.apr,8,FALSE),IF($D$1=$AN$7,HLOOKUP("kdk mks",rku_05.mei,8,FALSE),IF($D$1=$AN$8,HLOOKUP("kdk mks",rku_06.jun,8,FALSE),IF($D$1=$AN$9,HLOOKUP("kdk mks",rku_07.jul,8,FALSE),IF($D$1=$AN$10,HLOOKUP("kdk mks",rku_08.ags,8,FALSE),IF($D$1=$AN$11,HLOOKUP("kdk mks",rku_09.sep,8,FALSE),IF($D$1=$AN$12,HLOOKUP("kdk mks",rku_10.okt,8,FALSE),IF($D$1=$AN$13,HLOOKUP("kdk mks",rku_11.nov,8,FALSE),IF($D$1=$AN$14,HLOOKUP("kdk mks",rku_12.des,8,FALSE),IF($D$1=$AN$15,HLOOKUP("kdk mks",rku_TW_I,8,FALSE),IF($D$1=$AN$16,HLOOKUP("kdk mks",rku_TW_II,8,FALSE),IF($D$1=$AN$17,HLOOKUP("kdk mks",rku_TW_III,8,FALSE),IF($D$1=$AN$18,HLOOKUP("kdk mks",rku_TW_IV,8,FALSE),IF($D$1=$AN$19,HLOOKUP("kdk mks",rku_SM_I,8,FALSE),IF($D$1=$AN$20,HLOOKUP("kdk mks",rku_SM_II,8,FALSE),IF($D$1=$AN$21,HLOOKUP("kdk mks",rku_2013,8,FALSE),IF($D$1=$AN$22,HLOOKUP("kdk mks",rku_jan_apr,8,FALSE),IF($D$1=$AN$23,HLOOKUP("kdk mks",rku_jan_mei,8,FALSE),IF($D$1=$AN$24,HLOOKUP("kdk mks",rku_jan_jul,8,FALSE),IF($D$1=$AN$25,HLOOKUP("kdk mks",rku_jan_ags,8,FALSE),IF($D$1=$AN$26,HLOOKUP("kdk mks",rku_jan_sep,8,FALSE),IF($D$1=$AN$27,HLOOKUP("kdk mks",rku_jan_okt,8,FALSE),IF($D$1=$AN$28,HLOOKUP("kdk mks",rku_jan_nov,8,FALSE),0)))))))))))))))))))))))))))</f>
        <v>24640</v>
      </c>
      <c r="L75" s="85">
        <f>+SUM(E75:K75)</f>
        <v>27807260</v>
      </c>
      <c r="M75" s="84">
        <f>IF($D$1&lt;&gt;"",IF($D$1=$AN$3,HLOOKUP("kdk mks",rku_01.jan,10,FALSE),IF($D$1=$AN$4,HLOOKUP("kdk mks",rku_02.feb,10,FALSE),IF($D$1=$AN$5,HLOOKUP("kdk mks",rku_03.mar,10,FALSE),IF($D$1=$AN$6,HLOOKUP("kdk mks",rku_04.apr,10,FALSE),IF($D$1=$AN$7,HLOOKUP("kdk mks",rku_05.mei,10,FALSE),IF($D$1=$AN$8,HLOOKUP("kdk mks",rku_06.jun,10,FALSE),IF($D$1=$AN$9,HLOOKUP("kdk mks",rku_07.jul,10,FALSE),IF($D$1=$AN$10,HLOOKUP("kdk mks",rku_08.ags,10,FALSE),IF($D$1=$AN$11,HLOOKUP("kdk mks",rku_09.sep,10,FALSE),IF($D$1=$AN$12,HLOOKUP("kdk mks",rku_10.okt,10,FALSE),IF($D$1=$AN$13,HLOOKUP("kdk mks",rku_11.nov,10,FALSE),IF($D$1=$AN$14,HLOOKUP("kdk mks",rku_12.des,10,FALSE),IF($D$1=$AN$15,HLOOKUP("kdk mks",rku_TW_I,10,FALSE),IF($D$1=$AN$16,HLOOKUP("kdk mks",rku_TW_II,10,FALSE),IF($D$1=$AN$17,HLOOKUP("kdk mks",rku_TW_III,10,FALSE),IF($D$1=$AN$18,HLOOKUP("kdk mks",rku_TW_IV,10,FALSE),IF($D$1=$AN$19,HLOOKUP("kdk mks",rku_SM_I,10,FALSE),IF($D$1=$AN$20,HLOOKUP("kdk mks",rku_SM_II,10,FALSE),IF($D$1=$AN$21,HLOOKUP("kdk mks",rku_2013,10,FALSE),IF($D$1=$AN$22,HLOOKUP("kdk mks",rku_jan_apr,10,FALSE),IF($D$1=$AN$23,HLOOKUP("kdk mks",rku_jan_mei,10,FALSE),IF($D$1=$AN$24,HLOOKUP("kdk mks",rku_jan_jul,10,FALSE),IF($D$1=$AN$25,HLOOKUP("kdk mks",rku_jan_ags,10,FALSE),IF($D$1=$AN$26,HLOOKUP("kdk mks",rku_jan_sep,10,FALSE),IF($D$1=$AN$27,HLOOKUP("kdk mks",rku_jan_okt,10,FALSE),IF($D$1=$AN$28,HLOOKUP("kdk mks",rku_jan_nov,10,FALSE),0)))))))))))))))))))))))))))</f>
        <v>17035</v>
      </c>
      <c r="N75" s="84">
        <f>IF($D$1&lt;&gt;"",IF($D$1=$AN$3,HLOOKUP("kdk mks",rku_01.jan,11,FALSE),IF($D$1=$AN$4,HLOOKUP("kdk mks",rku_02.feb,11,FALSE),IF($D$1=$AN$5,HLOOKUP("kdk mks",rku_03.mar,11,FALSE),IF($D$1=$AN$6,HLOOKUP("kdk mks",rku_04.apr,11,FALSE),IF($D$1=$AN$7,HLOOKUP("kdk mks",rku_05.mei,11,FALSE),IF($D$1=$AN$8,HLOOKUP("kdk mks",rku_06.jun,11,FALSE),IF($D$1=$AN$9,HLOOKUP("kdk mks",rku_07.jul,11,FALSE),IF($D$1=$AN$10,HLOOKUP("kdk mks",rku_08.ags,11,FALSE),IF($D$1=$AN$11,HLOOKUP("kdk mks",rku_09.sep,11,FALSE),IF($D$1=$AN$12,HLOOKUP("kdk mks",rku_10.okt,11,FALSE),IF($D$1=$AN$13,HLOOKUP("kdk mks",rku_11.nov,11,FALSE),IF($D$1=$AN$14,HLOOKUP("kdk mks",rku_12.des,11,FALSE),IF($D$1=$AN$15,HLOOKUP("kdk mks",rku_TW_I,11,FALSE),IF($D$1=$AN$16,HLOOKUP("kdk mks",rku_TW_II,11,FALSE),IF($D$1=$AN$17,HLOOKUP("kdk mks",rku_TW_III,11,FALSE),IF($D$1=$AN$18,HLOOKUP("kdk mks",rku_TW_IV,11,FALSE),IF($D$1=$AN$19,HLOOKUP("kdk mks",rku_SM_I,11,FALSE),IF($D$1=$AN$20,HLOOKUP("kdk mks",rku_SM_II,11,FALSE),IF($D$1=$AN$21,HLOOKUP("kdk mks",rku_2013,11,FALSE),IF($D$1=$AN$22,HLOOKUP("kdk mks",rku_jan_apr,11,FALSE),IF($D$1=$AN$23,HLOOKUP("kdk mks",rku_jan_mei,11,FALSE),IF($D$1=$AN$24,HLOOKUP("kdk mks",rku_jan_jul,11,FALSE),IF($D$1=$AN$25,HLOOKUP("kdk mks",rku_jan_ags,11,FALSE),IF($D$1=$AN$26,HLOOKUP("kdk mks",rku_jan_sep,11,FALSE),IF($D$1=$AN$27,HLOOKUP("kdk mks",rku_jan_okt,11,FALSE),IF($D$1=$AN$28,HLOOKUP("kdk mks",rku_jan_nov,11,FALSE),0)))))))))))))))))))))))))))</f>
        <v>11062.5</v>
      </c>
      <c r="O75" s="84">
        <f>IF($D$1&lt;&gt;"",IF($D$1=$AN$3,HLOOKUP("kdk mks",rku_01.jan,12,FALSE),IF($D$1=$AN$4,HLOOKUP("kdk mks",rku_02.feb,12,FALSE),IF($D$1=$AN$5,HLOOKUP("kdk mks",rku_03.mar,12,FALSE),IF($D$1=$AN$6,HLOOKUP("kdk mks",rku_04.apr,12,FALSE),IF($D$1=$AN$7,HLOOKUP("kdk mks",rku_05.mei,12,FALSE),IF($D$1=$AN$8,HLOOKUP("kdk mks",rku_06.jun,12,FALSE),IF($D$1=$AN$9,HLOOKUP("kdk mks",rku_07.jul,12,FALSE),IF($D$1=$AN$10,HLOOKUP("kdk mks",rku_08.ags,12,FALSE),IF($D$1=$AN$11,HLOOKUP("kdk mks",rku_09.sep,12,FALSE),IF($D$1=$AN$12,HLOOKUP("kdk mks",rku_10.okt,12,FALSE),IF($D$1=$AN$13,HLOOKUP("kdk mks",rku_11.nov,12,FALSE),IF($D$1=$AN$14,HLOOKUP("kdk mks",rku_12.des,12,FALSE),IF($D$1=$AN$15,HLOOKUP("kdk mks",rku_TW_I,12,FALSE),IF($D$1=$AN$16,HLOOKUP("kdk mks",rku_TW_II,12,FALSE),IF($D$1=$AN$17,HLOOKUP("kdk mks",rku_TW_III,12,FALSE),IF($D$1=$AN$18,HLOOKUP("kdk mks",rku_TW_IV,12,FALSE),IF($D$1=$AN$19,HLOOKUP("kdk mks",rku_SM_I,12,FALSE),IF($D$1=$AN$20,HLOOKUP("kdk mks",rku_SM_II,12,FALSE),IF($D$1=$AN$21,HLOOKUP("kdk mks",rku_2013,12,FALSE),IF($D$1=$AN$22,HLOOKUP("kdk mks",rku_jan_apr,12,FALSE),IF($D$1=$AN$23,HLOOKUP("kdk mks",rku_jan_mei,12,FALSE),IF($D$1=$AN$24,HLOOKUP("kdk mks",rku_jan_jul,12,FALSE),IF($D$1=$AN$25,HLOOKUP("kdk mks",rku_jan_ags,12,FALSE),IF($D$1=$AN$26,HLOOKUP("kdk mks",rku_jan_sep,12,FALSE),IF($D$1=$AN$27,HLOOKUP("kdk mks",rku_jan_okt,12,FALSE),IF($D$1=$AN$28,HLOOKUP("kdk mks",rku_jan_nov,12,FALSE),0)))))))))))))))))))))))))))</f>
        <v>2816</v>
      </c>
      <c r="P75" s="84">
        <f>IF($D$1&lt;&gt;"",IF($D$1=$AN$3,HLOOKUP("kdk mks",rku_01.jan,13,FALSE),IF($D$1=$AN$4,HLOOKUP("kdk mks",rku_02.feb,13,FALSE),IF($D$1=$AN$5,HLOOKUP("kdk mks",rku_03.mar,13,FALSE),IF($D$1=$AN$6,HLOOKUP("kdk mks",rku_04.apr,13,FALSE),IF($D$1=$AN$7,HLOOKUP("kdk mks",rku_05.mei,13,FALSE),IF($D$1=$AN$8,HLOOKUP("kdk mks",rku_06.jun,13,FALSE),IF($D$1=$AN$9,HLOOKUP("kdk mks",rku_07.jul,13,FALSE),IF($D$1=$AN$10,HLOOKUP("kdk mks",rku_08.ags,13,FALSE),IF($D$1=$AN$11,HLOOKUP("kdk mks",rku_09.sep,13,FALSE),IF($D$1=$AN$12,HLOOKUP("kdk mks",rku_10.okt,13,FALSE),IF($D$1=$AN$13,HLOOKUP("kdk mks",rku_11.nov,13,FALSE),IF($D$1=$AN$14,HLOOKUP("kdk mks",rku_12.des,13,FALSE),IF($D$1=$AN$15,HLOOKUP("kdk mks",rku_TW_I,13,FALSE),IF($D$1=$AN$16,HLOOKUP("kdk mks",rku_TW_II,13,FALSE),IF($D$1=$AN$17,HLOOKUP("kdk mks",rku_TW_III,13,FALSE),IF($D$1=$AN$18,HLOOKUP("kdk mks",rku_TW_IV,13,FALSE),IF($D$1=$AN$19,HLOOKUP("kdk mks",rku_SM_I,13,FALSE),IF($D$1=$AN$20,HLOOKUP("kdk mks",rku_SM_II,13,FALSE),IF($D$1=$AN$21,HLOOKUP("kdk mks",rku_2013,13,FALSE),IF($D$1=$AN$22,HLOOKUP("kdk mks",rku_jan_apr,13,FALSE),IF($D$1=$AN$23,HLOOKUP("kdk mks",rku_jan_mei,13,FALSE),IF($D$1=$AN$24,HLOOKUP("kdk mks",rku_jan_jul,13,FALSE),IF($D$1=$AN$25,HLOOKUP("kdk mks",rku_jan_ags,13,FALSE),IF($D$1=$AN$26,HLOOKUP("kdk mks",rku_jan_sep,13,FALSE),IF($D$1=$AN$27,HLOOKUP("kdk mks",rku_jan_okt,13,FALSE),IF($D$1=$AN$28,HLOOKUP("kdk mks",rku_jan_nov,13,FALSE),0)))))))))))))))))))))))))))</f>
        <v>1925</v>
      </c>
      <c r="Q75" s="84">
        <f>IF($D$1&lt;&gt;"",IF($D$1=$AN$3,HLOOKUP("kdk mks",rku_01.jan,14,FALSE),IF($D$1=$AN$4,HLOOKUP("kdk mks",rku_02.feb,14,FALSE),IF($D$1=$AN$5,HLOOKUP("kdk mks",rku_03.mar,14,FALSE),IF($D$1=$AN$6,HLOOKUP("kdk mks",rku_04.apr,14,FALSE),IF($D$1=$AN$7,HLOOKUP("kdk mks",rku_05.mei,14,FALSE),IF($D$1=$AN$8,HLOOKUP("kdk mks",rku_06.jun,14,FALSE),IF($D$1=$AN$9,HLOOKUP("kdk mks",rku_07.jul,14,FALSE),IF($D$1=$AN$10,HLOOKUP("kdk mks",rku_08.ags,14,FALSE),IF($D$1=$AN$11,HLOOKUP("kdk mks",rku_09.sep,14,FALSE),IF($D$1=$AN$12,HLOOKUP("kdk mks",rku_10.okt,14,FALSE),IF($D$1=$AN$13,HLOOKUP("kdk mks",rku_11.nov,14,FALSE),IF($D$1=$AN$14,HLOOKUP("kdk mks",rku_12.des,14,FALSE),IF($D$1=$AN$15,HLOOKUP("kdk mks",rku_TW_I,14,FALSE),IF($D$1=$AN$16,HLOOKUP("kdk mks",rku_TW_II,14,FALSE),IF($D$1=$AN$17,HLOOKUP("kdk mks",rku_TW_III,14,FALSE),IF($D$1=$AN$18,HLOOKUP("kdk mks",rku_TW_IV,14,FALSE),IF($D$1=$AN$19,HLOOKUP("kdk mks",rku_SM_I,14,FALSE),IF($D$1=$AN$20,HLOOKUP("kdk mks",rku_SM_II,14,FALSE),IF($D$1=$AN$21,HLOOKUP("kdk mks",rku_2013,14,FALSE),IF($D$1=$AN$22,HLOOKUP("kdk mks",rku_jan_apr,14,FALSE),IF($D$1=$AN$23,HLOOKUP("kdk mks",rku_jan_mei,14,FALSE),IF($D$1=$AN$24,HLOOKUP("kdk mks",rku_jan_jul,14,FALSE),IF($D$1=$AN$25,HLOOKUP("kdk mks",rku_jan_ags,14,FALSE),IF($D$1=$AN$26,HLOOKUP("kdk mks",rku_jan_sep,14,FALSE),IF($D$1=$AN$27,HLOOKUP("kdk mks",rku_jan_okt,14,FALSE),IF($D$1=$AN$28,HLOOKUP("kdk mks",rku_jan_nov,14,FALSE),0)))))))))))))))))))))))))))</f>
        <v>7</v>
      </c>
      <c r="R75" s="85">
        <f>+SUM(M75:Q75)</f>
        <v>32845.5</v>
      </c>
      <c r="S75" s="84">
        <f>+R75+L75</f>
        <v>27840105.5</v>
      </c>
      <c r="U75" s="81">
        <v>14</v>
      </c>
      <c r="V75" s="83" t="s">
        <v>214</v>
      </c>
      <c r="W75" s="83" t="s">
        <v>180</v>
      </c>
      <c r="X75" s="84">
        <f t="shared" ref="X75:AD76" si="103">E75/X$100</f>
        <v>9333</v>
      </c>
      <c r="Y75" s="84">
        <f t="shared" si="103"/>
        <v>7363</v>
      </c>
      <c r="Z75" s="84">
        <f t="shared" si="103"/>
        <v>1539</v>
      </c>
      <c r="AA75" s="84">
        <f t="shared" si="103"/>
        <v>2728</v>
      </c>
      <c r="AB75" s="84">
        <f t="shared" si="103"/>
        <v>4121</v>
      </c>
      <c r="AC75" s="84">
        <f t="shared" si="103"/>
        <v>4508</v>
      </c>
      <c r="AD75" s="84">
        <f t="shared" si="103"/>
        <v>1232</v>
      </c>
      <c r="AE75" s="85">
        <f>+SUM(X75:AD75)</f>
        <v>30824</v>
      </c>
      <c r="AF75" s="84">
        <f t="shared" ref="AF75:AJ76" si="104">M75/AF$100</f>
        <v>3407</v>
      </c>
      <c r="AG75" s="84">
        <f t="shared" si="104"/>
        <v>4425</v>
      </c>
      <c r="AH75" s="84">
        <f t="shared" si="104"/>
        <v>1408</v>
      </c>
      <c r="AI75" s="84">
        <f t="shared" si="104"/>
        <v>1925</v>
      </c>
      <c r="AJ75" s="84">
        <f t="shared" si="104"/>
        <v>7</v>
      </c>
      <c r="AK75" s="85">
        <f>+SUM(AF75:AJ75)</f>
        <v>11172</v>
      </c>
      <c r="AL75" s="84">
        <f>+AK75+AE75</f>
        <v>41996</v>
      </c>
    </row>
    <row r="76" spans="2:39" ht="14.25" x14ac:dyDescent="0.2">
      <c r="B76" s="86"/>
      <c r="C76" s="87"/>
      <c r="D76" s="87" t="s">
        <v>182</v>
      </c>
      <c r="E76" s="88">
        <f>IF($D$1&lt;&gt;"",IF($D$1=$AN$3,HLOOKUP("kdk mks",real_rku_01.jan,2,FALSE),IF($D$1=$AN$4,HLOOKUP("kdk mks",real_rku_02.feb,2,FALSE),IF($D$1=$AN$5,HLOOKUP("kdk mks",real_rku_03.mar,2,FALSE),IF($D$1=$AN$6,HLOOKUP("kdk mks",real_rku_04.apr,2,FALSE),IF($D$1=$AN$7,HLOOKUP("kdk mks",real_rku_05.mei,2,FALSE),IF($D$1=$AN$8,HLOOKUP("kdk mks",real_rku_06.jun,2,FALSE),IF($D$1=$AN$9,HLOOKUP("kdk mks",real_rku_07.jul,2,FALSE),IF($D$1=$AN$10,HLOOKUP("kdk mks",real_rku_08.ags,2,FALSE),IF($D$1=$AN$11,HLOOKUP("kdk mks",real_rku_09.sep,2,FALSE),IF($D$1=$AN$12,HLOOKUP("kdk mks",real_rku_10.okt,2,FALSE),IF($D$1=$AN$13,HLOOKUP("kdk mks",real_rku_11.nov,2,FALSE),IF($D$1=$AN$14,HLOOKUP("kdk mks",real_rku_12.des,2,FALSE),IF($D$1=$AN$15,HLOOKUP("kdk mks",real_rku_TW_I,2,FALSE),IF($D$1=$AN$16,HLOOKUP("kdk mks",real_rku_TW_II,2,FALSE),IF($D$1=$AN$17,HLOOKUP("kdk mks",real_rku_TW_III,2,FALSE),IF($D$1=$AN$18,HLOOKUP("kdk mks",real_rku_TW_IV,2,FALSE),IF($D$1=$AN$19,HLOOKUP("kdk mks",real_rku_SM_I,2,FALSE),IF($D$1=$AN$20,HLOOKUP("kdk mks",real_rku_SM_II,2,FALSE),IF($D$1=$AN$21,HLOOKUP("kdk mks",real_rku_2013,2,FALSE),IF($D$1=$AN$22,HLOOKUP("kdk mks",real_rku_jan_apr,2,FALSE),IF($D$1=$AN$23,HLOOKUP("kdk mks",real_rku_jan_mei,2,FALSE),IF($D$1=$AN$24,HLOOKUP("kdk mks",real_rku_jan_jul,2,FALSE),IF($D$1=$AN$25,HLOOKUP("kdk mks",real_rku_jan_ags,2,FALSE),IF($D$1=$AN$26,HLOOKUP("kdk mks",real_rku_jan_sep,2,FALSE),IF($D$1=$AN$27,HLOOKUP("kdk mks",real_rku_jan_okt,2,FALSE),IF($D$1=$AN$28,HLOOKUP("kdk mks",real_rku_jan_nov,2,FALSE),0)))))))))))))))))))))))))))</f>
        <v>17000000</v>
      </c>
      <c r="F76" s="88">
        <f>IF($D$1&lt;&gt;"",IF($D$1=$AN$3,HLOOKUP("kdk mks",real_rku_01.jan,3,FALSE),IF($D$1=$AN$4,HLOOKUP("kdk mks",real_rku_02.feb,3,FALSE),IF($D$1=$AN$5,HLOOKUP("kdk mks",real_rku_03.mar,3,FALSE),IF($D$1=$AN$6,HLOOKUP("kdk mks",real_rku_04.apr,3,FALSE),IF($D$1=$AN$7,HLOOKUP("kdk mks",real_rku_05.mei,3,FALSE),IF($D$1=$AN$8,HLOOKUP("kdk mks",real_rku_06.jun,3,FALSE),IF($D$1=$AN$9,HLOOKUP("kdk mks",real_rku_07.jul,3,FALSE),IF($D$1=$AN$10,HLOOKUP("kdk mks",real_rku_08.ags,3,FALSE),IF($D$1=$AN$11,HLOOKUP("kdk mks",real_rku_09.sep,3,FALSE),IF($D$1=$AN$12,HLOOKUP("kdk mks",real_rku_10.okt,3,FALSE),IF($D$1=$AN$13,HLOOKUP("kdk mks",real_rku_11.nov,3,FALSE),IF($D$1=$AN$14,HLOOKUP("kdk mks",real_rku_12.des,3,FALSE),IF($D$1=$AN$15,HLOOKUP("kdk mks",real_rku_TW_I,3,FALSE),IF($D$1=$AN$16,HLOOKUP("kdk mks",real_rku_TW_II,3,FALSE),IF($D$1=$AN$17,HLOOKUP("kdk mks",real_rku_TW_III,3,FALSE),IF($D$1=$AN$18,HLOOKUP("kdk mks",real_rku_TW_IV,3,FALSE),IF($D$1=$AN$19,HLOOKUP("kdk mks",real_rku_SM_I,3,FALSE),IF($D$1=$AN$20,HLOOKUP("kdk mks",real_rku_SM_II,3,FALSE),IF($D$1=$AN$21,HLOOKUP("kdk mks",real_rku_2013,3,FALSE),IF($D$1=$AN$22,HLOOKUP("kdk mks",real_rku_jan_apr,3,FALSE),IF($D$1=$AN$23,HLOOKUP("kdk mks",real_rku_jan_mei,3,FALSE),IF($D$1=$AN$24,HLOOKUP("kdk mks",real_rku_jan_jul,3,FALSE),IF($D$1=$AN$25,HLOOKUP("kdk mks",real_rku_jan_ags,3,FALSE),IF($D$1=$AN$26,HLOOKUP("kdk mks",real_rku_jan_sep,3,FALSE),IF($D$1=$AN$27,HLOOKUP("kdk mks",real_rku_jan_okt,3,FALSE),IF($D$1=$AN$28,HLOOKUP("kdk mks",real_rku_jan_nov,3,FALSE),0)))))))))))))))))))))))))))</f>
        <v>8200000</v>
      </c>
      <c r="G76" s="88">
        <f>IF($D$1&lt;&gt;"",IF($D$1=$AN$3,HLOOKUP("kdk mks",real_rku_01.jan,4,FALSE),IF($D$1=$AN$4,HLOOKUP("kdk mks",real_rku_02.feb,4,FALSE),IF($D$1=$AN$5,HLOOKUP("kdk mks",real_rku_03.mar,4,FALSE),IF($D$1=$AN$6,HLOOKUP("kdk mks",real_rku_04.apr,4,FALSE),IF($D$1=$AN$7,HLOOKUP("kdk mks",real_rku_05.mei,4,FALSE),IF($D$1=$AN$8,HLOOKUP("kdk mks",real_rku_06.jun,4,FALSE),IF($D$1=$AN$9,HLOOKUP("kdk mks",real_rku_07.jul,4,FALSE),IF($D$1=$AN$10,HLOOKUP("kdk mks",real_rku_08.ags,4,FALSE),IF($D$1=$AN$11,HLOOKUP("kdk mks",real_rku_09.sep,4,FALSE),IF($D$1=$AN$12,HLOOKUP("kdk mks",real_rku_10.okt,4,FALSE),IF($D$1=$AN$13,HLOOKUP("kdk mks",real_rku_11.nov,4,FALSE),IF($D$1=$AN$14,HLOOKUP("kdk mks",real_rku_12.des,4,FALSE),IF($D$1=$AN$15,HLOOKUP("kdk mks",real_rku_TW_I,4,FALSE),IF($D$1=$AN$16,HLOOKUP("kdk mks",real_rku_TW_II,4,FALSE),IF($D$1=$AN$17,HLOOKUP("kdk mks",real_rku_TW_III,4,FALSE),IF($D$1=$AN$18,HLOOKUP("kdk mks",real_rku_TW_IV,4,FALSE),IF($D$1=$AN$19,HLOOKUP("kdk mks",real_rku_SM_I,4,FALSE),IF($D$1=$AN$20,HLOOKUP("kdk mks",real_rku_SM_II,4,FALSE),IF($D$1=$AN$21,HLOOKUP("kdk mks",real_rku_2013,4,FALSE),IF($D$1=$AN$22,HLOOKUP("kdk mks",real_rku_jan_apr,4,FALSE),IF($D$1=$AN$23,HLOOKUP("kdk mks",real_rku_jan_mei,4,FALSE),IF($D$1=$AN$24,HLOOKUP("kdk mks",real_rku_jan_jul,4,FALSE),IF($D$1=$AN$25,HLOOKUP("kdk mks",real_rku_jan_ags,4,FALSE),IF($D$1=$AN$26,HLOOKUP("kdk mks",real_rku_jan_sep,4,FALSE),IF($D$1=$AN$27,HLOOKUP("kdk mks",real_rku_jan_okt,4,FALSE),IF($D$1=$AN$28,HLOOKUP("kdk mks",real_rku_jan_nov,4,FALSE),0)))))))))))))))))))))))))))</f>
        <v>940000</v>
      </c>
      <c r="H76" s="88">
        <f>IF($D$1&lt;&gt;"",IF($D$1=$AN$3,HLOOKUP("kdk mks",real_rku_01.jan,5,FALSE),IF($D$1=$AN$4,HLOOKUP("kdk mks",real_rku_02.feb,5,FALSE),IF($D$1=$AN$5,HLOOKUP("kdk mks",real_rku_03.mar,5,FALSE),IF($D$1=$AN$6,HLOOKUP("kdk mks",real_rku_04.apr,5,FALSE),IF($D$1=$AN$7,HLOOKUP("kdk mks",real_rku_05.mei,5,FALSE),IF($D$1=$AN$8,HLOOKUP("kdk mks",real_rku_06.jun,5,FALSE),IF($D$1=$AN$9,HLOOKUP("kdk mks",real_rku_07.jul,5,FALSE),IF($D$1=$AN$10,HLOOKUP("kdk mks",real_rku_08.ags,5,FALSE),IF($D$1=$AN$11,HLOOKUP("kdk mks",real_rku_09.sep,5,FALSE),IF($D$1=$AN$12,HLOOKUP("kdk mks",real_rku_10.okt,5,FALSE),IF($D$1=$AN$13,HLOOKUP("kdk mks",real_rku_11.nov,5,FALSE),IF($D$1=$AN$14,HLOOKUP("kdk mks",real_rku_12.des,5,FALSE),IF($D$1=$AN$15,HLOOKUP("kdk mks",real_rku_TW_I,5,FALSE),IF($D$1=$AN$16,HLOOKUP("kdk mks",real_rku_TW_II,5,FALSE),IF($D$1=$AN$17,HLOOKUP("kdk mks",real_rku_TW_III,5,FALSE),IF($D$1=$AN$18,HLOOKUP("kdk mks",real_rku_TW_IV,5,FALSE),IF($D$1=$AN$19,HLOOKUP("kdk mks",real_rku_SM_I,5,FALSE),IF($D$1=$AN$20,HLOOKUP("kdk mks",real_rku_SM_II,5,FALSE),IF($D$1=$AN$21,HLOOKUP("kdk mks",real_rku_2013,5,FALSE),IF($D$1=$AN$22,HLOOKUP("kdk mks",real_rku_jan_apr,5,FALSE),IF($D$1=$AN$23,HLOOKUP("kdk mks",real_rku_jan_mei,5,FALSE),IF($D$1=$AN$24,HLOOKUP("kdk mks",real_rku_jan_jul,5,FALSE),IF($D$1=$AN$25,HLOOKUP("kdk mks",real_rku_jan_ags,5,FALSE),IF($D$1=$AN$26,HLOOKUP("kdk mks",real_rku_jan_sep,5,FALSE),IF($D$1=$AN$27,HLOOKUP("kdk mks",real_rku_jan_okt,5,FALSE),IF($D$1=$AN$28,HLOOKUP("kdk mks",real_rku_jan_nov,5,FALSE),0)))))))))))))))))))))))))))</f>
        <v>780000</v>
      </c>
      <c r="I76" s="88">
        <f>IF($D$1&lt;&gt;"",IF($D$1=$AN$3,HLOOKUP("kdk mks",real_rku_01.jan,6,FALSE),IF($D$1=$AN$4,HLOOKUP("kdk mks",real_rku_02.feb,6,FALSE),IF($D$1=$AN$5,HLOOKUP("kdk mks",real_rku_03.mar,6,FALSE),IF($D$1=$AN$6,HLOOKUP("kdk mks",real_rku_04.apr,6,FALSE),IF($D$1=$AN$7,HLOOKUP("kdk mks",real_rku_05.mei,6,FALSE),IF($D$1=$AN$8,HLOOKUP("kdk mks",real_rku_06.jun,6,FALSE),IF($D$1=$AN$9,HLOOKUP("kdk mks",real_rku_07.jul,6,FALSE),IF($D$1=$AN$10,HLOOKUP("kdk mks",real_rku_08.ags,6,FALSE),IF($D$1=$AN$11,HLOOKUP("kdk mks",real_rku_09.sep,6,FALSE),IF($D$1=$AN$12,HLOOKUP("kdk mks",real_rku_10.okt,6,FALSE),IF($D$1=$AN$13,HLOOKUP("kdk mks",real_rku_11.nov,6,FALSE),IF($D$1=$AN$14,HLOOKUP("kdk mks",real_rku_12.des,6,FALSE),IF($D$1=$AN$15,HLOOKUP("kdk mks",real_rku_TW_I,6,FALSE),IF($D$1=$AN$16,HLOOKUP("kdk mks",real_rku_TW_II,6,FALSE),IF($D$1=$AN$17,HLOOKUP("kdk mks",real_rku_TW_III,6,FALSE),IF($D$1=$AN$18,HLOOKUP("kdk mks",real_rku_TW_IV,6,FALSE),IF($D$1=$AN$19,HLOOKUP("kdk mks",real_rku_SM_I,6,FALSE),IF($D$1=$AN$20,HLOOKUP("kdk mks",real_rku_SM_II,6,FALSE),IF($D$1=$AN$21,HLOOKUP("kdk mks",real_rku_2013,6,FALSE),IF($D$1=$AN$22,HLOOKUP("kdk mks",real_rku_jan_apr,6,FALSE),IF($D$1=$AN$23,HLOOKUP("kdk mks",real_rku_jan_mei,6,FALSE),IF($D$1=$AN$24,HLOOKUP("kdk mks",real_rku_jan_jul,6,FALSE),IF($D$1=$AN$25,HLOOKUP("kdk mks",real_rku_jan_ags,6,FALSE),IF($D$1=$AN$26,HLOOKUP("kdk mks",real_rku_jan_sep,6,FALSE),IF($D$1=$AN$27,HLOOKUP("kdk mks",real_rku_jan_okt,6,FALSE),IF($D$1=$AN$28,HLOOKUP("kdk mks",real_rku_jan_nov,6,FALSE),0)))))))))))))))))))))))))))</f>
        <v>535000</v>
      </c>
      <c r="J76" s="88">
        <f>IF($D$1&lt;&gt;"",IF($D$1=$AN$3,HLOOKUP("kdk mks",real_rku_01.jan,7,FALSE),IF($D$1=$AN$4,HLOOKUP("kdk mks",real_rku_02.feb,7,FALSE),IF($D$1=$AN$5,HLOOKUP("kdk mks",real_rku_03.mar,7,FALSE),IF($D$1=$AN$6,HLOOKUP("kdk mks",real_rku_04.apr,7,FALSE),IF($D$1=$AN$7,HLOOKUP("kdk mks",real_rku_05.mei,7,FALSE),IF($D$1=$AN$8,HLOOKUP("kdk mks",real_rku_06.jun,7,FALSE),IF($D$1=$AN$9,HLOOKUP("kdk mks",real_rku_07.jul,7,FALSE),IF($D$1=$AN$10,HLOOKUP("kdk mks",real_rku_08.ags,7,FALSE),IF($D$1=$AN$11,HLOOKUP("kdk mks",real_rku_09.sep,7,FALSE),IF($D$1=$AN$12,HLOOKUP("kdk mks",real_rku_10.okt,7,FALSE),IF($D$1=$AN$13,HLOOKUP("kdk mks",real_rku_11.nov,7,FALSE),IF($D$1=$AN$14,HLOOKUP("kdk mks",real_rku_12.des,7,FALSE),IF($D$1=$AN$15,HLOOKUP("kdk mks",real_rku_TW_I,7,FALSE),IF($D$1=$AN$16,HLOOKUP("kdk mks",real_rku_TW_II,7,FALSE),IF($D$1=$AN$17,HLOOKUP("kdk mks",real_rku_TW_III,7,FALSE),IF($D$1=$AN$18,HLOOKUP("kdk mks",real_rku_TW_IV,7,FALSE),IF($D$1=$AN$19,HLOOKUP("kdk mks",real_rku_SM_I,7,FALSE),IF($D$1=$AN$20,HLOOKUP("kdk mks",real_rku_SM_II,7,FALSE),IF($D$1=$AN$21,HLOOKUP("kdk mks",real_rku_2013,7,FALSE),IF($D$1=$AN$22,HLOOKUP("kdk mks",real_rku_jan_apr,7,FALSE),IF($D$1=$AN$23,HLOOKUP("kdk mks",real_rku_jan_mei,7,FALSE),IF($D$1=$AN$24,HLOOKUP("kdk mks",real_rku_jan_jul,7,FALSE),IF($D$1=$AN$25,HLOOKUP("kdk mks",real_rku_jan_ags,7,FALSE),IF($D$1=$AN$26,HLOOKUP("kdk mks",real_rku_jan_sep,7,FALSE),IF($D$1=$AN$27,HLOOKUP("kdk mks",real_rku_jan_okt,7,FALSE),IF($D$1=$AN$28,HLOOKUP("kdk mks",real_rku_jan_nov,7,FALSE),0)))))))))))))))))))))))))))</f>
        <v>240000</v>
      </c>
      <c r="K76" s="88">
        <f>IF($D$1&lt;&gt;"",IF($D$1=$AN$3,HLOOKUP("kdk mks",real_rku_01.jan,8,FALSE),IF($D$1=$AN$4,HLOOKUP("kdk mks",real_rku_02.feb,8,FALSE),IF($D$1=$AN$5,HLOOKUP("kdk mks",real_rku_03.mar,8,FALSE),IF($D$1=$AN$6,HLOOKUP("kdk mks",real_rku_04.apr,8,FALSE),IF($D$1=$AN$7,HLOOKUP("kdk mks",real_rku_05.mei,8,FALSE),IF($D$1=$AN$8,HLOOKUP("kdk mks",real_rku_06.jun,8,FALSE),IF($D$1=$AN$9,HLOOKUP("kdk mks",real_rku_07.jul,8,FALSE),IF($D$1=$AN$10,HLOOKUP("kdk mks",real_rku_08.ags,8,FALSE),IF($D$1=$AN$11,HLOOKUP("kdk mks",real_rku_09.sep,8,FALSE),IF($D$1=$AN$12,HLOOKUP("kdk mks",real_rku_10.okt,8,FALSE),IF($D$1=$AN$13,HLOOKUP("kdk mks",real_rku_11.nov,8,FALSE),IF($D$1=$AN$14,HLOOKUP("kdk mks",real_rku_12.des,8,FALSE),IF($D$1=$AN$15,HLOOKUP("kdk mks",real_rku_TW_I,8,FALSE),IF($D$1=$AN$16,HLOOKUP("kdk mks",real_rku_TW_II,8,FALSE),IF($D$1=$AN$17,HLOOKUP("kdk mks",real_rku_TW_III,8,FALSE),IF($D$1=$AN$18,HLOOKUP("kdk mks",real_rku_TW_IV,8,FALSE),IF($D$1=$AN$19,HLOOKUP("kdk mks",real_rku_SM_I,8,FALSE),IF($D$1=$AN$20,HLOOKUP("kdk mks",real_rku_SM_II,8,FALSE),IF($D$1=$AN$21,HLOOKUP("kdk mks",real_rku_2013,8,FALSE),IF($D$1=$AN$22,HLOOKUP("kdk mks",real_rku_jan_apr,8,FALSE),IF($D$1=$AN$23,HLOOKUP("kdk mks",real_rku_jan_mei,8,FALSE),IF($D$1=$AN$24,HLOOKUP("kdk mks",real_rku_jan_jul,8,FALSE),IF($D$1=$AN$25,HLOOKUP("kdk mks",real_rku_jan_ags,8,FALSE),IF($D$1=$AN$26,HLOOKUP("kdk mks",real_rku_jan_sep,8,FALSE),IF($D$1=$AN$27,HLOOKUP("kdk mks",real_rku_jan_okt,8,FALSE),IF($D$1=$AN$28,HLOOKUP("kdk mks",real_rku_jan_nov,8,FALSE),0)))))))))))))))))))))))))))</f>
        <v>28000</v>
      </c>
      <c r="L76" s="89">
        <f>+SUM(E76:K76)</f>
        <v>27723000</v>
      </c>
      <c r="M76" s="88">
        <f>IF($D$1&lt;&gt;"",IF($D$1=$AN$3,HLOOKUP("kdk mks",real_rku_01.jan,10,FALSE),IF($D$1=$AN$4,HLOOKUP("kdk mks",real_rku_02.feb,10,FALSE),IF($D$1=$AN$5,HLOOKUP("kdk mks",real_rku_03.mar,10,FALSE),IF($D$1=$AN$6,HLOOKUP("kdk mks",real_rku_04.apr,10,FALSE),IF($D$1=$AN$7,HLOOKUP("kdk mks",real_rku_05.mei,10,FALSE),IF($D$1=$AN$8,HLOOKUP("kdk mks",real_rku_06.jun,10,FALSE),IF($D$1=$AN$9,HLOOKUP("kdk mks",real_rku_07.jul,10,FALSE),IF($D$1=$AN$10,HLOOKUP("kdk mks",real_rku_08.ags,10,FALSE),IF($D$1=$AN$11,HLOOKUP("kdk mks",real_rku_09.sep,10,FALSE),IF($D$1=$AN$12,HLOOKUP("kdk mks",real_rku_10.okt,10,FALSE),IF($D$1=$AN$13,HLOOKUP("kdk mks",real_rku_11.nov,10,FALSE),IF($D$1=$AN$14,HLOOKUP("kdk mks",real_rku_12.des,10,FALSE),IF($D$1=$AN$15,HLOOKUP("kdk mks",real_rku_TW_I,10,FALSE),IF($D$1=$AN$16,HLOOKUP("kdk mks",real_rku_TW_II,10,FALSE),IF($D$1=$AN$17,HLOOKUP("kdk mks",real_rku_TW_III,10,FALSE),IF($D$1=$AN$18,HLOOKUP("kdk mks",real_rku_TW_IV,10,FALSE),IF($D$1=$AN$19,HLOOKUP("kdk mks",real_rku_SM_I,10,FALSE),IF($D$1=$AN$20,HLOOKUP("kdk mks",real_rku_SM_II,10,FALSE),IF($D$1=$AN$21,HLOOKUP("kdk mks",real_rku_2013,10,FALSE),IF($D$1=$AN$22,HLOOKUP("kdk mks",real_rku_jan_apr,10,FALSE),IF($D$1=$AN$23,HLOOKUP("kdk mks",real_rku_jan_mei,10,FALSE),IF($D$1=$AN$24,HLOOKUP("kdk mks",real_rku_jan_jul,10,FALSE),IF($D$1=$AN$25,HLOOKUP("kdk mks",real_rku_jan_ags,10,FALSE),IF($D$1=$AN$26,HLOOKUP("kdk mks",real_rku_jan_sep,10,FALSE),IF($D$1=$AN$27,HLOOKUP("kdk mks",real_rku_jan_okt,10,FALSE),IF($D$1=$AN$28,HLOOKUP("kdk mks",real_rku_jan_nov,10,FALSE),0)))))))))))))))))))))))))))</f>
        <v>19500</v>
      </c>
      <c r="N76" s="88">
        <f>IF($D$1&lt;&gt;"",IF($D$1=$AN$3,HLOOKUP("kdk mks",real_rku_01.jan,11,FALSE),IF($D$1=$AN$4,HLOOKUP("kdk mks",real_rku_02.feb,11,FALSE),IF($D$1=$AN$5,HLOOKUP("kdk mks",real_rku_03.mar,11,FALSE),IF($D$1=$AN$6,HLOOKUP("kdk mks",real_rku_04.apr,11,FALSE),IF($D$1=$AN$7,HLOOKUP("kdk mks",real_rku_05.mei,11,FALSE),IF($D$1=$AN$8,HLOOKUP("kdk mks",real_rku_06.jun,11,FALSE),IF($D$1=$AN$9,HLOOKUP("kdk mks",real_rku_07.jul,11,FALSE),IF($D$1=$AN$10,HLOOKUP("kdk mks",real_rku_08.ags,11,FALSE),IF($D$1=$AN$11,HLOOKUP("kdk mks",real_rku_09.sep,11,FALSE),IF($D$1=$AN$12,HLOOKUP("kdk mks",real_rku_10.okt,11,FALSE),IF($D$1=$AN$13,HLOOKUP("kdk mks",real_rku_11.nov,11,FALSE),IF($D$1=$AN$14,HLOOKUP("kdk mks",real_rku_12.des,11,FALSE),IF($D$1=$AN$15,HLOOKUP("kdk mks",real_rku_TW_I,11,FALSE),IF($D$1=$AN$16,HLOOKUP("kdk mks",real_rku_TW_II,11,FALSE),IF($D$1=$AN$17,HLOOKUP("kdk mks",real_rku_TW_III,11,FALSE),IF($D$1=$AN$18,HLOOKUP("kdk mks",real_rku_TW_IV,11,FALSE),IF($D$1=$AN$19,HLOOKUP("kdk mks",real_rku_SM_I,11,FALSE),IF($D$1=$AN$20,HLOOKUP("kdk mks",real_rku_SM_II,11,FALSE),IF($D$1=$AN$21,HLOOKUP("kdk mks",real_rku_2013,11,FALSE),IF($D$1=$AN$22,HLOOKUP("kdk mks",real_rku_jan_apr,11,FALSE),IF($D$1=$AN$23,HLOOKUP("kdk mks",real_rku_jan_mei,11,FALSE),IF($D$1=$AN$24,HLOOKUP("kdk mks",real_rku_jan_jul,11,FALSE),IF($D$1=$AN$25,HLOOKUP("kdk mks",real_rku_jan_ags,11,FALSE),IF($D$1=$AN$26,HLOOKUP("kdk mks",real_rku_jan_sep,11,FALSE),IF($D$1=$AN$27,HLOOKUP("kdk mks",real_rku_jan_okt,11,FALSE),IF($D$1=$AN$28,HLOOKUP("kdk mks",real_rku_jan_nov,11,FALSE),0)))))))))))))))))))))))))))</f>
        <v>11250</v>
      </c>
      <c r="O76" s="88">
        <f>IF($D$1&lt;&gt;"",IF($D$1=$AN$3,HLOOKUP("kdk mks",real_rku_01.jan,12,FALSE),IF($D$1=$AN$4,HLOOKUP("kdk mks",real_rku_02.feb,12,FALSE),IF($D$1=$AN$5,HLOOKUP("kdk mks",real_rku_03.mar,12,FALSE),IF($D$1=$AN$6,HLOOKUP("kdk mks",real_rku_04.apr,12,FALSE),IF($D$1=$AN$7,HLOOKUP("kdk mks",real_rku_05.mei,12,FALSE),IF($D$1=$AN$8,HLOOKUP("kdk mks",real_rku_06.jun,12,FALSE),IF($D$1=$AN$9,HLOOKUP("kdk mks",real_rku_07.jul,12,FALSE),IF($D$1=$AN$10,HLOOKUP("kdk mks",real_rku_08.ags,12,FALSE),IF($D$1=$AN$11,HLOOKUP("kdk mks",real_rku_09.sep,12,FALSE),IF($D$1=$AN$12,HLOOKUP("kdk mks",real_rku_10.okt,12,FALSE),IF($D$1=$AN$13,HLOOKUP("kdk mks",real_rku_11.nov,12,FALSE),IF($D$1=$AN$14,HLOOKUP("kdk mks",real_rku_12.des,12,FALSE),IF($D$1=$AN$15,HLOOKUP("kdk mks",real_rku_TW_I,12,FALSE),IF($D$1=$AN$16,HLOOKUP("kdk mks",real_rku_TW_II,12,FALSE),IF($D$1=$AN$17,HLOOKUP("kdk mks",real_rku_TW_III,12,FALSE),IF($D$1=$AN$18,HLOOKUP("kdk mks",real_rku_TW_IV,12,FALSE),IF($D$1=$AN$19,HLOOKUP("kdk mks",real_rku_SM_I,12,FALSE),IF($D$1=$AN$20,HLOOKUP("kdk mks",real_rku_SM_II,12,FALSE),IF($D$1=$AN$21,HLOOKUP("kdk mks",real_rku_2013,12,FALSE),IF($D$1=$AN$22,HLOOKUP("kdk mks",real_rku_jan_apr,12,FALSE),IF($D$1=$AN$23,HLOOKUP("kdk mks",real_rku_jan_mei,12,FALSE),IF($D$1=$AN$24,HLOOKUP("kdk mks",real_rku_jan_jul,12,FALSE),IF($D$1=$AN$25,HLOOKUP("kdk mks",real_rku_jan_ags,12,FALSE),IF($D$1=$AN$26,HLOOKUP("kdk mks",real_rku_jan_sep,12,FALSE),IF($D$1=$AN$27,HLOOKUP("kdk mks",real_rku_jan_okt,12,FALSE),IF($D$1=$AN$28,HLOOKUP("kdk mks",real_rku_jan_nov,12,FALSE),0)))))))))))))))))))))))))))</f>
        <v>3800</v>
      </c>
      <c r="P76" s="88">
        <f>IF($D$1&lt;&gt;"",IF($D$1=$AN$3,HLOOKUP("kdk mks",real_rku_01.jan,13,FALSE),IF($D$1=$AN$4,HLOOKUP("kdk mks",real_rku_02.feb,13,FALSE),IF($D$1=$AN$5,HLOOKUP("kdk mks",real_rku_03.mar,13,FALSE),IF($D$1=$AN$6,HLOOKUP("kdk mks",real_rku_04.apr,13,FALSE),IF($D$1=$AN$7,HLOOKUP("kdk mks",real_rku_05.mei,13,FALSE),IF($D$1=$AN$8,HLOOKUP("kdk mks",real_rku_06.jun,13,FALSE),IF($D$1=$AN$9,HLOOKUP("kdk mks",real_rku_07.jul,13,FALSE),IF($D$1=$AN$10,HLOOKUP("kdk mks",real_rku_08.ags,13,FALSE),IF($D$1=$AN$11,HLOOKUP("kdk mks",real_rku_09.sep,13,FALSE),IF($D$1=$AN$12,HLOOKUP("kdk mks",real_rku_10.okt,13,FALSE),IF($D$1=$AN$13,HLOOKUP("kdk mks",real_rku_11.nov,13,FALSE),IF($D$1=$AN$14,HLOOKUP("kdk mks",real_rku_12.des,13,FALSE),IF($D$1=$AN$15,HLOOKUP("kdk mks",real_rku_TW_I,13,FALSE),IF($D$1=$AN$16,HLOOKUP("kdk mks",real_rku_TW_II,13,FALSE),IF($D$1=$AN$17,HLOOKUP("kdk mks",real_rku_TW_III,13,FALSE),IF($D$1=$AN$18,HLOOKUP("kdk mks",real_rku_TW_IV,13,FALSE),IF($D$1=$AN$19,HLOOKUP("kdk mks",real_rku_SM_I,13,FALSE),IF($D$1=$AN$20,HLOOKUP("kdk mks",real_rku_SM_II,13,FALSE),IF($D$1=$AN$21,HLOOKUP("kdk mks",real_rku_2013,13,FALSE),IF($D$1=$AN$22,HLOOKUP("kdk mks",real_rku_jan_apr,13,FALSE),IF($D$1=$AN$23,HLOOKUP("kdk mks",real_rku_jan_mei,13,FALSE),IF($D$1=$AN$24,HLOOKUP("kdk mks",real_rku_jan_jul,13,FALSE),IF($D$1=$AN$25,HLOOKUP("kdk mks",real_rku_jan_ags,13,FALSE),IF($D$1=$AN$26,HLOOKUP("kdk mks",real_rku_jan_sep,13,FALSE),IF($D$1=$AN$27,HLOOKUP("kdk mks",real_rku_jan_okt,13,FALSE),IF($D$1=$AN$28,HLOOKUP("kdk mks",real_rku_jan_nov,13,FALSE),0)))))))))))))))))))))))))))</f>
        <v>1800</v>
      </c>
      <c r="Q76" s="88">
        <f>IF($D$1&lt;&gt;"",IF($D$1=$AN$3,HLOOKUP("kdk mks",real_rku_01.jan,14,FALSE),IF($D$1=$AN$4,HLOOKUP("kdk mks",real_rku_02.feb,14,FALSE),IF($D$1=$AN$5,HLOOKUP("kdk mks",real_rku_03.mar,14,FALSE),IF($D$1=$AN$6,HLOOKUP("kdk mks",real_rku_04.apr,14,FALSE),IF($D$1=$AN$7,HLOOKUP("kdk mks",real_rku_05.mei,14,FALSE),IF($D$1=$AN$8,HLOOKUP("kdk mks",real_rku_06.jun,14,FALSE),IF($D$1=$AN$9,HLOOKUP("kdk mks",real_rku_07.jul,14,FALSE),IF($D$1=$AN$10,HLOOKUP("kdk mks",real_rku_08.ags,14,FALSE),IF($D$1=$AN$11,HLOOKUP("kdk mks",real_rku_09.sep,14,FALSE),IF($D$1=$AN$12,HLOOKUP("kdk mks",real_rku_10.okt,14,FALSE),IF($D$1=$AN$13,HLOOKUP("kdk mks",real_rku_11.nov,14,FALSE),IF($D$1=$AN$14,HLOOKUP("kdk mks",real_rku_12.des,14,FALSE),IF($D$1=$AN$15,HLOOKUP("kdk mks",real_rku_TW_I,14,FALSE),IF($D$1=$AN$16,HLOOKUP("kdk mks",real_rku_TW_II,14,FALSE),IF($D$1=$AN$17,HLOOKUP("kdk mks",real_rku_TW_III,14,FALSE),IF($D$1=$AN$18,HLOOKUP("kdk mks",real_rku_TW_IV,14,FALSE),IF($D$1=$AN$19,HLOOKUP("kdk mks",real_rku_SM_I,14,FALSE),IF($D$1=$AN$20,HLOOKUP("kdk mks",real_rku_SM_II,14,FALSE),IF($D$1=$AN$21,HLOOKUP("kdk mks",real_rku_2013,14,FALSE),IF($D$1=$AN$22,HLOOKUP("kdk mks",real_rku_jan_apr,14,FALSE),IF($D$1=$AN$23,HLOOKUP("kdk mks",real_rku_jan_mei,14,FALSE),IF($D$1=$AN$24,HLOOKUP("kdk mks",real_rku_jan_jul,14,FALSE),IF($D$1=$AN$25,HLOOKUP("kdk mks",real_rku_jan_ags,14,FALSE),IF($D$1=$AN$26,HLOOKUP("kdk mks",real_rku_jan_sep,14,FALSE),IF($D$1=$AN$27,HLOOKUP("kdk mks",real_rku_jan_okt,14,FALSE),IF($D$1=$AN$28,HLOOKUP("kdk mks",real_rku_jan_nov,14,FALSE),0)))))))))))))))))))))))))))</f>
        <v>0</v>
      </c>
      <c r="R76" s="89">
        <f>+SUM(M76:Q76)</f>
        <v>36350</v>
      </c>
      <c r="S76" s="88">
        <f>+R76+L76</f>
        <v>27759350</v>
      </c>
      <c r="T76" s="76"/>
      <c r="U76" s="86"/>
      <c r="V76" s="87"/>
      <c r="W76" s="87" t="s">
        <v>182</v>
      </c>
      <c r="X76" s="88">
        <f t="shared" si="103"/>
        <v>8500</v>
      </c>
      <c r="Y76" s="88">
        <f t="shared" si="103"/>
        <v>8200</v>
      </c>
      <c r="Z76" s="88">
        <f t="shared" si="103"/>
        <v>2350</v>
      </c>
      <c r="AA76" s="88">
        <f t="shared" si="103"/>
        <v>3900</v>
      </c>
      <c r="AB76" s="88">
        <f t="shared" si="103"/>
        <v>5350</v>
      </c>
      <c r="AC76" s="88">
        <f t="shared" si="103"/>
        <v>6000</v>
      </c>
      <c r="AD76" s="88">
        <f t="shared" si="103"/>
        <v>1400</v>
      </c>
      <c r="AE76" s="89">
        <f>+SUM(X76:AD76)</f>
        <v>35700</v>
      </c>
      <c r="AF76" s="88">
        <f t="shared" si="104"/>
        <v>3900</v>
      </c>
      <c r="AG76" s="88">
        <f t="shared" si="104"/>
        <v>4500</v>
      </c>
      <c r="AH76" s="88">
        <f t="shared" si="104"/>
        <v>1900</v>
      </c>
      <c r="AI76" s="88">
        <f t="shared" si="104"/>
        <v>1800</v>
      </c>
      <c r="AJ76" s="88">
        <f t="shared" si="104"/>
        <v>0</v>
      </c>
      <c r="AK76" s="89">
        <f>+SUM(AF76:AJ76)</f>
        <v>12100</v>
      </c>
      <c r="AL76" s="88">
        <f>+AK76+AE76</f>
        <v>47800</v>
      </c>
    </row>
    <row r="77" spans="2:39" ht="14.25" x14ac:dyDescent="0.2">
      <c r="B77" s="86"/>
      <c r="C77" s="87"/>
      <c r="D77" s="87" t="s">
        <v>184</v>
      </c>
      <c r="E77" s="88">
        <f t="shared" ref="E77:K77" si="105">+E75-E76</f>
        <v>1666000</v>
      </c>
      <c r="F77" s="88">
        <f t="shared" si="105"/>
        <v>-837000</v>
      </c>
      <c r="G77" s="88">
        <f t="shared" si="105"/>
        <v>-324400</v>
      </c>
      <c r="H77" s="88">
        <f t="shared" si="105"/>
        <v>-234400</v>
      </c>
      <c r="I77" s="88">
        <f t="shared" si="105"/>
        <v>-122900</v>
      </c>
      <c r="J77" s="88">
        <f t="shared" si="105"/>
        <v>-59680</v>
      </c>
      <c r="K77" s="88">
        <f t="shared" si="105"/>
        <v>-3360</v>
      </c>
      <c r="L77" s="89">
        <f>+SUM(E77:K77)</f>
        <v>84260</v>
      </c>
      <c r="M77" s="88">
        <f>+M75-M76</f>
        <v>-2465</v>
      </c>
      <c r="N77" s="88">
        <f>+N75-N76</f>
        <v>-187.5</v>
      </c>
      <c r="O77" s="88">
        <f>+O75-O76</f>
        <v>-984</v>
      </c>
      <c r="P77" s="88">
        <f>+P75-P76</f>
        <v>125</v>
      </c>
      <c r="Q77" s="88">
        <f>+Q75-Q76</f>
        <v>7</v>
      </c>
      <c r="R77" s="89">
        <f>+SUM(M77:Q77)</f>
        <v>-3504.5</v>
      </c>
      <c r="S77" s="88">
        <f>+R77+L77</f>
        <v>80755.5</v>
      </c>
      <c r="T77" s="88"/>
      <c r="U77" s="86"/>
      <c r="V77" s="87"/>
      <c r="W77" s="87" t="s">
        <v>184</v>
      </c>
      <c r="X77" s="88">
        <f t="shared" ref="X77:AD77" si="106">+X75-X76</f>
        <v>833</v>
      </c>
      <c r="Y77" s="88">
        <f t="shared" si="106"/>
        <v>-837</v>
      </c>
      <c r="Z77" s="88">
        <f t="shared" si="106"/>
        <v>-811</v>
      </c>
      <c r="AA77" s="88">
        <f t="shared" si="106"/>
        <v>-1172</v>
      </c>
      <c r="AB77" s="88">
        <f t="shared" si="106"/>
        <v>-1229</v>
      </c>
      <c r="AC77" s="88">
        <f t="shared" si="106"/>
        <v>-1492</v>
      </c>
      <c r="AD77" s="88">
        <f t="shared" si="106"/>
        <v>-168</v>
      </c>
      <c r="AE77" s="89">
        <f>+SUM(X77:AD77)</f>
        <v>-4876</v>
      </c>
      <c r="AF77" s="88">
        <f>+AF75-AF76</f>
        <v>-493</v>
      </c>
      <c r="AG77" s="88">
        <f>+AG75-AG76</f>
        <v>-75</v>
      </c>
      <c r="AH77" s="88">
        <f>+AH75-AH76</f>
        <v>-492</v>
      </c>
      <c r="AI77" s="88">
        <f>+AI75-AI76</f>
        <v>125</v>
      </c>
      <c r="AJ77" s="88">
        <f>+AJ75-AJ76</f>
        <v>7</v>
      </c>
      <c r="AK77" s="89">
        <f>+SUM(AF77:AJ77)</f>
        <v>-928</v>
      </c>
      <c r="AL77" s="88">
        <f>+AK77+AE77</f>
        <v>-5804</v>
      </c>
    </row>
    <row r="78" spans="2:39" ht="15" x14ac:dyDescent="0.25">
      <c r="B78" s="86"/>
      <c r="C78" s="108"/>
      <c r="D78" s="109" t="s">
        <v>186</v>
      </c>
      <c r="E78" s="110">
        <f>IF(E75=0,"-",E76/E75)</f>
        <v>0.91074681238615662</v>
      </c>
      <c r="F78" s="110">
        <f t="shared" ref="F78:S78" si="107">IF(F75=0,"-",F76/F75)</f>
        <v>1.1136764905609127</v>
      </c>
      <c r="G78" s="110">
        <f t="shared" si="107"/>
        <v>1.5269655620532814</v>
      </c>
      <c r="H78" s="110">
        <f t="shared" si="107"/>
        <v>1.4296187683284458</v>
      </c>
      <c r="I78" s="110">
        <f t="shared" si="107"/>
        <v>1.2982285852948314</v>
      </c>
      <c r="J78" s="110">
        <f t="shared" si="107"/>
        <v>1.3309671694764862</v>
      </c>
      <c r="K78" s="110">
        <f t="shared" si="107"/>
        <v>1.1363636363636365</v>
      </c>
      <c r="L78" s="111">
        <f t="shared" si="107"/>
        <v>0.99696985607355781</v>
      </c>
      <c r="M78" s="110">
        <f t="shared" si="107"/>
        <v>1.1447020839448194</v>
      </c>
      <c r="N78" s="110">
        <f t="shared" si="107"/>
        <v>1.0169491525423728</v>
      </c>
      <c r="O78" s="110">
        <f t="shared" si="107"/>
        <v>1.3494318181818181</v>
      </c>
      <c r="P78" s="110">
        <f t="shared" si="107"/>
        <v>0.93506493506493504</v>
      </c>
      <c r="Q78" s="110">
        <f t="shared" si="107"/>
        <v>0</v>
      </c>
      <c r="R78" s="111">
        <f t="shared" si="107"/>
        <v>1.1066965033261786</v>
      </c>
      <c r="S78" s="110">
        <f t="shared" si="107"/>
        <v>0.99709931056116152</v>
      </c>
      <c r="T78" s="95">
        <f>+S78*$T$6</f>
        <v>0.69796951739281299</v>
      </c>
      <c r="U78" s="86"/>
      <c r="V78" s="108"/>
      <c r="W78" s="109" t="s">
        <v>186</v>
      </c>
      <c r="X78" s="110">
        <f t="shared" ref="X78:AL78" si="108">IF(X75=0,"-",X76/X75)</f>
        <v>0.91074681238615662</v>
      </c>
      <c r="Y78" s="110">
        <f t="shared" si="108"/>
        <v>1.1136764905609127</v>
      </c>
      <c r="Z78" s="110">
        <f t="shared" si="108"/>
        <v>1.5269655620532814</v>
      </c>
      <c r="AA78" s="110">
        <f t="shared" si="108"/>
        <v>1.4296187683284458</v>
      </c>
      <c r="AB78" s="110">
        <f t="shared" si="108"/>
        <v>1.2982285852948314</v>
      </c>
      <c r="AC78" s="110">
        <f t="shared" si="108"/>
        <v>1.3309671694764862</v>
      </c>
      <c r="AD78" s="110">
        <f t="shared" si="108"/>
        <v>1.1363636363636365</v>
      </c>
      <c r="AE78" s="111">
        <f t="shared" si="108"/>
        <v>1.1581884246042045</v>
      </c>
      <c r="AF78" s="110">
        <f t="shared" si="108"/>
        <v>1.1447020839448194</v>
      </c>
      <c r="AG78" s="110">
        <f t="shared" si="108"/>
        <v>1.0169491525423728</v>
      </c>
      <c r="AH78" s="110">
        <f t="shared" si="108"/>
        <v>1.3494318181818181</v>
      </c>
      <c r="AI78" s="110">
        <f t="shared" si="108"/>
        <v>0.93506493506493504</v>
      </c>
      <c r="AJ78" s="110">
        <f t="shared" si="108"/>
        <v>0</v>
      </c>
      <c r="AK78" s="111">
        <f t="shared" si="108"/>
        <v>1.0830648048693161</v>
      </c>
      <c r="AL78" s="110">
        <f t="shared" si="108"/>
        <v>1.1382036384417564</v>
      </c>
      <c r="AM78" s="91">
        <f>+AL78/550</f>
        <v>2.0694611608031935E-3</v>
      </c>
    </row>
    <row r="79" spans="2:39" ht="14.25" x14ac:dyDescent="0.2">
      <c r="B79" s="103"/>
      <c r="C79" s="116"/>
      <c r="D79" s="116"/>
      <c r="E79" s="98">
        <f>+E78*$L$6</f>
        <v>0.27322404371584696</v>
      </c>
      <c r="F79" s="98">
        <f t="shared" ref="F79:K79" si="109">+F78*$L$6</f>
        <v>0.33410294716827377</v>
      </c>
      <c r="G79" s="98">
        <f t="shared" si="109"/>
        <v>0.45808966861598438</v>
      </c>
      <c r="H79" s="98">
        <f t="shared" si="109"/>
        <v>0.42888563049853373</v>
      </c>
      <c r="I79" s="98">
        <f t="shared" si="109"/>
        <v>0.38946857558844944</v>
      </c>
      <c r="J79" s="98">
        <f t="shared" si="109"/>
        <v>0.39929015084294583</v>
      </c>
      <c r="K79" s="98">
        <f t="shared" si="109"/>
        <v>0.34090909090909094</v>
      </c>
      <c r="L79" s="98"/>
      <c r="M79" s="98">
        <f t="shared" ref="M79:Q79" si="110">+M78*$L$6</f>
        <v>0.34341062518344584</v>
      </c>
      <c r="N79" s="98">
        <f t="shared" si="110"/>
        <v>0.30508474576271183</v>
      </c>
      <c r="O79" s="98">
        <f t="shared" si="110"/>
        <v>0.40482954545454541</v>
      </c>
      <c r="P79" s="98">
        <f t="shared" si="110"/>
        <v>0.2805194805194805</v>
      </c>
      <c r="Q79" s="98">
        <f t="shared" si="110"/>
        <v>0</v>
      </c>
      <c r="R79" s="117"/>
      <c r="S79" s="98">
        <f>+AVERAGE(E79:Q79)</f>
        <v>0.32981787535494239</v>
      </c>
      <c r="T79" s="100">
        <f>+S79+T78</f>
        <v>1.0277873927477554</v>
      </c>
      <c r="U79" s="103"/>
      <c r="V79" s="116"/>
      <c r="W79" s="116"/>
      <c r="X79" s="118"/>
      <c r="Y79" s="118"/>
      <c r="Z79" s="118"/>
      <c r="AA79" s="118"/>
      <c r="AB79" s="118"/>
      <c r="AC79" s="118"/>
      <c r="AD79" s="118"/>
      <c r="AE79" s="117">
        <f>+SUM(X79:AD79)</f>
        <v>0</v>
      </c>
      <c r="AF79" s="118"/>
      <c r="AG79" s="118"/>
      <c r="AH79" s="118"/>
      <c r="AI79" s="118"/>
      <c r="AJ79" s="118"/>
      <c r="AK79" s="117">
        <f>+SUM(AF79:AJ79)</f>
        <v>0</v>
      </c>
      <c r="AL79" s="119">
        <f>+AK79+AE79</f>
        <v>0</v>
      </c>
    </row>
    <row r="80" spans="2:39" ht="14.25" x14ac:dyDescent="0.2">
      <c r="B80" s="81">
        <v>15</v>
      </c>
      <c r="C80" s="83" t="s">
        <v>215</v>
      </c>
      <c r="D80" s="83" t="s">
        <v>180</v>
      </c>
      <c r="E80" s="84">
        <f>IF($D$1&lt;&gt;"",IF($D$1=$AN$3,HLOOKUP("kdk mo",rku_01.jan,2,FALSE),IF($D$1=$AN$4,HLOOKUP("kdk mo",rku_02.feb,2,FALSE),IF($D$1=$AN$5,HLOOKUP("kdk mo",rku_03.mar,2,FALSE),IF($D$1=$AN$6,HLOOKUP("kdk mo",rku_04.apr,2,FALSE),IF($D$1=$AN$7,HLOOKUP("kdk mo",rku_05.mei,2,FALSE),IF($D$1=$AN$8,HLOOKUP("kdk mo",rku_06.jun,2,FALSE),IF($D$1=$AN$9,HLOOKUP("kdk mo",rku_07.jul,2,FALSE),IF($D$1=$AN$10,HLOOKUP("kdk mo",rku_08.ags,2,FALSE),IF($D$1=$AN$11,HLOOKUP("kdk mo",rku_09.sep,2,FALSE),IF($D$1=$AN$12,HLOOKUP("kdk mo",rku_10.okt,2,FALSE),IF($D$1=$AN$13,HLOOKUP("kdk mo",rku_11.nov,2,FALSE),IF($D$1=$AN$14,HLOOKUP("kdk mo",rku_12.des,2,FALSE),IF($D$1=$AN$15,HLOOKUP("kdk mo",rku_TW_I,2,FALSE),IF($D$1=$AN$16,HLOOKUP("kdk mo",rku_TW_II,2,FALSE),IF($D$1=$AN$17,HLOOKUP("kdk mo",rku_TW_III,2,FALSE),IF($D$1=$AN$18,HLOOKUP("kdk mo",rku_TW_IV,2,FALSE),IF($D$1=$AN$19,HLOOKUP("kdk mo",rku_SM_I,2,FALSE),IF($D$1=$AN$20,HLOOKUP("kdk mo",rku_SM_II,2,FALSE),IF($D$1=$AN$21,HLOOKUP("kdk mo",rku_2013,2,FALSE),IF($D$1=$AN$22,HLOOKUP("kdk mo",rku_jan_apr,2,FALSE),IF($D$1=$AN$23,HLOOKUP("kdk mo",rku_jan_mei,2,FALSE),IF($D$1=$AN$24,HLOOKUP("kdk mo",rku_jan_jul,2,FALSE),IF($D$1=$AN$25,HLOOKUP("kdk mo",rku_jan_ags,2,FALSE),IF($D$1=$AN$26,HLOOKUP("kdk mo",rku_jan_sep,2,FALSE),IF($D$1=$AN$27,HLOOKUP("kdk mo",rku_jan_okt,2,FALSE),IF($D$1=$AN$28,HLOOKUP("kdk mo",rku_jan_nov,2,FALSE),0)))))))))))))))))))))))))))</f>
        <v>1826000</v>
      </c>
      <c r="F80" s="84">
        <f>IF($D$1&lt;&gt;"",IF($D$1=$AN$3,HLOOKUP("kdk mo",rku_01.jan,3,FALSE),IF($D$1=$AN$4,HLOOKUP("kdk mo",rku_02.feb,3,FALSE),IF($D$1=$AN$5,HLOOKUP("kdk mo",rku_03.mar,3,FALSE),IF($D$1=$AN$6,HLOOKUP("kdk mo",rku_04.apr,3,FALSE),IF($D$1=$AN$7,HLOOKUP("kdk mo",rku_05.mei,3,FALSE),IF($D$1=$AN$8,HLOOKUP("kdk mo",rku_06.jun,3,FALSE),IF($D$1=$AN$9,HLOOKUP("kdk mo",rku_07.jul,3,FALSE),IF($D$1=$AN$10,HLOOKUP("kdk mo",rku_08.ags,3,FALSE),IF($D$1=$AN$11,HLOOKUP("kdk mo",rku_09.sep,3,FALSE),IF($D$1=$AN$12,HLOOKUP("kdk mo",rku_10.okt,3,FALSE),IF($D$1=$AN$13,HLOOKUP("kdk mo",rku_11.nov,3,FALSE),IF($D$1=$AN$14,HLOOKUP("kdk mo",rku_12.des,3,FALSE),IF($D$1=$AN$15,HLOOKUP("kdk mo",rku_TW_I,3,FALSE),IF($D$1=$AN$16,HLOOKUP("kdk mo",rku_TW_II,3,FALSE),IF($D$1=$AN$17,HLOOKUP("kdk mo",rku_TW_III,3,FALSE),IF($D$1=$AN$18,HLOOKUP("kdk mo",rku_TW_IV,3,FALSE),IF($D$1=$AN$19,HLOOKUP("kdk mo",rku_SM_I,3,FALSE),IF($D$1=$AN$20,HLOOKUP("kdk mo",rku_SM_II,3,FALSE),IF($D$1=$AN$21,HLOOKUP("kdk mo",rku_2013,3,FALSE),IF($D$1=$AN$22,HLOOKUP("kdk mo",rku_jan_apr,3,FALSE),IF($D$1=$AN$23,HLOOKUP("kdk mo",rku_jan_mei,3,FALSE),IF($D$1=$AN$24,HLOOKUP("kdk mo",rku_jan_jul,3,FALSE),IF($D$1=$AN$25,HLOOKUP("kdk mo",rku_jan_ags,3,FALSE),IF($D$1=$AN$26,HLOOKUP("kdk mo",rku_jan_sep,3,FALSE),IF($D$1=$AN$27,HLOOKUP("kdk mo",rku_jan_okt,3,FALSE),IF($D$1=$AN$28,HLOOKUP("kdk mo",rku_jan_nov,3,FALSE),0)))))))))))))))))))))))))))</f>
        <v>1541000</v>
      </c>
      <c r="G80" s="84">
        <f>IF($D$1&lt;&gt;"",IF($D$1=$AN$3,HLOOKUP("kdk mo",rku_01.jan,4,FALSE),IF($D$1=$AN$4,HLOOKUP("kdk mo",rku_02.feb,4,FALSE),IF($D$1=$AN$5,HLOOKUP("kdk mo",rku_03.mar,4,FALSE),IF($D$1=$AN$6,HLOOKUP("kdk mo",rku_04.apr,4,FALSE),IF($D$1=$AN$7,HLOOKUP("kdk mo",rku_05.mei,4,FALSE),IF($D$1=$AN$8,HLOOKUP("kdk mo",rku_06.jun,4,FALSE),IF($D$1=$AN$9,HLOOKUP("kdk mo",rku_07.jul,4,FALSE),IF($D$1=$AN$10,HLOOKUP("kdk mo",rku_08.ags,4,FALSE),IF($D$1=$AN$11,HLOOKUP("kdk mo",rku_09.sep,4,FALSE),IF($D$1=$AN$12,HLOOKUP("kdk mo",rku_10.okt,4,FALSE),IF($D$1=$AN$13,HLOOKUP("kdk mo",rku_11.nov,4,FALSE),IF($D$1=$AN$14,HLOOKUP("kdk mo",rku_12.des,4,FALSE),IF($D$1=$AN$15,HLOOKUP("kdk mo",rku_TW_I,4,FALSE),IF($D$1=$AN$16,HLOOKUP("kdk mo",rku_TW_II,4,FALSE),IF($D$1=$AN$17,HLOOKUP("kdk mo",rku_TW_III,4,FALSE),IF($D$1=$AN$18,HLOOKUP("kdk mo",rku_TW_IV,4,FALSE),IF($D$1=$AN$19,HLOOKUP("kdk mo",rku_SM_I,4,FALSE),IF($D$1=$AN$20,HLOOKUP("kdk mo",rku_SM_II,4,FALSE),IF($D$1=$AN$21,HLOOKUP("kdk mo",rku_2013,4,FALSE),IF($D$1=$AN$22,HLOOKUP("kdk mo",rku_jan_apr,4,FALSE),IF($D$1=$AN$23,HLOOKUP("kdk mo",rku_jan_mei,4,FALSE),IF($D$1=$AN$24,HLOOKUP("kdk mo",rku_jan_jul,4,FALSE),IF($D$1=$AN$25,HLOOKUP("kdk mo",rku_jan_ags,4,FALSE),IF($D$1=$AN$26,HLOOKUP("kdk mo",rku_jan_sep,4,FALSE),IF($D$1=$AN$27,HLOOKUP("kdk mo",rku_jan_okt,4,FALSE),IF($D$1=$AN$28,HLOOKUP("kdk mo",rku_jan_nov,4,FALSE),0)))))))))))))))))))))))))))</f>
        <v>-107200</v>
      </c>
      <c r="H80" s="84">
        <f>IF($D$1&lt;&gt;"",IF($D$1=$AN$3,HLOOKUP("kdk mo",rku_01.jan,5,FALSE),IF($D$1=$AN$4,HLOOKUP("kdk mo",rku_02.feb,5,FALSE),IF($D$1=$AN$5,HLOOKUP("kdk mo",rku_03.mar,5,FALSE),IF($D$1=$AN$6,HLOOKUP("kdk mo",rku_04.apr,5,FALSE),IF($D$1=$AN$7,HLOOKUP("kdk mo",rku_05.mei,5,FALSE),IF($D$1=$AN$8,HLOOKUP("kdk mo",rku_06.jun,5,FALSE),IF($D$1=$AN$9,HLOOKUP("kdk mo",rku_07.jul,5,FALSE),IF($D$1=$AN$10,HLOOKUP("kdk mo",rku_08.ags,5,FALSE),IF($D$1=$AN$11,HLOOKUP("kdk mo",rku_09.sep,5,FALSE),IF($D$1=$AN$12,HLOOKUP("kdk mo",rku_10.okt,5,FALSE),IF($D$1=$AN$13,HLOOKUP("kdk mo",rku_11.nov,5,FALSE),IF($D$1=$AN$14,HLOOKUP("kdk mo",rku_12.des,5,FALSE),IF($D$1=$AN$15,HLOOKUP("kdk mo",rku_TW_I,5,FALSE),IF($D$1=$AN$16,HLOOKUP("kdk mo",rku_TW_II,5,FALSE),IF($D$1=$AN$17,HLOOKUP("kdk mo",rku_TW_III,5,FALSE),IF($D$1=$AN$18,HLOOKUP("kdk mo",rku_TW_IV,5,FALSE),IF($D$1=$AN$19,HLOOKUP("kdk mo",rku_SM_I,5,FALSE),IF($D$1=$AN$20,HLOOKUP("kdk mo",rku_SM_II,5,FALSE),IF($D$1=$AN$21,HLOOKUP("kdk mo",rku_2013,5,FALSE),IF($D$1=$AN$22,HLOOKUP("kdk mo",rku_jan_apr,5,FALSE),IF($D$1=$AN$23,HLOOKUP("kdk mo",rku_jan_mei,5,FALSE),IF($D$1=$AN$24,HLOOKUP("kdk mo",rku_jan_jul,5,FALSE),IF($D$1=$AN$25,HLOOKUP("kdk mo",rku_jan_ags,5,FALSE),IF($D$1=$AN$26,HLOOKUP("kdk mo",rku_jan_sep,5,FALSE),IF($D$1=$AN$27,HLOOKUP("kdk mo",rku_jan_okt,5,FALSE),IF($D$1=$AN$28,HLOOKUP("kdk mo",rku_jan_nov,5,FALSE),0)))))))))))))))))))))))))))</f>
        <v>-14200</v>
      </c>
      <c r="I80" s="84">
        <f>IF($D$1&lt;&gt;"",IF($D$1=$AN$3,HLOOKUP("kdk mo",rku_01.jan,6,FALSE),IF($D$1=$AN$4,HLOOKUP("kdk mo",rku_02.feb,6,FALSE),IF($D$1=$AN$5,HLOOKUP("kdk mo",rku_03.mar,6,FALSE),IF($D$1=$AN$6,HLOOKUP("kdk mo",rku_04.apr,6,FALSE),IF($D$1=$AN$7,HLOOKUP("kdk mo",rku_05.mei,6,FALSE),IF($D$1=$AN$8,HLOOKUP("kdk mo",rku_06.jun,6,FALSE),IF($D$1=$AN$9,HLOOKUP("kdk mo",rku_07.jul,6,FALSE),IF($D$1=$AN$10,HLOOKUP("kdk mo",rku_08.ags,6,FALSE),IF($D$1=$AN$11,HLOOKUP("kdk mo",rku_09.sep,6,FALSE),IF($D$1=$AN$12,HLOOKUP("kdk mo",rku_10.okt,6,FALSE),IF($D$1=$AN$13,HLOOKUP("kdk mo",rku_11.nov,6,FALSE),IF($D$1=$AN$14,HLOOKUP("kdk mo",rku_12.des,6,FALSE),IF($D$1=$AN$15,HLOOKUP("kdk mo",rku_TW_I,6,FALSE),IF($D$1=$AN$16,HLOOKUP("kdk mo",rku_TW_II,6,FALSE),IF($D$1=$AN$17,HLOOKUP("kdk mo",rku_TW_III,6,FALSE),IF($D$1=$AN$18,HLOOKUP("kdk mo",rku_TW_IV,6,FALSE),IF($D$1=$AN$19,HLOOKUP("kdk mo",rku_SM_I,6,FALSE),IF($D$1=$AN$20,HLOOKUP("kdk mo",rku_SM_II,6,FALSE),IF($D$1=$AN$21,HLOOKUP("kdk mo",rku_2013,6,FALSE),IF($D$1=$AN$22,HLOOKUP("kdk mo",rku_jan_apr,6,FALSE),IF($D$1=$AN$23,HLOOKUP("kdk mo",rku_jan_mei,6,FALSE),IF($D$1=$AN$24,HLOOKUP("kdk mo",rku_jan_jul,6,FALSE),IF($D$1=$AN$25,HLOOKUP("kdk mo",rku_jan_ags,6,FALSE),IF($D$1=$AN$26,HLOOKUP("kdk mo",rku_jan_sep,6,FALSE),IF($D$1=$AN$27,HLOOKUP("kdk mo",rku_jan_okt,6,FALSE),IF($D$1=$AN$28,HLOOKUP("kdk mo",rku_jan_nov,6,FALSE),0)))))))))))))))))))))))))))</f>
        <v>5200</v>
      </c>
      <c r="J80" s="84">
        <f>IF($D$1&lt;&gt;"",IF($D$1=$AN$3,HLOOKUP("kdk mo",rku_01.jan,7,FALSE),IF($D$1=$AN$4,HLOOKUP("kdk mo",rku_02.feb,7,FALSE),IF($D$1=$AN$5,HLOOKUP("kdk mo",rku_03.mar,7,FALSE),IF($D$1=$AN$6,HLOOKUP("kdk mo",rku_04.apr,7,FALSE),IF($D$1=$AN$7,HLOOKUP("kdk mo",rku_05.mei,7,FALSE),IF($D$1=$AN$8,HLOOKUP("kdk mo",rku_06.jun,7,FALSE),IF($D$1=$AN$9,HLOOKUP("kdk mo",rku_07.jul,7,FALSE),IF($D$1=$AN$10,HLOOKUP("kdk mo",rku_08.ags,7,FALSE),IF($D$1=$AN$11,HLOOKUP("kdk mo",rku_09.sep,7,FALSE),IF($D$1=$AN$12,HLOOKUP("kdk mo",rku_10.okt,7,FALSE),IF($D$1=$AN$13,HLOOKUP("kdk mo",rku_11.nov,7,FALSE),IF($D$1=$AN$14,HLOOKUP("kdk mo",rku_12.des,7,FALSE),IF($D$1=$AN$15,HLOOKUP("kdk mo",rku_TW_I,7,FALSE),IF($D$1=$AN$16,HLOOKUP("kdk mo",rku_TW_II,7,FALSE),IF($D$1=$AN$17,HLOOKUP("kdk mo",rku_TW_III,7,FALSE),IF($D$1=$AN$18,HLOOKUP("kdk mo",rku_TW_IV,7,FALSE),IF($D$1=$AN$19,HLOOKUP("kdk mo",rku_SM_I,7,FALSE),IF($D$1=$AN$20,HLOOKUP("kdk mo",rku_SM_II,7,FALSE),IF($D$1=$AN$21,HLOOKUP("kdk mo",rku_2013,7,FALSE),IF($D$1=$AN$22,HLOOKUP("kdk mo",rku_jan_apr,7,FALSE),IF($D$1=$AN$23,HLOOKUP("kdk mo",rku_jan_mei,7,FALSE),IF($D$1=$AN$24,HLOOKUP("kdk mo",rku_jan_jul,7,FALSE),IF($D$1=$AN$25,HLOOKUP("kdk mo",rku_jan_ags,7,FALSE),IF($D$1=$AN$26,HLOOKUP("kdk mo",rku_jan_sep,7,FALSE),IF($D$1=$AN$27,HLOOKUP("kdk mo",rku_jan_okt,7,FALSE),IF($D$1=$AN$28,HLOOKUP("kdk mo",rku_jan_nov,7,FALSE),0)))))))))))))))))))))))))))</f>
        <v>24280</v>
      </c>
      <c r="K80" s="84">
        <f>IF($D$1&lt;&gt;"",IF($D$1=$AN$3,HLOOKUP("kdk mo",rku_01.jan,8,FALSE),IF($D$1=$AN$4,HLOOKUP("kdk mo",rku_02.feb,8,FALSE),IF($D$1=$AN$5,HLOOKUP("kdk mo",rku_03.mar,8,FALSE),IF($D$1=$AN$6,HLOOKUP("kdk mo",rku_04.apr,8,FALSE),IF($D$1=$AN$7,HLOOKUP("kdk mo",rku_05.mei,8,FALSE),IF($D$1=$AN$8,HLOOKUP("kdk mo",rku_06.jun,8,FALSE),IF($D$1=$AN$9,HLOOKUP("kdk mo",rku_07.jul,8,FALSE),IF($D$1=$AN$10,HLOOKUP("kdk mo",rku_08.ags,8,FALSE),IF($D$1=$AN$11,HLOOKUP("kdk mo",rku_09.sep,8,FALSE),IF($D$1=$AN$12,HLOOKUP("kdk mo",rku_10.okt,8,FALSE),IF($D$1=$AN$13,HLOOKUP("kdk mo",rku_11.nov,8,FALSE),IF($D$1=$AN$14,HLOOKUP("kdk mo",rku_12.des,8,FALSE),IF($D$1=$AN$15,HLOOKUP("kdk mo",rku_TW_I,8,FALSE),IF($D$1=$AN$16,HLOOKUP("kdk mo",rku_TW_II,8,FALSE),IF($D$1=$AN$17,HLOOKUP("kdk mo",rku_TW_III,8,FALSE),IF($D$1=$AN$18,HLOOKUP("kdk mo",rku_TW_IV,8,FALSE),IF($D$1=$AN$19,HLOOKUP("kdk mo",rku_SM_I,8,FALSE),IF($D$1=$AN$20,HLOOKUP("kdk mo",rku_SM_II,8,FALSE),IF($D$1=$AN$21,HLOOKUP("kdk mo",rku_2013,8,FALSE),IF($D$1=$AN$22,HLOOKUP("kdk mo",rku_jan_apr,8,FALSE),IF($D$1=$AN$23,HLOOKUP("kdk mo",rku_jan_mei,8,FALSE),IF($D$1=$AN$24,HLOOKUP("kdk mo",rku_jan_jul,8,FALSE),IF($D$1=$AN$25,HLOOKUP("kdk mo",rku_jan_ags,8,FALSE),IF($D$1=$AN$26,HLOOKUP("kdk mo",rku_jan_sep,8,FALSE),IF($D$1=$AN$27,HLOOKUP("kdk mo",rku_jan_okt,8,FALSE),IF($D$1=$AN$28,HLOOKUP("kdk mo",rku_jan_nov,8,FALSE),0)))))))))))))))))))))))))))</f>
        <v>6860</v>
      </c>
      <c r="L80" s="85">
        <f>+SUM(E80:K80)</f>
        <v>3281940</v>
      </c>
      <c r="M80" s="84">
        <f>IF($D$1&lt;&gt;"",IF($D$1=$AN$3,HLOOKUP("kdk mo",rku_01.jan,10,FALSE),IF($D$1=$AN$4,HLOOKUP("kdk mo",rku_02.feb,10,FALSE),IF($D$1=$AN$5,HLOOKUP("kdk mo",rku_03.mar,10,FALSE),IF($D$1=$AN$6,HLOOKUP("kdk mo",rku_04.apr,10,FALSE),IF($D$1=$AN$7,HLOOKUP("kdk mo",rku_05.mei,10,FALSE),IF($D$1=$AN$8,HLOOKUP("kdk mo",rku_06.jun,10,FALSE),IF($D$1=$AN$9,HLOOKUP("kdk mo",rku_07.jul,10,FALSE),IF($D$1=$AN$10,HLOOKUP("kdk mo",rku_08.ags,10,FALSE),IF($D$1=$AN$11,HLOOKUP("kdk mo",rku_09.sep,10,FALSE),IF($D$1=$AN$12,HLOOKUP("kdk mo",rku_10.okt,10,FALSE),IF($D$1=$AN$13,HLOOKUP("kdk mo",rku_11.nov,10,FALSE),IF($D$1=$AN$14,HLOOKUP("kdk mo",rku_12.des,10,FALSE),IF($D$1=$AN$15,HLOOKUP("kdk mo",rku_TW_I,10,FALSE),IF($D$1=$AN$16,HLOOKUP("kdk mo",rku_TW_II,10,FALSE),IF($D$1=$AN$17,HLOOKUP("kdk mo",rku_TW_III,10,FALSE),IF($D$1=$AN$18,HLOOKUP("kdk mo",rku_TW_IV,10,FALSE),IF($D$1=$AN$19,HLOOKUP("kdk mo",rku_SM_I,10,FALSE),IF($D$1=$AN$20,HLOOKUP("kdk mo",rku_SM_II,10,FALSE),IF($D$1=$AN$21,HLOOKUP("kdk mo",rku_2013,10,FALSE),IF($D$1=$AN$22,HLOOKUP("kdk mo",rku_jan_apr,10,FALSE),IF($D$1=$AN$23,HLOOKUP("kdk mo",rku_jan_mei,10,FALSE),IF($D$1=$AN$24,HLOOKUP("kdk mo",rku_jan_jul,10,FALSE),IF($D$1=$AN$25,HLOOKUP("kdk mo",rku_jan_ags,10,FALSE),IF($D$1=$AN$26,HLOOKUP("kdk mo",rku_jan_sep,10,FALSE),IF($D$1=$AN$27,HLOOKUP("kdk mo",rku_jan_okt,10,FALSE),IF($D$1=$AN$28,HLOOKUP("kdk mo",rku_jan_nov,10,FALSE),0)))))))))))))))))))))))))))</f>
        <v>-2370</v>
      </c>
      <c r="N80" s="84">
        <f>IF($D$1&lt;&gt;"",IF($D$1=$AN$3,HLOOKUP("kdk mo",rku_01.jan,11,FALSE),IF($D$1=$AN$4,HLOOKUP("kdk mo",rku_02.feb,11,FALSE),IF($D$1=$AN$5,HLOOKUP("kdk mo",rku_03.mar,11,FALSE),IF($D$1=$AN$6,HLOOKUP("kdk mo",rku_04.apr,11,FALSE),IF($D$1=$AN$7,HLOOKUP("kdk mo",rku_05.mei,11,FALSE),IF($D$1=$AN$8,HLOOKUP("kdk mo",rku_06.jun,11,FALSE),IF($D$1=$AN$9,HLOOKUP("kdk mo",rku_07.jul,11,FALSE),IF($D$1=$AN$10,HLOOKUP("kdk mo",rku_08.ags,11,FALSE),IF($D$1=$AN$11,HLOOKUP("kdk mo",rku_09.sep,11,FALSE),IF($D$1=$AN$12,HLOOKUP("kdk mo",rku_10.okt,11,FALSE),IF($D$1=$AN$13,HLOOKUP("kdk mo",rku_11.nov,11,FALSE),IF($D$1=$AN$14,HLOOKUP("kdk mo",rku_12.des,11,FALSE),IF($D$1=$AN$15,HLOOKUP("kdk mo",rku_TW_I,11,FALSE),IF($D$1=$AN$16,HLOOKUP("kdk mo",rku_TW_II,11,FALSE),IF($D$1=$AN$17,HLOOKUP("kdk mo",rku_TW_III,11,FALSE),IF($D$1=$AN$18,HLOOKUP("kdk mo",rku_TW_IV,11,FALSE),IF($D$1=$AN$19,HLOOKUP("kdk mo",rku_SM_I,11,FALSE),IF($D$1=$AN$20,HLOOKUP("kdk mo",rku_SM_II,11,FALSE),IF($D$1=$AN$21,HLOOKUP("kdk mo",rku_2013,11,FALSE),IF($D$1=$AN$22,HLOOKUP("kdk mo",rku_jan_apr,11,FALSE),IF($D$1=$AN$23,HLOOKUP("kdk mo",rku_jan_mei,11,FALSE),IF($D$1=$AN$24,HLOOKUP("kdk mo",rku_jan_jul,11,FALSE),IF($D$1=$AN$25,HLOOKUP("kdk mo",rku_jan_ags,11,FALSE),IF($D$1=$AN$26,HLOOKUP("kdk mo",rku_jan_sep,11,FALSE),IF($D$1=$AN$27,HLOOKUP("kdk mo",rku_jan_okt,11,FALSE),IF($D$1=$AN$28,HLOOKUP("kdk mo",rku_jan_nov,11,FALSE),0)))))))))))))))))))))))))))</f>
        <v>2360</v>
      </c>
      <c r="O80" s="84">
        <f>IF($D$1&lt;&gt;"",IF($D$1=$AN$3,HLOOKUP("kdk mo",rku_01.jan,12,FALSE),IF($D$1=$AN$4,HLOOKUP("kdk mo",rku_02.feb,12,FALSE),IF($D$1=$AN$5,HLOOKUP("kdk mo",rku_03.mar,12,FALSE),IF($D$1=$AN$6,HLOOKUP("kdk mo",rku_04.apr,12,FALSE),IF($D$1=$AN$7,HLOOKUP("kdk mo",rku_05.mei,12,FALSE),IF($D$1=$AN$8,HLOOKUP("kdk mo",rku_06.jun,12,FALSE),IF($D$1=$AN$9,HLOOKUP("kdk mo",rku_07.jul,12,FALSE),IF($D$1=$AN$10,HLOOKUP("kdk mo",rku_08.ags,12,FALSE),IF($D$1=$AN$11,HLOOKUP("kdk mo",rku_09.sep,12,FALSE),IF($D$1=$AN$12,HLOOKUP("kdk mo",rku_10.okt,12,FALSE),IF($D$1=$AN$13,HLOOKUP("kdk mo",rku_11.nov,12,FALSE),IF($D$1=$AN$14,HLOOKUP("kdk mo",rku_12.des,12,FALSE),IF($D$1=$AN$15,HLOOKUP("kdk mo",rku_TW_I,12,FALSE),IF($D$1=$AN$16,HLOOKUP("kdk mo",rku_TW_II,12,FALSE),IF($D$1=$AN$17,HLOOKUP("kdk mo",rku_TW_III,12,FALSE),IF($D$1=$AN$18,HLOOKUP("kdk mo",rku_TW_IV,12,FALSE),IF($D$1=$AN$19,HLOOKUP("kdk mo",rku_SM_I,12,FALSE),IF($D$1=$AN$20,HLOOKUP("kdk mo",rku_SM_II,12,FALSE),IF($D$1=$AN$21,HLOOKUP("kdk mo",rku_2013,12,FALSE),IF($D$1=$AN$22,HLOOKUP("kdk mo",rku_jan_apr,12,FALSE),IF($D$1=$AN$23,HLOOKUP("kdk mo",rku_jan_mei,12,FALSE),IF($D$1=$AN$24,HLOOKUP("kdk mo",rku_jan_jul,12,FALSE),IF($D$1=$AN$25,HLOOKUP("kdk mo",rku_jan_ags,12,FALSE),IF($D$1=$AN$26,HLOOKUP("kdk mo",rku_jan_sep,12,FALSE),IF($D$1=$AN$27,HLOOKUP("kdk mo",rku_jan_okt,12,FALSE),IF($D$1=$AN$28,HLOOKUP("kdk mo",rku_jan_nov,12,FALSE),0)))))))))))))))))))))))))))</f>
        <v>1666</v>
      </c>
      <c r="P80" s="84">
        <f>IF($D$1&lt;&gt;"",IF($D$1=$AN$3,HLOOKUP("kdk mo",rku_01.jan,13,FALSE),IF($D$1=$AN$4,HLOOKUP("kdk mo",rku_02.feb,13,FALSE),IF($D$1=$AN$5,HLOOKUP("kdk mo",rku_03.mar,13,FALSE),IF($D$1=$AN$6,HLOOKUP("kdk mo",rku_04.apr,13,FALSE),IF($D$1=$AN$7,HLOOKUP("kdk mo",rku_05.mei,13,FALSE),IF($D$1=$AN$8,HLOOKUP("kdk mo",rku_06.jun,13,FALSE),IF($D$1=$AN$9,HLOOKUP("kdk mo",rku_07.jul,13,FALSE),IF($D$1=$AN$10,HLOOKUP("kdk mo",rku_08.ags,13,FALSE),IF($D$1=$AN$11,HLOOKUP("kdk mo",rku_09.sep,13,FALSE),IF($D$1=$AN$12,HLOOKUP("kdk mo",rku_10.okt,13,FALSE),IF($D$1=$AN$13,HLOOKUP("kdk mo",rku_11.nov,13,FALSE),IF($D$1=$AN$14,HLOOKUP("kdk mo",rku_12.des,13,FALSE),IF($D$1=$AN$15,HLOOKUP("kdk mo",rku_TW_I,13,FALSE),IF($D$1=$AN$16,HLOOKUP("kdk mo",rku_TW_II,13,FALSE),IF($D$1=$AN$17,HLOOKUP("kdk mo",rku_TW_III,13,FALSE),IF($D$1=$AN$18,HLOOKUP("kdk mo",rku_TW_IV,13,FALSE),IF($D$1=$AN$19,HLOOKUP("kdk mo",rku_SM_I,13,FALSE),IF($D$1=$AN$20,HLOOKUP("kdk mo",rku_SM_II,13,FALSE),IF($D$1=$AN$21,HLOOKUP("kdk mo",rku_2013,13,FALSE),IF($D$1=$AN$22,HLOOKUP("kdk mo",rku_jan_apr,13,FALSE),IF($D$1=$AN$23,HLOOKUP("kdk mo",rku_jan_mei,13,FALSE),IF($D$1=$AN$24,HLOOKUP("kdk mo",rku_jan_jul,13,FALSE),IF($D$1=$AN$25,HLOOKUP("kdk mo",rku_jan_ags,13,FALSE),IF($D$1=$AN$26,HLOOKUP("kdk mo",rku_jan_sep,13,FALSE),IF($D$1=$AN$27,HLOOKUP("kdk mo",rku_jan_okt,13,FALSE),IF($D$1=$AN$28,HLOOKUP("kdk mo",rku_jan_nov,13,FALSE),0)))))))))))))))))))))))))))</f>
        <v>612</v>
      </c>
      <c r="Q80" s="84">
        <f>IF($D$1&lt;&gt;"",IF($D$1=$AN$3,HLOOKUP("kdk mo",rku_01.jan,14,FALSE),IF($D$1=$AN$4,HLOOKUP("kdk mo",rku_02.feb,14,FALSE),IF($D$1=$AN$5,HLOOKUP("kdk mo",rku_03.mar,14,FALSE),IF($D$1=$AN$6,HLOOKUP("kdk mo",rku_04.apr,14,FALSE),IF($D$1=$AN$7,HLOOKUP("kdk mo",rku_05.mei,14,FALSE),IF($D$1=$AN$8,HLOOKUP("kdk mo",rku_06.jun,14,FALSE),IF($D$1=$AN$9,HLOOKUP("kdk mo",rku_07.jul,14,FALSE),IF($D$1=$AN$10,HLOOKUP("kdk mo",rku_08.ags,14,FALSE),IF($D$1=$AN$11,HLOOKUP("kdk mo",rku_09.sep,14,FALSE),IF($D$1=$AN$12,HLOOKUP("kdk mo",rku_10.okt,14,FALSE),IF($D$1=$AN$13,HLOOKUP("kdk mo",rku_11.nov,14,FALSE),IF($D$1=$AN$14,HLOOKUP("kdk mo",rku_12.des,14,FALSE),IF($D$1=$AN$15,HLOOKUP("kdk mo",rku_TW_I,14,FALSE),IF($D$1=$AN$16,HLOOKUP("kdk mo",rku_TW_II,14,FALSE),IF($D$1=$AN$17,HLOOKUP("kdk mo",rku_TW_III,14,FALSE),IF($D$1=$AN$18,HLOOKUP("kdk mo",rku_TW_IV,14,FALSE),IF($D$1=$AN$19,HLOOKUP("kdk mo",rku_SM_I,14,FALSE),IF($D$1=$AN$20,HLOOKUP("kdk mo",rku_SM_II,14,FALSE),IF($D$1=$AN$21,HLOOKUP("kdk mo",rku_2013,14,FALSE),IF($D$1=$AN$22,HLOOKUP("kdk mo",rku_jan_apr,14,FALSE),IF($D$1=$AN$23,HLOOKUP("kdk mo",rku_jan_mei,14,FALSE),IF($D$1=$AN$24,HLOOKUP("kdk mo",rku_jan_jul,14,FALSE),IF($D$1=$AN$25,HLOOKUP("kdk mo",rku_jan_ags,14,FALSE),IF($D$1=$AN$26,HLOOKUP("kdk mo",rku_jan_sep,14,FALSE),IF($D$1=$AN$27,HLOOKUP("kdk mo",rku_jan_okt,14,FALSE),IF($D$1=$AN$28,HLOOKUP("kdk mo",rku_jan_nov,14,FALSE),0)))))))))))))))))))))))))))</f>
        <v>0</v>
      </c>
      <c r="R80" s="85">
        <f>+SUM(M80:Q80)</f>
        <v>2268</v>
      </c>
      <c r="S80" s="84">
        <f>+R80+L80</f>
        <v>3284208</v>
      </c>
      <c r="U80" s="81">
        <v>15</v>
      </c>
      <c r="V80" s="83" t="s">
        <v>215</v>
      </c>
      <c r="W80" s="83" t="s">
        <v>180</v>
      </c>
      <c r="X80" s="84">
        <f t="shared" ref="X80:AD81" si="111">E80/X$100</f>
        <v>913</v>
      </c>
      <c r="Y80" s="84">
        <f t="shared" si="111"/>
        <v>1541</v>
      </c>
      <c r="Z80" s="84">
        <f t="shared" si="111"/>
        <v>-268</v>
      </c>
      <c r="AA80" s="84">
        <f t="shared" si="111"/>
        <v>-71</v>
      </c>
      <c r="AB80" s="84">
        <f t="shared" si="111"/>
        <v>52</v>
      </c>
      <c r="AC80" s="84">
        <f t="shared" si="111"/>
        <v>607</v>
      </c>
      <c r="AD80" s="84">
        <f t="shared" si="111"/>
        <v>343</v>
      </c>
      <c r="AE80" s="85">
        <f>+SUM(X80:AD80)</f>
        <v>3117</v>
      </c>
      <c r="AF80" s="84">
        <f t="shared" ref="AF80:AJ81" si="112">M80/AF$100</f>
        <v>-474</v>
      </c>
      <c r="AG80" s="84">
        <f t="shared" si="112"/>
        <v>944</v>
      </c>
      <c r="AH80" s="84">
        <f t="shared" si="112"/>
        <v>833</v>
      </c>
      <c r="AI80" s="84">
        <f t="shared" si="112"/>
        <v>612</v>
      </c>
      <c r="AJ80" s="84">
        <f t="shared" si="112"/>
        <v>0</v>
      </c>
      <c r="AK80" s="85">
        <f>+SUM(AF80:AJ80)</f>
        <v>1915</v>
      </c>
      <c r="AL80" s="84">
        <f>+AK80+AE80</f>
        <v>5032</v>
      </c>
    </row>
    <row r="81" spans="2:39" ht="14.25" x14ac:dyDescent="0.2">
      <c r="B81" s="86"/>
      <c r="C81" s="87"/>
      <c r="D81" s="87" t="s">
        <v>182</v>
      </c>
      <c r="E81" s="88">
        <f>IF($D$1&lt;&gt;"",IF($D$1=$AN$3,HLOOKUP("kdk mo",real_rku_01.jan,2,FALSE),IF($D$1=$AN$4,HLOOKUP("kdk mo",real_rku_02.feb,2,FALSE),IF($D$1=$AN$5,HLOOKUP("kdk mo",real_rku_03.mar,2,FALSE),IF($D$1=$AN$6,HLOOKUP("kdk mo",real_rku_04.apr,2,FALSE),IF($D$1=$AN$7,HLOOKUP("kdk mo",real_rku_05.mei,2,FALSE),IF($D$1=$AN$8,HLOOKUP("kdk mo",real_rku_06.jun,2,FALSE),IF($D$1=$AN$9,HLOOKUP("kdk mo",real_rku_07.jul,2,FALSE),IF($D$1=$AN$10,HLOOKUP("kdk mo",real_rku_08.ags,2,FALSE),IF($D$1=$AN$11,HLOOKUP("kdk mo",real_rku_09.sep,2,FALSE),IF($D$1=$AN$12,HLOOKUP("kdk mo",real_rku_10.okt,2,FALSE),IF($D$1=$AN$13,HLOOKUP("kdk mo",real_rku_11.nov,2,FALSE),IF($D$1=$AN$14,HLOOKUP("kdk mo",real_rku_12.des,2,FALSE),IF($D$1=$AN$15,HLOOKUP("kdk mo",real_rku_TW_I,2,FALSE),IF($D$1=$AN$16,HLOOKUP("kdk mo",real_rku_TW_II,2,FALSE),IF($D$1=$AN$17,HLOOKUP("kdk mo",real_rku_TW_III,2,FALSE),IF($D$1=$AN$18,HLOOKUP("kdk mo",real_rku_TW_IV,2,FALSE),IF($D$1=$AN$19,HLOOKUP("kdk mo",real_rku_SM_I,2,FALSE),IF($D$1=$AN$20,HLOOKUP("kdk mo",real_rku_SM_II,2,FALSE),IF($D$1=$AN$21,HLOOKUP("kdk mo",real_rku_2013,2,FALSE),IF($D$1=$AN$22,HLOOKUP("kdk mo",real_rku_jan_apr,2,FALSE),IF($D$1=$AN$23,HLOOKUP("kdk mo",real_rku_jan_mei,2,FALSE),IF($D$1=$AN$24,HLOOKUP("kdk mo",real_rku_jan_jul,2,FALSE),IF($D$1=$AN$25,HLOOKUP("kdk mo",real_rku_jan_ags,2,FALSE),IF($D$1=$AN$26,HLOOKUP("kdk mo",real_rku_jan_sep,2,FALSE),IF($D$1=$AN$27,HLOOKUP("kdk mo",real_rku_jan_okt,2,FALSE),IF($D$1=$AN$28,HLOOKUP("kdk mo",real_rku_jan_nov,2,FALSE),0)))))))))))))))))))))))))))</f>
        <v>2100000</v>
      </c>
      <c r="F81" s="88">
        <f>IF($D$1&lt;&gt;"",IF($D$1=$AN$3,HLOOKUP("kdk mo",real_rku_01.jan,3,FALSE),IF($D$1=$AN$4,HLOOKUP("kdk mo",real_rku_02.feb,3,FALSE),IF($D$1=$AN$5,HLOOKUP("kdk mo",real_rku_03.mar,3,FALSE),IF($D$1=$AN$6,HLOOKUP("kdk mo",real_rku_04.apr,3,FALSE),IF($D$1=$AN$7,HLOOKUP("kdk mo",real_rku_05.mei,3,FALSE),IF($D$1=$AN$8,HLOOKUP("kdk mo",real_rku_06.jun,3,FALSE),IF($D$1=$AN$9,HLOOKUP("kdk mo",real_rku_07.jul,3,FALSE),IF($D$1=$AN$10,HLOOKUP("kdk mo",real_rku_08.ags,3,FALSE),IF($D$1=$AN$11,HLOOKUP("kdk mo",real_rku_09.sep,3,FALSE),IF($D$1=$AN$12,HLOOKUP("kdk mo",real_rku_10.okt,3,FALSE),IF($D$1=$AN$13,HLOOKUP("kdk mo",real_rku_11.nov,3,FALSE),IF($D$1=$AN$14,HLOOKUP("kdk mo",real_rku_12.des,3,FALSE),IF($D$1=$AN$15,HLOOKUP("kdk mo",real_rku_TW_I,3,FALSE),IF($D$1=$AN$16,HLOOKUP("kdk mo",real_rku_TW_II,3,FALSE),IF($D$1=$AN$17,HLOOKUP("kdk mo",real_rku_TW_III,3,FALSE),IF($D$1=$AN$18,HLOOKUP("kdk mo",real_rku_TW_IV,3,FALSE),IF($D$1=$AN$19,HLOOKUP("kdk mo",real_rku_SM_I,3,FALSE),IF($D$1=$AN$20,HLOOKUP("kdk mo",real_rku_SM_II,3,FALSE),IF($D$1=$AN$21,HLOOKUP("kdk mo",real_rku_2013,3,FALSE),IF($D$1=$AN$22,HLOOKUP("kdk mo",real_rku_jan_apr,3,FALSE),IF($D$1=$AN$23,HLOOKUP("kdk mo",real_rku_jan_mei,3,FALSE),IF($D$1=$AN$24,HLOOKUP("kdk mo",real_rku_jan_jul,3,FALSE),IF($D$1=$AN$25,HLOOKUP("kdk mo",real_rku_jan_ags,3,FALSE),IF($D$1=$AN$26,HLOOKUP("kdk mo",real_rku_jan_sep,3,FALSE),IF($D$1=$AN$27,HLOOKUP("kdk mo",real_rku_jan_okt,3,FALSE),IF($D$1=$AN$28,HLOOKUP("kdk mo",real_rku_jan_nov,3,FALSE),0)))))))))))))))))))))))))))</f>
        <v>1750000</v>
      </c>
      <c r="G81" s="88">
        <f>IF($D$1&lt;&gt;"",IF($D$1=$AN$3,HLOOKUP("kdk mo",real_rku_01.jan,4,FALSE),IF($D$1=$AN$4,HLOOKUP("kdk mo",real_rku_02.feb,4,FALSE),IF($D$1=$AN$5,HLOOKUP("kdk mo",real_rku_03.mar,4,FALSE),IF($D$1=$AN$6,HLOOKUP("kdk mo",real_rku_04.apr,4,FALSE),IF($D$1=$AN$7,HLOOKUP("kdk mo",real_rku_05.mei,4,FALSE),IF($D$1=$AN$8,HLOOKUP("kdk mo",real_rku_06.jun,4,FALSE),IF($D$1=$AN$9,HLOOKUP("kdk mo",real_rku_07.jul,4,FALSE),IF($D$1=$AN$10,HLOOKUP("kdk mo",real_rku_08.ags,4,FALSE),IF($D$1=$AN$11,HLOOKUP("kdk mo",real_rku_09.sep,4,FALSE),IF($D$1=$AN$12,HLOOKUP("kdk mo",real_rku_10.okt,4,FALSE),IF($D$1=$AN$13,HLOOKUP("kdk mo",real_rku_11.nov,4,FALSE),IF($D$1=$AN$14,HLOOKUP("kdk mo",real_rku_12.des,4,FALSE),IF($D$1=$AN$15,HLOOKUP("kdk mo",real_rku_TW_I,4,FALSE),IF($D$1=$AN$16,HLOOKUP("kdk mo",real_rku_TW_II,4,FALSE),IF($D$1=$AN$17,HLOOKUP("kdk mo",real_rku_TW_III,4,FALSE),IF($D$1=$AN$18,HLOOKUP("kdk mo",real_rku_TW_IV,4,FALSE),IF($D$1=$AN$19,HLOOKUP("kdk mo",real_rku_SM_I,4,FALSE),IF($D$1=$AN$20,HLOOKUP("kdk mo",real_rku_SM_II,4,FALSE),IF($D$1=$AN$21,HLOOKUP("kdk mo",real_rku_2013,4,FALSE),IF($D$1=$AN$22,HLOOKUP("kdk mo",real_rku_jan_apr,4,FALSE),IF($D$1=$AN$23,HLOOKUP("kdk mo",real_rku_jan_mei,4,FALSE),IF($D$1=$AN$24,HLOOKUP("kdk mo",real_rku_jan_jul,4,FALSE),IF($D$1=$AN$25,HLOOKUP("kdk mo",real_rku_jan_ags,4,FALSE),IF($D$1=$AN$26,HLOOKUP("kdk mo",real_rku_jan_sep,4,FALSE),IF($D$1=$AN$27,HLOOKUP("kdk mo",real_rku_jan_okt,4,FALSE),IF($D$1=$AN$28,HLOOKUP("kdk mo",real_rku_jan_nov,4,FALSE),0)))))))))))))))))))))))))))</f>
        <v>320000</v>
      </c>
      <c r="H81" s="88">
        <f>IF($D$1&lt;&gt;"",IF($D$1=$AN$3,HLOOKUP("kdk mo",real_rku_01.jan,5,FALSE),IF($D$1=$AN$4,HLOOKUP("kdk mo",real_rku_02.feb,5,FALSE),IF($D$1=$AN$5,HLOOKUP("kdk mo",real_rku_03.mar,5,FALSE),IF($D$1=$AN$6,HLOOKUP("kdk mo",real_rku_04.apr,5,FALSE),IF($D$1=$AN$7,HLOOKUP("kdk mo",real_rku_05.mei,5,FALSE),IF($D$1=$AN$8,HLOOKUP("kdk mo",real_rku_06.jun,5,FALSE),IF($D$1=$AN$9,HLOOKUP("kdk mo",real_rku_07.jul,5,FALSE),IF($D$1=$AN$10,HLOOKUP("kdk mo",real_rku_08.ags,5,FALSE),IF($D$1=$AN$11,HLOOKUP("kdk mo",real_rku_09.sep,5,FALSE),IF($D$1=$AN$12,HLOOKUP("kdk mo",real_rku_10.okt,5,FALSE),IF($D$1=$AN$13,HLOOKUP("kdk mo",real_rku_11.nov,5,FALSE),IF($D$1=$AN$14,HLOOKUP("kdk mo",real_rku_12.des,5,FALSE),IF($D$1=$AN$15,HLOOKUP("kdk mo",real_rku_TW_I,5,FALSE),IF($D$1=$AN$16,HLOOKUP("kdk mo",real_rku_TW_II,5,FALSE),IF($D$1=$AN$17,HLOOKUP("kdk mo",real_rku_TW_III,5,FALSE),IF($D$1=$AN$18,HLOOKUP("kdk mo",real_rku_TW_IV,5,FALSE),IF($D$1=$AN$19,HLOOKUP("kdk mo",real_rku_SM_I,5,FALSE),IF($D$1=$AN$20,HLOOKUP("kdk mo",real_rku_SM_II,5,FALSE),IF($D$1=$AN$21,HLOOKUP("kdk mo",real_rku_2013,5,FALSE),IF($D$1=$AN$22,HLOOKUP("kdk mo",real_rku_jan_apr,5,FALSE),IF($D$1=$AN$23,HLOOKUP("kdk mo",real_rku_jan_mei,5,FALSE),IF($D$1=$AN$24,HLOOKUP("kdk mo",real_rku_jan_jul,5,FALSE),IF($D$1=$AN$25,HLOOKUP("kdk mo",real_rku_jan_ags,5,FALSE),IF($D$1=$AN$26,HLOOKUP("kdk mo",real_rku_jan_sep,5,FALSE),IF($D$1=$AN$27,HLOOKUP("kdk mo",real_rku_jan_okt,5,FALSE),IF($D$1=$AN$28,HLOOKUP("kdk mo",real_rku_jan_nov,5,FALSE),0)))))))))))))))))))))))))))</f>
        <v>210000</v>
      </c>
      <c r="I81" s="88">
        <f>IF($D$1&lt;&gt;"",IF($D$1=$AN$3,HLOOKUP("kdk mo",real_rku_01.jan,6,FALSE),IF($D$1=$AN$4,HLOOKUP("kdk mo",real_rku_02.feb,6,FALSE),IF($D$1=$AN$5,HLOOKUP("kdk mo",real_rku_03.mar,6,FALSE),IF($D$1=$AN$6,HLOOKUP("kdk mo",real_rku_04.apr,6,FALSE),IF($D$1=$AN$7,HLOOKUP("kdk mo",real_rku_05.mei,6,FALSE),IF($D$1=$AN$8,HLOOKUP("kdk mo",real_rku_06.jun,6,FALSE),IF($D$1=$AN$9,HLOOKUP("kdk mo",real_rku_07.jul,6,FALSE),IF($D$1=$AN$10,HLOOKUP("kdk mo",real_rku_08.ags,6,FALSE),IF($D$1=$AN$11,HLOOKUP("kdk mo",real_rku_09.sep,6,FALSE),IF($D$1=$AN$12,HLOOKUP("kdk mo",real_rku_10.okt,6,FALSE),IF($D$1=$AN$13,HLOOKUP("kdk mo",real_rku_11.nov,6,FALSE),IF($D$1=$AN$14,HLOOKUP("kdk mo",real_rku_12.des,6,FALSE),IF($D$1=$AN$15,HLOOKUP("kdk mo",real_rku_TW_I,6,FALSE),IF($D$1=$AN$16,HLOOKUP("kdk mo",real_rku_TW_II,6,FALSE),IF($D$1=$AN$17,HLOOKUP("kdk mo",real_rku_TW_III,6,FALSE),IF($D$1=$AN$18,HLOOKUP("kdk mo",real_rku_TW_IV,6,FALSE),IF($D$1=$AN$19,HLOOKUP("kdk mo",real_rku_SM_I,6,FALSE),IF($D$1=$AN$20,HLOOKUP("kdk mo",real_rku_SM_II,6,FALSE),IF($D$1=$AN$21,HLOOKUP("kdk mo",real_rku_2013,6,FALSE),IF($D$1=$AN$22,HLOOKUP("kdk mo",real_rku_jan_apr,6,FALSE),IF($D$1=$AN$23,HLOOKUP("kdk mo",real_rku_jan_mei,6,FALSE),IF($D$1=$AN$24,HLOOKUP("kdk mo",real_rku_jan_jul,6,FALSE),IF($D$1=$AN$25,HLOOKUP("kdk mo",real_rku_jan_ags,6,FALSE),IF($D$1=$AN$26,HLOOKUP("kdk mo",real_rku_jan_sep,6,FALSE),IF($D$1=$AN$27,HLOOKUP("kdk mo",real_rku_jan_okt,6,FALSE),IF($D$1=$AN$28,HLOOKUP("kdk mo",real_rku_jan_nov,6,FALSE),0)))))))))))))))))))))))))))</f>
        <v>175000</v>
      </c>
      <c r="J81" s="88">
        <f>IF($D$1&lt;&gt;"",IF($D$1=$AN$3,HLOOKUP("kdk mo",real_rku_01.jan,7,FALSE),IF($D$1=$AN$4,HLOOKUP("kdk mo",real_rku_02.feb,7,FALSE),IF($D$1=$AN$5,HLOOKUP("kdk mo",real_rku_03.mar,7,FALSE),IF($D$1=$AN$6,HLOOKUP("kdk mo",real_rku_04.apr,7,FALSE),IF($D$1=$AN$7,HLOOKUP("kdk mo",real_rku_05.mei,7,FALSE),IF($D$1=$AN$8,HLOOKUP("kdk mo",real_rku_06.jun,7,FALSE),IF($D$1=$AN$9,HLOOKUP("kdk mo",real_rku_07.jul,7,FALSE),IF($D$1=$AN$10,HLOOKUP("kdk mo",real_rku_08.ags,7,FALSE),IF($D$1=$AN$11,HLOOKUP("kdk mo",real_rku_09.sep,7,FALSE),IF($D$1=$AN$12,HLOOKUP("kdk mo",real_rku_10.okt,7,FALSE),IF($D$1=$AN$13,HLOOKUP("kdk mo",real_rku_11.nov,7,FALSE),IF($D$1=$AN$14,HLOOKUP("kdk mo",real_rku_12.des,7,FALSE),IF($D$1=$AN$15,HLOOKUP("kdk mo",real_rku_TW_I,7,FALSE),IF($D$1=$AN$16,HLOOKUP("kdk mo",real_rku_TW_II,7,FALSE),IF($D$1=$AN$17,HLOOKUP("kdk mo",real_rku_TW_III,7,FALSE),IF($D$1=$AN$18,HLOOKUP("kdk mo",real_rku_TW_IV,7,FALSE),IF($D$1=$AN$19,HLOOKUP("kdk mo",real_rku_SM_I,7,FALSE),IF($D$1=$AN$20,HLOOKUP("kdk mo",real_rku_SM_II,7,FALSE),IF($D$1=$AN$21,HLOOKUP("kdk mo",real_rku_2013,7,FALSE),IF($D$1=$AN$22,HLOOKUP("kdk mo",real_rku_jan_apr,7,FALSE),IF($D$1=$AN$23,HLOOKUP("kdk mo",real_rku_jan_mei,7,FALSE),IF($D$1=$AN$24,HLOOKUP("kdk mo",real_rku_jan_jul,7,FALSE),IF($D$1=$AN$25,HLOOKUP("kdk mo",real_rku_jan_ags,7,FALSE),IF($D$1=$AN$26,HLOOKUP("kdk mo",real_rku_jan_sep,7,FALSE),IF($D$1=$AN$27,HLOOKUP("kdk mo",real_rku_jan_okt,7,FALSE),IF($D$1=$AN$28,HLOOKUP("kdk mo",real_rku_jan_nov,7,FALSE),0)))))))))))))))))))))))))))</f>
        <v>78000</v>
      </c>
      <c r="K81" s="88">
        <f>IF($D$1&lt;&gt;"",IF($D$1=$AN$3,HLOOKUP("kdk mo",real_rku_01.jan,8,FALSE),IF($D$1=$AN$4,HLOOKUP("kdk mo",real_rku_02.feb,8,FALSE),IF($D$1=$AN$5,HLOOKUP("kdk mo",real_rku_03.mar,8,FALSE),IF($D$1=$AN$6,HLOOKUP("kdk mo",real_rku_04.apr,8,FALSE),IF($D$1=$AN$7,HLOOKUP("kdk mo",real_rku_05.mei,8,FALSE),IF($D$1=$AN$8,HLOOKUP("kdk mo",real_rku_06.jun,8,FALSE),IF($D$1=$AN$9,HLOOKUP("kdk mo",real_rku_07.jul,8,FALSE),IF($D$1=$AN$10,HLOOKUP("kdk mo",real_rku_08.ags,8,FALSE),IF($D$1=$AN$11,HLOOKUP("kdk mo",real_rku_09.sep,8,FALSE),IF($D$1=$AN$12,HLOOKUP("kdk mo",real_rku_10.okt,8,FALSE),IF($D$1=$AN$13,HLOOKUP("kdk mo",real_rku_11.nov,8,FALSE),IF($D$1=$AN$14,HLOOKUP("kdk mo",real_rku_12.des,8,FALSE),IF($D$1=$AN$15,HLOOKUP("kdk mo",real_rku_TW_I,8,FALSE),IF($D$1=$AN$16,HLOOKUP("kdk mo",real_rku_TW_II,8,FALSE),IF($D$1=$AN$17,HLOOKUP("kdk mo",real_rku_TW_III,8,FALSE),IF($D$1=$AN$18,HLOOKUP("kdk mo",real_rku_TW_IV,8,FALSE),IF($D$1=$AN$19,HLOOKUP("kdk mo",real_rku_SM_I,8,FALSE),IF($D$1=$AN$20,HLOOKUP("kdk mo",real_rku_SM_II,8,FALSE),IF($D$1=$AN$21,HLOOKUP("kdk mo",real_rku_2013,8,FALSE),IF($D$1=$AN$22,HLOOKUP("kdk mo",real_rku_jan_apr,8,FALSE),IF($D$1=$AN$23,HLOOKUP("kdk mo",real_rku_jan_mei,8,FALSE),IF($D$1=$AN$24,HLOOKUP("kdk mo",real_rku_jan_jul,8,FALSE),IF($D$1=$AN$25,HLOOKUP("kdk mo",real_rku_jan_ags,8,FALSE),IF($D$1=$AN$26,HLOOKUP("kdk mo",real_rku_jan_sep,8,FALSE),IF($D$1=$AN$27,HLOOKUP("kdk mo",real_rku_jan_okt,8,FALSE),IF($D$1=$AN$28,HLOOKUP("kdk mo",real_rku_jan_nov,8,FALSE),0)))))))))))))))))))))))))))</f>
        <v>2000</v>
      </c>
      <c r="L81" s="89">
        <f>+SUM(E81:K81)</f>
        <v>4635000</v>
      </c>
      <c r="M81" s="88">
        <f>IF($D$1&lt;&gt;"",IF($D$1=$AN$3,HLOOKUP("kdk mo",real_rku_01.jan,10,FALSE),IF($D$1=$AN$4,HLOOKUP("kdk mo",real_rku_02.feb,10,FALSE),IF($D$1=$AN$5,HLOOKUP("kdk mo",real_rku_03.mar,10,FALSE),IF($D$1=$AN$6,HLOOKUP("kdk mo",real_rku_04.apr,10,FALSE),IF($D$1=$AN$7,HLOOKUP("kdk mo",real_rku_05.mei,10,FALSE),IF($D$1=$AN$8,HLOOKUP("kdk mo",real_rku_06.jun,10,FALSE),IF($D$1=$AN$9,HLOOKUP("kdk mo",real_rku_07.jul,10,FALSE),IF($D$1=$AN$10,HLOOKUP("kdk mo",real_rku_08.ags,10,FALSE),IF($D$1=$AN$11,HLOOKUP("kdk mo",real_rku_09.sep,10,FALSE),IF($D$1=$AN$12,HLOOKUP("kdk mo",real_rku_10.okt,10,FALSE),IF($D$1=$AN$13,HLOOKUP("kdk mo",real_rku_11.nov,10,FALSE),IF($D$1=$AN$14,HLOOKUP("kdk mo",real_rku_12.des,10,FALSE),IF($D$1=$AN$15,HLOOKUP("kdk mo",real_rku_TW_I,10,FALSE),IF($D$1=$AN$16,HLOOKUP("kdk mo",real_rku_TW_II,10,FALSE),IF($D$1=$AN$17,HLOOKUP("kdk mo",real_rku_TW_III,10,FALSE),IF($D$1=$AN$18,HLOOKUP("kdk mo",real_rku_TW_IV,10,FALSE),IF($D$1=$AN$19,HLOOKUP("kdk mo",real_rku_SM_I,10,FALSE),IF($D$1=$AN$20,HLOOKUP("kdk mo",real_rku_SM_II,10,FALSE),IF($D$1=$AN$21,HLOOKUP("kdk mo",real_rku_2013,10,FALSE),IF($D$1=$AN$22,HLOOKUP("kdk mo",real_rku_jan_apr,10,FALSE),IF($D$1=$AN$23,HLOOKUP("kdk mo",real_rku_jan_mei,10,FALSE),IF($D$1=$AN$24,HLOOKUP("kdk mo",real_rku_jan_jul,10,FALSE),IF($D$1=$AN$25,HLOOKUP("kdk mo",real_rku_jan_ags,10,FALSE),IF($D$1=$AN$26,HLOOKUP("kdk mo",real_rku_jan_sep,10,FALSE),IF($D$1=$AN$27,HLOOKUP("kdk mo",real_rku_jan_okt,10,FALSE),IF($D$1=$AN$28,HLOOKUP("kdk mo",real_rku_jan_nov,10,FALSE),0)))))))))))))))))))))))))))</f>
        <v>5500</v>
      </c>
      <c r="N81" s="88">
        <f>IF($D$1&lt;&gt;"",IF($D$1=$AN$3,HLOOKUP("kdk mo",real_rku_01.jan,11,FALSE),IF($D$1=$AN$4,HLOOKUP("kdk mo",real_rku_02.feb,11,FALSE),IF($D$1=$AN$5,HLOOKUP("kdk mo",real_rku_03.mar,11,FALSE),IF($D$1=$AN$6,HLOOKUP("kdk mo",real_rku_04.apr,11,FALSE),IF($D$1=$AN$7,HLOOKUP("kdk mo",real_rku_05.mei,11,FALSE),IF($D$1=$AN$8,HLOOKUP("kdk mo",real_rku_06.jun,11,FALSE),IF($D$1=$AN$9,HLOOKUP("kdk mo",real_rku_07.jul,11,FALSE),IF($D$1=$AN$10,HLOOKUP("kdk mo",real_rku_08.ags,11,FALSE),IF($D$1=$AN$11,HLOOKUP("kdk mo",real_rku_09.sep,11,FALSE),IF($D$1=$AN$12,HLOOKUP("kdk mo",real_rku_10.okt,11,FALSE),IF($D$1=$AN$13,HLOOKUP("kdk mo",real_rku_11.nov,11,FALSE),IF($D$1=$AN$14,HLOOKUP("kdk mo",real_rku_12.des,11,FALSE),IF($D$1=$AN$15,HLOOKUP("kdk mo",real_rku_TW_I,11,FALSE),IF($D$1=$AN$16,HLOOKUP("kdk mo",real_rku_TW_II,11,FALSE),IF($D$1=$AN$17,HLOOKUP("kdk mo",real_rku_TW_III,11,FALSE),IF($D$1=$AN$18,HLOOKUP("kdk mo",real_rku_TW_IV,11,FALSE),IF($D$1=$AN$19,HLOOKUP("kdk mo",real_rku_SM_I,11,FALSE),IF($D$1=$AN$20,HLOOKUP("kdk mo",real_rku_SM_II,11,FALSE),IF($D$1=$AN$21,HLOOKUP("kdk mo",real_rku_2013,11,FALSE),IF($D$1=$AN$22,HLOOKUP("kdk mo",real_rku_jan_apr,11,FALSE),IF($D$1=$AN$23,HLOOKUP("kdk mo",real_rku_jan_mei,11,FALSE),IF($D$1=$AN$24,HLOOKUP("kdk mo",real_rku_jan_jul,11,FALSE),IF($D$1=$AN$25,HLOOKUP("kdk mo",real_rku_jan_ags,11,FALSE),IF($D$1=$AN$26,HLOOKUP("kdk mo",real_rku_jan_sep,11,FALSE),IF($D$1=$AN$27,HLOOKUP("kdk mo",real_rku_jan_okt,11,FALSE),IF($D$1=$AN$28,HLOOKUP("kdk mo",real_rku_jan_nov,11,FALSE),0)))))))))))))))))))))))))))</f>
        <v>3500</v>
      </c>
      <c r="O81" s="88">
        <f>IF($D$1&lt;&gt;"",IF($D$1=$AN$3,HLOOKUP("kdk mo",real_rku_01.jan,12,FALSE),IF($D$1=$AN$4,HLOOKUP("kdk mo",real_rku_02.feb,12,FALSE),IF($D$1=$AN$5,HLOOKUP("kdk mo",real_rku_03.mar,12,FALSE),IF($D$1=$AN$6,HLOOKUP("kdk mo",real_rku_04.apr,12,FALSE),IF($D$1=$AN$7,HLOOKUP("kdk mo",real_rku_05.mei,12,FALSE),IF($D$1=$AN$8,HLOOKUP("kdk mo",real_rku_06.jun,12,FALSE),IF($D$1=$AN$9,HLOOKUP("kdk mo",real_rku_07.jul,12,FALSE),IF($D$1=$AN$10,HLOOKUP("kdk mo",real_rku_08.ags,12,FALSE),IF($D$1=$AN$11,HLOOKUP("kdk mo",real_rku_09.sep,12,FALSE),IF($D$1=$AN$12,HLOOKUP("kdk mo",real_rku_10.okt,12,FALSE),IF($D$1=$AN$13,HLOOKUP("kdk mo",real_rku_11.nov,12,FALSE),IF($D$1=$AN$14,HLOOKUP("kdk mo",real_rku_12.des,12,FALSE),IF($D$1=$AN$15,HLOOKUP("kdk mo",real_rku_TW_I,12,FALSE),IF($D$1=$AN$16,HLOOKUP("kdk mo",real_rku_TW_II,12,FALSE),IF($D$1=$AN$17,HLOOKUP("kdk mo",real_rku_TW_III,12,FALSE),IF($D$1=$AN$18,HLOOKUP("kdk mo",real_rku_TW_IV,12,FALSE),IF($D$1=$AN$19,HLOOKUP("kdk mo",real_rku_SM_I,12,FALSE),IF($D$1=$AN$20,HLOOKUP("kdk mo",real_rku_SM_II,12,FALSE),IF($D$1=$AN$21,HLOOKUP("kdk mo",real_rku_2013,12,FALSE),IF($D$1=$AN$22,HLOOKUP("kdk mo",real_rku_jan_apr,12,FALSE),IF($D$1=$AN$23,HLOOKUP("kdk mo",real_rku_jan_mei,12,FALSE),IF($D$1=$AN$24,HLOOKUP("kdk mo",real_rku_jan_jul,12,FALSE),IF($D$1=$AN$25,HLOOKUP("kdk mo",real_rku_jan_ags,12,FALSE),IF($D$1=$AN$26,HLOOKUP("kdk mo",real_rku_jan_sep,12,FALSE),IF($D$1=$AN$27,HLOOKUP("kdk mo",real_rku_jan_okt,12,FALSE),IF($D$1=$AN$28,HLOOKUP("kdk mo",real_rku_jan_nov,12,FALSE),0)))))))))))))))))))))))))))</f>
        <v>1800</v>
      </c>
      <c r="P81" s="88">
        <f>IF($D$1&lt;&gt;"",IF($D$1=$AN$3,HLOOKUP("kdk mo",real_rku_01.jan,13,FALSE),IF($D$1=$AN$4,HLOOKUP("kdk mo",real_rku_02.feb,13,FALSE),IF($D$1=$AN$5,HLOOKUP("kdk mo",real_rku_03.mar,13,FALSE),IF($D$1=$AN$6,HLOOKUP("kdk mo",real_rku_04.apr,13,FALSE),IF($D$1=$AN$7,HLOOKUP("kdk mo",real_rku_05.mei,13,FALSE),IF($D$1=$AN$8,HLOOKUP("kdk mo",real_rku_06.jun,13,FALSE),IF($D$1=$AN$9,HLOOKUP("kdk mo",real_rku_07.jul,13,FALSE),IF($D$1=$AN$10,HLOOKUP("kdk mo",real_rku_08.ags,13,FALSE),IF($D$1=$AN$11,HLOOKUP("kdk mo",real_rku_09.sep,13,FALSE),IF($D$1=$AN$12,HLOOKUP("kdk mo",real_rku_10.okt,13,FALSE),IF($D$1=$AN$13,HLOOKUP("kdk mo",real_rku_11.nov,13,FALSE),IF($D$1=$AN$14,HLOOKUP("kdk mo",real_rku_12.des,13,FALSE),IF($D$1=$AN$15,HLOOKUP("kdk mo",real_rku_TW_I,13,FALSE),IF($D$1=$AN$16,HLOOKUP("kdk mo",real_rku_TW_II,13,FALSE),IF($D$1=$AN$17,HLOOKUP("kdk mo",real_rku_TW_III,13,FALSE),IF($D$1=$AN$18,HLOOKUP("kdk mo",real_rku_TW_IV,13,FALSE),IF($D$1=$AN$19,HLOOKUP("kdk mo",real_rku_SM_I,13,FALSE),IF($D$1=$AN$20,HLOOKUP("kdk mo",real_rku_SM_II,13,FALSE),IF($D$1=$AN$21,HLOOKUP("kdk mo",real_rku_2013,13,FALSE),IF($D$1=$AN$22,HLOOKUP("kdk mo",real_rku_jan_apr,13,FALSE),IF($D$1=$AN$23,HLOOKUP("kdk mo",real_rku_jan_mei,13,FALSE),IF($D$1=$AN$24,HLOOKUP("kdk mo",real_rku_jan_jul,13,FALSE),IF($D$1=$AN$25,HLOOKUP("kdk mo",real_rku_jan_ags,13,FALSE),IF($D$1=$AN$26,HLOOKUP("kdk mo",real_rku_jan_sep,13,FALSE),IF($D$1=$AN$27,HLOOKUP("kdk mo",real_rku_jan_okt,13,FALSE),IF($D$1=$AN$28,HLOOKUP("kdk mo",real_rku_jan_nov,13,FALSE),0)))))))))))))))))))))))))))</f>
        <v>800</v>
      </c>
      <c r="Q81" s="88">
        <f>IF($D$1&lt;&gt;"",IF($D$1=$AN$3,HLOOKUP("kdk mo",real_rku_01.jan,14,FALSE),IF($D$1=$AN$4,HLOOKUP("kdk mo",real_rku_02.feb,14,FALSE),IF($D$1=$AN$5,HLOOKUP("kdk mo",real_rku_03.mar,14,FALSE),IF($D$1=$AN$6,HLOOKUP("kdk mo",real_rku_04.apr,14,FALSE),IF($D$1=$AN$7,HLOOKUP("kdk mo",real_rku_05.mei,14,FALSE),IF($D$1=$AN$8,HLOOKUP("kdk mo",real_rku_06.jun,14,FALSE),IF($D$1=$AN$9,HLOOKUP("kdk mo",real_rku_07.jul,14,FALSE),IF($D$1=$AN$10,HLOOKUP("kdk mo",real_rku_08.ags,14,FALSE),IF($D$1=$AN$11,HLOOKUP("kdk mo",real_rku_09.sep,14,FALSE),IF($D$1=$AN$12,HLOOKUP("kdk mo",real_rku_10.okt,14,FALSE),IF($D$1=$AN$13,HLOOKUP("kdk mo",real_rku_11.nov,14,FALSE),IF($D$1=$AN$14,HLOOKUP("kdk mo",real_rku_12.des,14,FALSE),IF($D$1=$AN$15,HLOOKUP("kdk mo",real_rku_TW_I,14,FALSE),IF($D$1=$AN$16,HLOOKUP("kdk mo",real_rku_TW_II,14,FALSE),IF($D$1=$AN$17,HLOOKUP("kdk mo",real_rku_TW_III,14,FALSE),IF($D$1=$AN$18,HLOOKUP("kdk mo",real_rku_TW_IV,14,FALSE),IF($D$1=$AN$19,HLOOKUP("kdk mo",real_rku_SM_I,14,FALSE),IF($D$1=$AN$20,HLOOKUP("kdk mo",real_rku_SM_II,14,FALSE),IF($D$1=$AN$21,HLOOKUP("kdk mo",real_rku_2013,14,FALSE),IF($D$1=$AN$22,HLOOKUP("kdk mo",real_rku_jan_apr,14,FALSE),IF($D$1=$AN$23,HLOOKUP("kdk mo",real_rku_jan_mei,14,FALSE),IF($D$1=$AN$24,HLOOKUP("kdk mo",real_rku_jan_jul,14,FALSE),IF($D$1=$AN$25,HLOOKUP("kdk mo",real_rku_jan_ags,14,FALSE),IF($D$1=$AN$26,HLOOKUP("kdk mo",real_rku_jan_sep,14,FALSE),IF($D$1=$AN$27,HLOOKUP("kdk mo",real_rku_jan_okt,14,FALSE),IF($D$1=$AN$28,HLOOKUP("kdk mo",real_rku_jan_nov,14,FALSE),0)))))))))))))))))))))))))))</f>
        <v>0</v>
      </c>
      <c r="R81" s="89">
        <f>+SUM(M81:Q81)</f>
        <v>11600</v>
      </c>
      <c r="S81" s="88">
        <f>+R81+L81</f>
        <v>4646600</v>
      </c>
      <c r="T81" s="76"/>
      <c r="U81" s="86"/>
      <c r="V81" s="87"/>
      <c r="W81" s="87" t="s">
        <v>182</v>
      </c>
      <c r="X81" s="88">
        <f t="shared" si="111"/>
        <v>1050</v>
      </c>
      <c r="Y81" s="88">
        <f t="shared" si="111"/>
        <v>1750</v>
      </c>
      <c r="Z81" s="88">
        <f t="shared" si="111"/>
        <v>800</v>
      </c>
      <c r="AA81" s="88">
        <f t="shared" si="111"/>
        <v>1050</v>
      </c>
      <c r="AB81" s="88">
        <f t="shared" si="111"/>
        <v>1750</v>
      </c>
      <c r="AC81" s="88">
        <f t="shared" si="111"/>
        <v>1950</v>
      </c>
      <c r="AD81" s="88">
        <f t="shared" si="111"/>
        <v>100</v>
      </c>
      <c r="AE81" s="89">
        <f>+SUM(X81:AD81)</f>
        <v>8450</v>
      </c>
      <c r="AF81" s="88">
        <f t="shared" si="112"/>
        <v>1100</v>
      </c>
      <c r="AG81" s="88">
        <f t="shared" si="112"/>
        <v>1400</v>
      </c>
      <c r="AH81" s="88">
        <f t="shared" si="112"/>
        <v>900</v>
      </c>
      <c r="AI81" s="88">
        <f t="shared" si="112"/>
        <v>800</v>
      </c>
      <c r="AJ81" s="88">
        <f t="shared" si="112"/>
        <v>0</v>
      </c>
      <c r="AK81" s="89">
        <f>+SUM(AF81:AJ81)</f>
        <v>4200</v>
      </c>
      <c r="AL81" s="88">
        <f>+AK81+AE81</f>
        <v>12650</v>
      </c>
    </row>
    <row r="82" spans="2:39" ht="15" x14ac:dyDescent="0.25">
      <c r="B82" s="86"/>
      <c r="C82" s="87"/>
      <c r="D82" s="87" t="s">
        <v>184</v>
      </c>
      <c r="E82" s="88">
        <f t="shared" ref="E82:K82" si="113">+E80-E81</f>
        <v>-274000</v>
      </c>
      <c r="F82" s="88">
        <f t="shared" si="113"/>
        <v>-209000</v>
      </c>
      <c r="G82" s="88">
        <f t="shared" si="113"/>
        <v>-427200</v>
      </c>
      <c r="H82" s="88">
        <f t="shared" si="113"/>
        <v>-224200</v>
      </c>
      <c r="I82" s="88">
        <f t="shared" si="113"/>
        <v>-169800</v>
      </c>
      <c r="J82" s="88">
        <f t="shared" si="113"/>
        <v>-53720</v>
      </c>
      <c r="K82" s="88">
        <f t="shared" si="113"/>
        <v>4860</v>
      </c>
      <c r="L82" s="89">
        <f>+SUM(E82:K82)</f>
        <v>-1353060</v>
      </c>
      <c r="M82" s="88">
        <f>+M80-M81</f>
        <v>-7870</v>
      </c>
      <c r="N82" s="88">
        <f>+N80-N81</f>
        <v>-1140</v>
      </c>
      <c r="O82" s="88">
        <f>+O80-O81</f>
        <v>-134</v>
      </c>
      <c r="P82" s="88">
        <f>+P80-P81</f>
        <v>-188</v>
      </c>
      <c r="Q82" s="88">
        <f>+Q80-Q81</f>
        <v>0</v>
      </c>
      <c r="R82" s="89">
        <f>+SUM(M82:Q82)</f>
        <v>-9332</v>
      </c>
      <c r="S82" s="88">
        <f>+R82+L82</f>
        <v>-1362392</v>
      </c>
      <c r="T82" s="88"/>
      <c r="U82" s="86"/>
      <c r="V82" s="87"/>
      <c r="W82" s="87" t="s">
        <v>184</v>
      </c>
      <c r="X82" s="88">
        <f t="shared" ref="X82:AD82" si="114">+X80-X81</f>
        <v>-137</v>
      </c>
      <c r="Y82" s="88">
        <f t="shared" si="114"/>
        <v>-209</v>
      </c>
      <c r="Z82" s="88">
        <f t="shared" si="114"/>
        <v>-1068</v>
      </c>
      <c r="AA82" s="88">
        <f t="shared" si="114"/>
        <v>-1121</v>
      </c>
      <c r="AB82" s="88">
        <f t="shared" si="114"/>
        <v>-1698</v>
      </c>
      <c r="AC82" s="88">
        <f t="shared" si="114"/>
        <v>-1343</v>
      </c>
      <c r="AD82" s="88">
        <f t="shared" si="114"/>
        <v>243</v>
      </c>
      <c r="AE82" s="89">
        <f>+SUM(X82:AD82)</f>
        <v>-5333</v>
      </c>
      <c r="AF82" s="88">
        <f>+AF80-AF81</f>
        <v>-1574</v>
      </c>
      <c r="AG82" s="88">
        <f>+AG80-AG81</f>
        <v>-456</v>
      </c>
      <c r="AH82" s="88">
        <f>+AH80-AH81</f>
        <v>-67</v>
      </c>
      <c r="AI82" s="88">
        <f>+AI80-AI81</f>
        <v>-188</v>
      </c>
      <c r="AJ82" s="88">
        <f>+AJ80-AJ81</f>
        <v>0</v>
      </c>
      <c r="AK82" s="89">
        <f>+SUM(AF82:AJ82)</f>
        <v>-2285</v>
      </c>
      <c r="AL82" s="88">
        <f>+AK82+AE82</f>
        <v>-7618</v>
      </c>
      <c r="AM82" s="91">
        <f>+AL82/550</f>
        <v>-13.850909090909092</v>
      </c>
    </row>
    <row r="83" spans="2:39" ht="14.25" x14ac:dyDescent="0.2">
      <c r="B83" s="86"/>
      <c r="C83" s="108"/>
      <c r="D83" s="109" t="s">
        <v>186</v>
      </c>
      <c r="E83" s="110">
        <f t="shared" ref="E83:S83" si="115">IF(E80=0,"-",E81/E80)</f>
        <v>1.1500547645125958</v>
      </c>
      <c r="F83" s="110">
        <f t="shared" si="115"/>
        <v>1.1356262167423752</v>
      </c>
      <c r="G83" s="110">
        <f t="shared" si="115"/>
        <v>-2.9850746268656718</v>
      </c>
      <c r="H83" s="110">
        <f t="shared" si="115"/>
        <v>-14.788732394366198</v>
      </c>
      <c r="I83" s="110">
        <f t="shared" si="115"/>
        <v>33.653846153846153</v>
      </c>
      <c r="J83" s="110">
        <f t="shared" si="115"/>
        <v>3.212520593080725</v>
      </c>
      <c r="K83" s="110">
        <f t="shared" si="115"/>
        <v>0.29154518950437319</v>
      </c>
      <c r="L83" s="111">
        <f t="shared" si="115"/>
        <v>1.4122744474304831</v>
      </c>
      <c r="M83" s="110">
        <f t="shared" si="115"/>
        <v>-2.3206751054852321</v>
      </c>
      <c r="N83" s="110">
        <f t="shared" si="115"/>
        <v>1.4830508474576272</v>
      </c>
      <c r="O83" s="120">
        <f t="shared" si="115"/>
        <v>1.0804321728691477</v>
      </c>
      <c r="P83" s="110">
        <f t="shared" si="115"/>
        <v>1.3071895424836601</v>
      </c>
      <c r="Q83" s="110" t="str">
        <f t="shared" si="115"/>
        <v>-</v>
      </c>
      <c r="R83" s="111">
        <f t="shared" si="115"/>
        <v>5.1146384479717817</v>
      </c>
      <c r="S83" s="110">
        <f t="shared" si="115"/>
        <v>1.4148312165368333</v>
      </c>
      <c r="T83" s="95">
        <f>+S83*$T$6</f>
        <v>0.99038185157578329</v>
      </c>
      <c r="U83" s="86"/>
      <c r="V83" s="108"/>
      <c r="W83" s="109" t="s">
        <v>186</v>
      </c>
      <c r="X83" s="110">
        <f t="shared" ref="X83:AL83" si="116">IF(X80=0,"-",X81/X80)</f>
        <v>1.1500547645125958</v>
      </c>
      <c r="Y83" s="110">
        <f t="shared" si="116"/>
        <v>1.1356262167423752</v>
      </c>
      <c r="Z83" s="110">
        <f t="shared" si="116"/>
        <v>-2.9850746268656718</v>
      </c>
      <c r="AA83" s="110">
        <f t="shared" si="116"/>
        <v>-14.788732394366198</v>
      </c>
      <c r="AB83" s="110">
        <f t="shared" si="116"/>
        <v>33.653846153846153</v>
      </c>
      <c r="AC83" s="110">
        <f t="shared" si="116"/>
        <v>3.212520593080725</v>
      </c>
      <c r="AD83" s="110">
        <f t="shared" si="116"/>
        <v>0.29154518950437319</v>
      </c>
      <c r="AE83" s="111">
        <f t="shared" si="116"/>
        <v>2.710940006416426</v>
      </c>
      <c r="AF83" s="110">
        <f t="shared" si="116"/>
        <v>-2.3206751054852321</v>
      </c>
      <c r="AG83" s="110">
        <f t="shared" si="116"/>
        <v>1.4830508474576272</v>
      </c>
      <c r="AH83" s="110">
        <f t="shared" si="116"/>
        <v>1.0804321728691477</v>
      </c>
      <c r="AI83" s="110">
        <f t="shared" si="116"/>
        <v>1.3071895424836601</v>
      </c>
      <c r="AJ83" s="110" t="str">
        <f t="shared" si="116"/>
        <v>-</v>
      </c>
      <c r="AK83" s="111">
        <f t="shared" si="116"/>
        <v>2.1932114882506526</v>
      </c>
      <c r="AL83" s="110">
        <f t="shared" si="116"/>
        <v>2.5139109697933226</v>
      </c>
    </row>
    <row r="84" spans="2:39" ht="14.25" x14ac:dyDescent="0.2">
      <c r="B84" s="103"/>
      <c r="C84" s="116"/>
      <c r="D84" s="116"/>
      <c r="E84" s="98">
        <f>+E83*$L$6</f>
        <v>0.34501642935377874</v>
      </c>
      <c r="F84" s="98">
        <f t="shared" ref="F84:K84" si="117">+F83*$L$6</f>
        <v>0.34068786502271253</v>
      </c>
      <c r="G84" s="98">
        <f t="shared" si="117"/>
        <v>-0.89552238805970152</v>
      </c>
      <c r="H84" s="98">
        <f t="shared" si="117"/>
        <v>-4.436619718309859</v>
      </c>
      <c r="I84" s="98">
        <f t="shared" si="117"/>
        <v>10.096153846153845</v>
      </c>
      <c r="J84" s="98">
        <f t="shared" si="117"/>
        <v>0.96375617792421742</v>
      </c>
      <c r="K84" s="98">
        <f t="shared" si="117"/>
        <v>8.7463556851311949E-2</v>
      </c>
      <c r="L84" s="98"/>
      <c r="M84" s="98">
        <f t="shared" ref="M84:O84" si="118">+M83*$L$6</f>
        <v>-0.69620253164556967</v>
      </c>
      <c r="N84" s="98">
        <f t="shared" si="118"/>
        <v>0.44491525423728812</v>
      </c>
      <c r="O84" s="98">
        <f t="shared" si="118"/>
        <v>0.32412965186074433</v>
      </c>
      <c r="P84" s="98">
        <v>0</v>
      </c>
      <c r="Q84" s="98"/>
      <c r="R84" s="117"/>
      <c r="S84" s="98">
        <f>+AVERAGE(E84:Q84)</f>
        <v>0.59761619485352435</v>
      </c>
      <c r="T84" s="100">
        <f>+S84+T83</f>
        <v>1.5879980464293078</v>
      </c>
      <c r="U84" s="103"/>
      <c r="V84" s="116"/>
      <c r="W84" s="116"/>
      <c r="X84" s="118"/>
      <c r="Y84" s="118"/>
      <c r="Z84" s="118"/>
      <c r="AA84" s="118"/>
      <c r="AB84" s="118"/>
      <c r="AC84" s="118"/>
      <c r="AD84" s="118"/>
      <c r="AE84" s="117">
        <f>+SUM(X84:AD84)</f>
        <v>0</v>
      </c>
      <c r="AF84" s="118"/>
      <c r="AG84" s="118"/>
      <c r="AH84" s="118"/>
      <c r="AI84" s="118"/>
      <c r="AJ84" s="118"/>
      <c r="AK84" s="117">
        <f>+SUM(AF84:AJ84)</f>
        <v>0</v>
      </c>
      <c r="AL84" s="119">
        <f>+AK84+AE84</f>
        <v>0</v>
      </c>
    </row>
    <row r="85" spans="2:39" ht="14.25" x14ac:dyDescent="0.2">
      <c r="B85" s="81">
        <v>16</v>
      </c>
      <c r="C85" s="83" t="s">
        <v>216</v>
      </c>
      <c r="D85" s="83" t="s">
        <v>180</v>
      </c>
      <c r="E85" s="84">
        <f>IF($D$1&lt;&gt;"",IF($D$1=$AN$3,HLOOKUP("cn",rku_01.jan,2,FALSE),IF($D$1=$AN$4,HLOOKUP("cn",rku_02.feb,2,FALSE),IF($D$1=$AN$5,HLOOKUP("cn",rku_03.mar,2,FALSE),IF($D$1=$AN$6,HLOOKUP("cn",rku_04.apr,2,FALSE),IF($D$1=$AN$7,HLOOKUP("cn",rku_05.mei,2,FALSE),IF($D$1=$AN$8,HLOOKUP("cn",rku_06.jun,2,FALSE),IF($D$1=$AN$9,HLOOKUP("cn",rku_07.jul,2,FALSE),IF($D$1=$AN$10,HLOOKUP("cn",rku_08.ags,2,FALSE),IF($D$1=$AN$11,HLOOKUP("cn",rku_09.sep,2,FALSE),IF($D$1=$AN$12,HLOOKUP("cn",rku_10.okt,2,FALSE),IF($D$1=$AN$13,HLOOKUP("cn",rku_11.nov,2,FALSE),IF($D$1=$AN$14,HLOOKUP("cn",rku_12.des,2,FALSE),IF($D$1=$AN$15,HLOOKUP("cn",rku_TW_I,2,FALSE),IF($D$1=$AN$16,HLOOKUP("cn",rku_TW_II,2,FALSE),IF($D$1=$AN$17,HLOOKUP("cn",rku_TW_III,2,FALSE),IF($D$1=$AN$18,HLOOKUP("cn",rku_TW_IV,2,FALSE),IF($D$1=$AN$19,HLOOKUP("cn",rku_SM_I,2,FALSE),IF($D$1=$AN$20,HLOOKUP("cn",rku_SM_II,2,FALSE),IF($D$1=$AN$21,HLOOKUP("cn",rku_2013,2,FALSE),IF($D$1=$AN$22,HLOOKUP("cn",rku_jan_apr,2,FALSE),IF($D$1=$AN$23,HLOOKUP("cn",rku_jan_mei,2,FALSE),IF($D$1=$AN$24,HLOOKUP("cn",rku_jan_jul,2,FALSE),IF($D$1=$AN$25,HLOOKUP("cn",rku_jan_ags,2,FALSE),IF($D$1=$AN$26,HLOOKUP("cn",rku_jan_sep,2,FALSE),IF($D$1=$AN$27,HLOOKUP("cn",rku_jan_okt,2,FALSE),IF($D$1=$AN$28,HLOOKUP("cn",rku_jan_nov,2,FALSE),0)))))))))))))))))))))))))))</f>
        <v>1068000</v>
      </c>
      <c r="F85" s="84">
        <f>IF($D$1&lt;&gt;"",IF($D$1=$AN$3,HLOOKUP("cn",rku_01.jan,3,FALSE),IF($D$1=$AN$4,HLOOKUP("cn",rku_02.feb,3,FALSE),IF($D$1=$AN$5,HLOOKUP("cn",rku_03.mar,3,FALSE),IF($D$1=$AN$6,HLOOKUP("cn",rku_04.apr,3,FALSE),IF($D$1=$AN$7,HLOOKUP("cn",rku_05.mei,3,FALSE),IF($D$1=$AN$8,HLOOKUP("cn",rku_06.jun,3,FALSE),IF($D$1=$AN$9,HLOOKUP("cn",rku_07.jul,3,FALSE),IF($D$1=$AN$10,HLOOKUP("cn",rku_08.ags,3,FALSE),IF($D$1=$AN$11,HLOOKUP("cn",rku_09.sep,3,FALSE),IF($D$1=$AN$12,HLOOKUP("cn",rku_10.okt,3,FALSE),IF($D$1=$AN$13,HLOOKUP("cn",rku_11.nov,3,FALSE),IF($D$1=$AN$14,HLOOKUP("cn",rku_12.des,3,FALSE),IF($D$1=$AN$15,HLOOKUP("cn",rku_TW_I,3,FALSE),IF($D$1=$AN$16,HLOOKUP("cn",rku_TW_II,3,FALSE),IF($D$1=$AN$17,HLOOKUP("cn",rku_TW_III,3,FALSE),IF($D$1=$AN$18,HLOOKUP("cn",rku_TW_IV,3,FALSE),IF($D$1=$AN$19,HLOOKUP("cn",rku_SM_I,3,FALSE),IF($D$1=$AN$20,HLOOKUP("cn",rku_SM_II,3,FALSE),IF($D$1=$AN$21,HLOOKUP("cn",rku_2013,3,FALSE),IF($D$1=$AN$22,HLOOKUP("cn",rku_jan_apr,3,FALSE),IF($D$1=$AN$23,HLOOKUP("cn",rku_jan_mei,3,FALSE),IF($D$1=$AN$24,HLOOKUP("cn",rku_jan_jul,3,FALSE),IF($D$1=$AN$25,HLOOKUP("cn",rku_jan_ags,3,FALSE),IF($D$1=$AN$26,HLOOKUP("cn",rku_jan_sep,3,FALSE),IF($D$1=$AN$27,HLOOKUP("cn",rku_jan_okt,3,FALSE),IF($D$1=$AN$28,HLOOKUP("cn",rku_jan_nov,3,FALSE),0)))))))))))))))))))))))))))</f>
        <v>-1257000</v>
      </c>
      <c r="G85" s="84">
        <f>IF($D$1&lt;&gt;"",IF($D$1=$AN$3,HLOOKUP("cn",rku_01.jan,4,FALSE),IF($D$1=$AN$4,HLOOKUP("cn",rku_02.feb,4,FALSE),IF($D$1=$AN$5,HLOOKUP("cn",rku_03.mar,4,FALSE),IF($D$1=$AN$6,HLOOKUP("cn",rku_04.apr,4,FALSE),IF($D$1=$AN$7,HLOOKUP("cn",rku_05.mei,4,FALSE),IF($D$1=$AN$8,HLOOKUP("cn",rku_06.jun,4,FALSE),IF($D$1=$AN$9,HLOOKUP("cn",rku_07.jul,4,FALSE),IF($D$1=$AN$10,HLOOKUP("cn",rku_08.ags,4,FALSE),IF($D$1=$AN$11,HLOOKUP("cn",rku_09.sep,4,FALSE),IF($D$1=$AN$12,HLOOKUP("cn",rku_10.okt,4,FALSE),IF($D$1=$AN$13,HLOOKUP("cn",rku_11.nov,4,FALSE),IF($D$1=$AN$14,HLOOKUP("cn",rku_12.des,4,FALSE),IF($D$1=$AN$15,HLOOKUP("cn",rku_TW_I,4,FALSE),IF($D$1=$AN$16,HLOOKUP("cn",rku_TW_II,4,FALSE),IF($D$1=$AN$17,HLOOKUP("cn",rku_TW_III,4,FALSE),IF($D$1=$AN$18,HLOOKUP("cn",rku_TW_IV,4,FALSE),IF($D$1=$AN$19,HLOOKUP("cn",rku_SM_I,4,FALSE),IF($D$1=$AN$20,HLOOKUP("cn",rku_SM_II,4,FALSE),IF($D$1=$AN$21,HLOOKUP("cn",rku_2013,4,FALSE),IF($D$1=$AN$22,HLOOKUP("cn",rku_jan_apr,4,FALSE),IF($D$1=$AN$23,HLOOKUP("cn",rku_jan_mei,4,FALSE),IF($D$1=$AN$24,HLOOKUP("cn",rku_jan_jul,4,FALSE),IF($D$1=$AN$25,HLOOKUP("cn",rku_jan_ags,4,FALSE),IF($D$1=$AN$26,HLOOKUP("cn",rku_jan_sep,4,FALSE),IF($D$1=$AN$27,HLOOKUP("cn",rku_jan_okt,4,FALSE),IF($D$1=$AN$28,HLOOKUP("cn",rku_jan_nov,4,FALSE),0)))))))))))))))))))))))))))</f>
        <v>-67200</v>
      </c>
      <c r="H85" s="84">
        <f>IF($D$1&lt;&gt;"",IF($D$1=$AN$3,HLOOKUP("cn",rku_01.jan,5,FALSE),IF($D$1=$AN$4,HLOOKUP("cn",rku_02.feb,5,FALSE),IF($D$1=$AN$5,HLOOKUP("cn",rku_03.mar,5,FALSE),IF($D$1=$AN$6,HLOOKUP("cn",rku_04.apr,5,FALSE),IF($D$1=$AN$7,HLOOKUP("cn",rku_05.mei,5,FALSE),IF($D$1=$AN$8,HLOOKUP("cn",rku_06.jun,5,FALSE),IF($D$1=$AN$9,HLOOKUP("cn",rku_07.jul,5,FALSE),IF($D$1=$AN$10,HLOOKUP("cn",rku_08.ags,5,FALSE),IF($D$1=$AN$11,HLOOKUP("cn",rku_09.sep,5,FALSE),IF($D$1=$AN$12,HLOOKUP("cn",rku_10.okt,5,FALSE),IF($D$1=$AN$13,HLOOKUP("cn",rku_11.nov,5,FALSE),IF($D$1=$AN$14,HLOOKUP("cn",rku_12.des,5,FALSE),IF($D$1=$AN$15,HLOOKUP("cn",rku_TW_I,5,FALSE),IF($D$1=$AN$16,HLOOKUP("cn",rku_TW_II,5,FALSE),IF($D$1=$AN$17,HLOOKUP("cn",rku_TW_III,5,FALSE),IF($D$1=$AN$18,HLOOKUP("cn",rku_TW_IV,5,FALSE),IF($D$1=$AN$19,HLOOKUP("cn",rku_SM_I,5,FALSE),IF($D$1=$AN$20,HLOOKUP("cn",rku_SM_II,5,FALSE),IF($D$1=$AN$21,HLOOKUP("cn",rku_2013,5,FALSE),IF($D$1=$AN$22,HLOOKUP("cn",rku_jan_apr,5,FALSE),IF($D$1=$AN$23,HLOOKUP("cn",rku_jan_mei,5,FALSE),IF($D$1=$AN$24,HLOOKUP("cn",rku_jan_jul,5,FALSE),IF($D$1=$AN$25,HLOOKUP("cn",rku_jan_ags,5,FALSE),IF($D$1=$AN$26,HLOOKUP("cn",rku_jan_sep,5,FALSE),IF($D$1=$AN$27,HLOOKUP("cn",rku_jan_okt,5,FALSE),IF($D$1=$AN$28,HLOOKUP("cn",rku_jan_nov,5,FALSE),0)))))))))))))))))))))))))))</f>
        <v>33600</v>
      </c>
      <c r="I85" s="84">
        <f>IF($D$1&lt;&gt;"",IF($D$1=$AN$3,HLOOKUP("cn",rku_01.jan,6,FALSE),IF($D$1=$AN$4,HLOOKUP("cn",rku_02.feb,6,FALSE),IF($D$1=$AN$5,HLOOKUP("cn",rku_03.mar,6,FALSE),IF($D$1=$AN$6,HLOOKUP("cn",rku_04.apr,6,FALSE),IF($D$1=$AN$7,HLOOKUP("cn",rku_05.mei,6,FALSE),IF($D$1=$AN$8,HLOOKUP("cn",rku_06.jun,6,FALSE),IF($D$1=$AN$9,HLOOKUP("cn",rku_07.jul,6,FALSE),IF($D$1=$AN$10,HLOOKUP("cn",rku_08.ags,6,FALSE),IF($D$1=$AN$11,HLOOKUP("cn",rku_09.sep,6,FALSE),IF($D$1=$AN$12,HLOOKUP("cn",rku_10.okt,6,FALSE),IF($D$1=$AN$13,HLOOKUP("cn",rku_11.nov,6,FALSE),IF($D$1=$AN$14,HLOOKUP("cn",rku_12.des,6,FALSE),IF($D$1=$AN$15,HLOOKUP("cn",rku_TW_I,6,FALSE),IF($D$1=$AN$16,HLOOKUP("cn",rku_TW_II,6,FALSE),IF($D$1=$AN$17,HLOOKUP("cn",rku_TW_III,6,FALSE),IF($D$1=$AN$18,HLOOKUP("cn",rku_TW_IV,6,FALSE),IF($D$1=$AN$19,HLOOKUP("cn",rku_SM_I,6,FALSE),IF($D$1=$AN$20,HLOOKUP("cn",rku_SM_II,6,FALSE),IF($D$1=$AN$21,HLOOKUP("cn",rku_2013,6,FALSE),IF($D$1=$AN$22,HLOOKUP("cn",rku_jan_apr,6,FALSE),IF($D$1=$AN$23,HLOOKUP("cn",rku_jan_mei,6,FALSE),IF($D$1=$AN$24,HLOOKUP("cn",rku_jan_jul,6,FALSE),IF($D$1=$AN$25,HLOOKUP("cn",rku_jan_ags,6,FALSE),IF($D$1=$AN$26,HLOOKUP("cn",rku_jan_sep,6,FALSE),IF($D$1=$AN$27,HLOOKUP("cn",rku_jan_okt,6,FALSE),IF($D$1=$AN$28,HLOOKUP("cn",rku_jan_nov,6,FALSE),0)))))))))))))))))))))))))))</f>
        <v>44600</v>
      </c>
      <c r="J85" s="84">
        <f>IF($D$1&lt;&gt;"",IF($D$1=$AN$3,HLOOKUP("cn",rku_01.jan,7,FALSE),IF($D$1=$AN$4,HLOOKUP("cn",rku_02.feb,7,FALSE),IF($D$1=$AN$5,HLOOKUP("cn",rku_03.mar,7,FALSE),IF($D$1=$AN$6,HLOOKUP("cn",rku_04.apr,7,FALSE),IF($D$1=$AN$7,HLOOKUP("cn",rku_05.mei,7,FALSE),IF($D$1=$AN$8,HLOOKUP("cn",rku_06.jun,7,FALSE),IF($D$1=$AN$9,HLOOKUP("cn",rku_07.jul,7,FALSE),IF($D$1=$AN$10,HLOOKUP("cn",rku_08.ags,7,FALSE),IF($D$1=$AN$11,HLOOKUP("cn",rku_09.sep,7,FALSE),IF($D$1=$AN$12,HLOOKUP("cn",rku_10.okt,7,FALSE),IF($D$1=$AN$13,HLOOKUP("cn",rku_11.nov,7,FALSE),IF($D$1=$AN$14,HLOOKUP("cn",rku_12.des,7,FALSE),IF($D$1=$AN$15,HLOOKUP("cn",rku_TW_I,7,FALSE),IF($D$1=$AN$16,HLOOKUP("cn",rku_TW_II,7,FALSE),IF($D$1=$AN$17,HLOOKUP("cn",rku_TW_III,7,FALSE),IF($D$1=$AN$18,HLOOKUP("cn",rku_TW_IV,7,FALSE),IF($D$1=$AN$19,HLOOKUP("cn",rku_SM_I,7,FALSE),IF($D$1=$AN$20,HLOOKUP("cn",rku_SM_II,7,FALSE),IF($D$1=$AN$21,HLOOKUP("cn",rku_2013,7,FALSE),IF($D$1=$AN$22,HLOOKUP("cn",rku_jan_apr,7,FALSE),IF($D$1=$AN$23,HLOOKUP("cn",rku_jan_mei,7,FALSE),IF($D$1=$AN$24,HLOOKUP("cn",rku_jan_jul,7,FALSE),IF($D$1=$AN$25,HLOOKUP("cn",rku_jan_ags,7,FALSE),IF($D$1=$AN$26,HLOOKUP("cn",rku_jan_sep,7,FALSE),IF($D$1=$AN$27,HLOOKUP("cn",rku_jan_okt,7,FALSE),IF($D$1=$AN$28,HLOOKUP("cn",rku_jan_nov,7,FALSE),0)))))))))))))))))))))))))))</f>
        <v>47200</v>
      </c>
      <c r="K85" s="84">
        <f>IF($D$1&lt;&gt;"",IF($D$1=$AN$3,HLOOKUP("cn",rku_01.jan,8,FALSE),IF($D$1=$AN$4,HLOOKUP("cn",rku_02.feb,8,FALSE),IF($D$1=$AN$5,HLOOKUP("cn",rku_03.mar,8,FALSE),IF($D$1=$AN$6,HLOOKUP("cn",rku_04.apr,8,FALSE),IF($D$1=$AN$7,HLOOKUP("cn",rku_05.mei,8,FALSE),IF($D$1=$AN$8,HLOOKUP("cn",rku_06.jun,8,FALSE),IF($D$1=$AN$9,HLOOKUP("cn",rku_07.jul,8,FALSE),IF($D$1=$AN$10,HLOOKUP("cn",rku_08.ags,8,FALSE),IF($D$1=$AN$11,HLOOKUP("cn",rku_09.sep,8,FALSE),IF($D$1=$AN$12,HLOOKUP("cn",rku_10.okt,8,FALSE),IF($D$1=$AN$13,HLOOKUP("cn",rku_11.nov,8,FALSE),IF($D$1=$AN$14,HLOOKUP("cn",rku_12.des,8,FALSE),IF($D$1=$AN$15,HLOOKUP("cn",rku_TW_I,8,FALSE),IF($D$1=$AN$16,HLOOKUP("cn",rku_TW_II,8,FALSE),IF($D$1=$AN$17,HLOOKUP("cn",rku_TW_III,8,FALSE),IF($D$1=$AN$18,HLOOKUP("cn",rku_TW_IV,8,FALSE),IF($D$1=$AN$19,HLOOKUP("cn",rku_SM_I,8,FALSE),IF($D$1=$AN$20,HLOOKUP("cn",rku_SM_II,8,FALSE),IF($D$1=$AN$21,HLOOKUP("cn",rku_2013,8,FALSE),IF($D$1=$AN$22,HLOOKUP("cn",rku_jan_apr,8,FALSE),IF($D$1=$AN$23,HLOOKUP("cn",rku_jan_mei,8,FALSE),IF($D$1=$AN$24,HLOOKUP("cn",rku_jan_jul,8,FALSE),IF($D$1=$AN$25,HLOOKUP("cn",rku_jan_ags,8,FALSE),IF($D$1=$AN$26,HLOOKUP("cn",rku_jan_sep,8,FALSE),IF($D$1=$AN$27,HLOOKUP("cn",rku_jan_okt,8,FALSE),IF($D$1=$AN$28,HLOOKUP("cn",rku_jan_nov,8,FALSE),0)))))))))))))))))))))))))))</f>
        <v>2360</v>
      </c>
      <c r="L85" s="85">
        <f>+SUM(E85:K85)</f>
        <v>-128440</v>
      </c>
      <c r="M85" s="84">
        <f>IF($D$1&lt;&gt;"",IF($D$1=$AN$3,HLOOKUP("cn",rku_01.jan,10,FALSE),IF($D$1=$AN$4,HLOOKUP("cn",rku_02.feb,10,FALSE),IF($D$1=$AN$5,HLOOKUP("cn",rku_03.mar,10,FALSE),IF($D$1=$AN$6,HLOOKUP("cn",rku_04.apr,10,FALSE),IF($D$1=$AN$7,HLOOKUP("cn",rku_05.mei,10,FALSE),IF($D$1=$AN$8,HLOOKUP("cn",rku_06.jun,10,FALSE),IF($D$1=$AN$9,HLOOKUP("cn",rku_07.jul,10,FALSE),IF($D$1=$AN$10,HLOOKUP("cn",rku_08.ags,10,FALSE),IF($D$1=$AN$11,HLOOKUP("cn",rku_09.sep,10,FALSE),IF($D$1=$AN$12,HLOOKUP("cn",rku_10.okt,10,FALSE),IF($D$1=$AN$13,HLOOKUP("cn",rku_11.nov,10,FALSE),IF($D$1=$AN$14,HLOOKUP("cn",rku_12.des,10,FALSE),IF($D$1=$AN$15,HLOOKUP("cn",rku_TW_I,10,FALSE),IF($D$1=$AN$16,HLOOKUP("cn",rku_TW_II,10,FALSE),IF($D$1=$AN$17,HLOOKUP("cn",rku_TW_III,10,FALSE),IF($D$1=$AN$18,HLOOKUP("cn",rku_TW_IV,10,FALSE),IF($D$1=$AN$19,HLOOKUP("cn",rku_SM_I,10,FALSE),IF($D$1=$AN$20,HLOOKUP("cn",rku_SM_II,10,FALSE),IF($D$1=$AN$21,HLOOKUP("cn",rku_2013,10,FALSE),IF($D$1=$AN$22,HLOOKUP("cn",rku_jan_apr,10,FALSE),IF($D$1=$AN$23,HLOOKUP("cn",rku_jan_mei,10,FALSE),IF($D$1=$AN$24,HLOOKUP("cn",rku_jan_jul,10,FALSE),IF($D$1=$AN$25,HLOOKUP("cn",rku_jan_ags,10,FALSE),IF($D$1=$AN$26,HLOOKUP("cn",rku_jan_sep,10,FALSE),IF($D$1=$AN$27,HLOOKUP("cn",rku_jan_okt,10,FALSE),IF($D$1=$AN$28,HLOOKUP("cn",rku_jan_nov,10,FALSE),0)))))))))))))))))))))))))))</f>
        <v>-15385</v>
      </c>
      <c r="N85" s="84">
        <f>IF($D$1&lt;&gt;"",IF($D$1=$AN$3,HLOOKUP("cn",rku_01.jan,11,FALSE),IF($D$1=$AN$4,HLOOKUP("cn",rku_02.feb,11,FALSE),IF($D$1=$AN$5,HLOOKUP("cn",rku_03.mar,11,FALSE),IF($D$1=$AN$6,HLOOKUP("cn",rku_04.apr,11,FALSE),IF($D$1=$AN$7,HLOOKUP("cn",rku_05.mei,11,FALSE),IF($D$1=$AN$8,HLOOKUP("cn",rku_06.jun,11,FALSE),IF($D$1=$AN$9,HLOOKUP("cn",rku_07.jul,11,FALSE),IF($D$1=$AN$10,HLOOKUP("cn",rku_08.ags,11,FALSE),IF($D$1=$AN$11,HLOOKUP("cn",rku_09.sep,11,FALSE),IF($D$1=$AN$12,HLOOKUP("cn",rku_10.okt,11,FALSE),IF($D$1=$AN$13,HLOOKUP("cn",rku_11.nov,11,FALSE),IF($D$1=$AN$14,HLOOKUP("cn",rku_12.des,11,FALSE),IF($D$1=$AN$15,HLOOKUP("cn",rku_TW_I,11,FALSE),IF($D$1=$AN$16,HLOOKUP("cn",rku_TW_II,11,FALSE),IF($D$1=$AN$17,HLOOKUP("cn",rku_TW_III,11,FALSE),IF($D$1=$AN$18,HLOOKUP("cn",rku_TW_IV,11,FALSE),IF($D$1=$AN$19,HLOOKUP("cn",rku_SM_I,11,FALSE),IF($D$1=$AN$20,HLOOKUP("cn",rku_SM_II,11,FALSE),IF($D$1=$AN$21,HLOOKUP("cn",rku_2013,11,FALSE),IF($D$1=$AN$22,HLOOKUP("cn",rku_jan_apr,11,FALSE),IF($D$1=$AN$23,HLOOKUP("cn",rku_jan_mei,11,FALSE),IF($D$1=$AN$24,HLOOKUP("cn",rku_jan_jul,11,FALSE),IF($D$1=$AN$25,HLOOKUP("cn",rku_jan_ags,11,FALSE),IF($D$1=$AN$26,HLOOKUP("cn",rku_jan_sep,11,FALSE),IF($D$1=$AN$27,HLOOKUP("cn",rku_jan_okt,11,FALSE),IF($D$1=$AN$28,HLOOKUP("cn",rku_jan_nov,11,FALSE),0)))))))))))))))))))))))))))</f>
        <v>-2875</v>
      </c>
      <c r="O85" s="84">
        <f>IF($D$1&lt;&gt;"",IF($D$1=$AN$3,HLOOKUP("cn",rku_01.jan,12,FALSE),IF($D$1=$AN$4,HLOOKUP("cn",rku_02.feb,12,FALSE),IF($D$1=$AN$5,HLOOKUP("cn",rku_03.mar,12,FALSE),IF($D$1=$AN$6,HLOOKUP("cn",rku_04.apr,12,FALSE),IF($D$1=$AN$7,HLOOKUP("cn",rku_05.mei,12,FALSE),IF($D$1=$AN$8,HLOOKUP("cn",rku_06.jun,12,FALSE),IF($D$1=$AN$9,HLOOKUP("cn",rku_07.jul,12,FALSE),IF($D$1=$AN$10,HLOOKUP("cn",rku_08.ags,12,FALSE),IF($D$1=$AN$11,HLOOKUP("cn",rku_09.sep,12,FALSE),IF($D$1=$AN$12,HLOOKUP("cn",rku_10.okt,12,FALSE),IF($D$1=$AN$13,HLOOKUP("cn",rku_11.nov,12,FALSE),IF($D$1=$AN$14,HLOOKUP("cn",rku_12.des,12,FALSE),IF($D$1=$AN$15,HLOOKUP("cn",rku_TW_I,12,FALSE),IF($D$1=$AN$16,HLOOKUP("cn",rku_TW_II,12,FALSE),IF($D$1=$AN$17,HLOOKUP("cn",rku_TW_III,12,FALSE),IF($D$1=$AN$18,HLOOKUP("cn",rku_TW_IV,12,FALSE),IF($D$1=$AN$19,HLOOKUP("cn",rku_SM_I,12,FALSE),IF($D$1=$AN$20,HLOOKUP("cn",rku_SM_II,12,FALSE),IF($D$1=$AN$21,HLOOKUP("cn",rku_2013,12,FALSE),IF($D$1=$AN$22,HLOOKUP("cn",rku_jan_apr,12,FALSE),IF($D$1=$AN$23,HLOOKUP("cn",rku_jan_mei,12,FALSE),IF($D$1=$AN$24,HLOOKUP("cn",rku_jan_jul,12,FALSE),IF($D$1=$AN$25,HLOOKUP("cn",rku_jan_ags,12,FALSE),IF($D$1=$AN$26,HLOOKUP("cn",rku_jan_sep,12,FALSE),IF($D$1=$AN$27,HLOOKUP("cn",rku_jan_okt,12,FALSE),IF($D$1=$AN$28,HLOOKUP("cn",rku_jan_nov,12,FALSE),0)))))))))))))))))))))))))))</f>
        <v>-140</v>
      </c>
      <c r="P85" s="84">
        <f>IF($D$1&lt;&gt;"",IF($D$1=$AN$3,HLOOKUP("cn",rku_01.jan,13,FALSE),IF($D$1=$AN$4,HLOOKUP("cn",rku_02.feb,13,FALSE),IF($D$1=$AN$5,HLOOKUP("cn",rku_03.mar,13,FALSE),IF($D$1=$AN$6,HLOOKUP("cn",rku_04.apr,13,FALSE),IF($D$1=$AN$7,HLOOKUP("cn",rku_05.mei,13,FALSE),IF($D$1=$AN$8,HLOOKUP("cn",rku_06.jun,13,FALSE),IF($D$1=$AN$9,HLOOKUP("cn",rku_07.jul,13,FALSE),IF($D$1=$AN$10,HLOOKUP("cn",rku_08.ags,13,FALSE),IF($D$1=$AN$11,HLOOKUP("cn",rku_09.sep,13,FALSE),IF($D$1=$AN$12,HLOOKUP("cn",rku_10.okt,13,FALSE),IF($D$1=$AN$13,HLOOKUP("cn",rku_11.nov,13,FALSE),IF($D$1=$AN$14,HLOOKUP("cn",rku_12.des,13,FALSE),IF($D$1=$AN$15,HLOOKUP("cn",rku_TW_I,13,FALSE),IF($D$1=$AN$16,HLOOKUP("cn",rku_TW_II,13,FALSE),IF($D$1=$AN$17,HLOOKUP("cn",rku_TW_III,13,FALSE),IF($D$1=$AN$18,HLOOKUP("cn",rku_TW_IV,13,FALSE),IF($D$1=$AN$19,HLOOKUP("cn",rku_SM_I,13,FALSE),IF($D$1=$AN$20,HLOOKUP("cn",rku_SM_II,13,FALSE),IF($D$1=$AN$21,HLOOKUP("cn",rku_2013,13,FALSE),IF($D$1=$AN$22,HLOOKUP("cn",rku_jan_apr,13,FALSE),IF($D$1=$AN$23,HLOOKUP("cn",rku_jan_mei,13,FALSE),IF($D$1=$AN$24,HLOOKUP("cn",rku_jan_jul,13,FALSE),IF($D$1=$AN$25,HLOOKUP("cn",rku_jan_ags,13,FALSE),IF($D$1=$AN$26,HLOOKUP("cn",rku_jan_sep,13,FALSE),IF($D$1=$AN$27,HLOOKUP("cn",rku_jan_okt,13,FALSE),IF($D$1=$AN$28,HLOOKUP("cn",rku_jan_nov,13,FALSE),0)))))))))))))))))))))))))))</f>
        <v>225</v>
      </c>
      <c r="Q85" s="84">
        <f>IF($D$1&lt;&gt;"",IF($D$1=$AN$3,HLOOKUP("cn",rku_01.jan,14,FALSE),IF($D$1=$AN$4,HLOOKUP("cn",rku_02.feb,14,FALSE),IF($D$1=$AN$5,HLOOKUP("cn",rku_03.mar,14,FALSE),IF($D$1=$AN$6,HLOOKUP("cn",rku_04.apr,14,FALSE),IF($D$1=$AN$7,HLOOKUP("cn",rku_05.mei,14,FALSE),IF($D$1=$AN$8,HLOOKUP("cn",rku_06.jun,14,FALSE),IF($D$1=$AN$9,HLOOKUP("cn",rku_07.jul,14,FALSE),IF($D$1=$AN$10,HLOOKUP("cn",rku_08.ags,14,FALSE),IF($D$1=$AN$11,HLOOKUP("cn",rku_09.sep,14,FALSE),IF($D$1=$AN$12,HLOOKUP("cn",rku_10.okt,14,FALSE),IF($D$1=$AN$13,HLOOKUP("cn",rku_11.nov,14,FALSE),IF($D$1=$AN$14,HLOOKUP("cn",rku_12.des,14,FALSE),IF($D$1=$AN$15,HLOOKUP("cn",rku_TW_I,14,FALSE),IF($D$1=$AN$16,HLOOKUP("cn",rku_TW_II,14,FALSE),IF($D$1=$AN$17,HLOOKUP("cn",rku_TW_III,14,FALSE),IF($D$1=$AN$18,HLOOKUP("cn",rku_TW_IV,14,FALSE),IF($D$1=$AN$19,HLOOKUP("cn",rku_SM_I,14,FALSE),IF($D$1=$AN$20,HLOOKUP("cn",rku_SM_II,14,FALSE),IF($D$1=$AN$21,HLOOKUP("cn",rku_2013,14,FALSE),IF($D$1=$AN$22,HLOOKUP("cn",rku_jan_apr,14,FALSE),IF($D$1=$AN$23,HLOOKUP("cn",rku_jan_mei,14,FALSE),IF($D$1=$AN$24,HLOOKUP("cn",rku_jan_jul,14,FALSE),IF($D$1=$AN$25,HLOOKUP("cn",rku_jan_ags,14,FALSE),IF($D$1=$AN$26,HLOOKUP("cn",rku_jan_sep,14,FALSE),IF($D$1=$AN$27,HLOOKUP("cn",rku_jan_okt,14,FALSE),IF($D$1=$AN$28,HLOOKUP("cn",rku_jan_nov,14,FALSE),0)))))))))))))))))))))))))))</f>
        <v>0</v>
      </c>
      <c r="R85" s="85">
        <f>SUM(M85:Q85)</f>
        <v>-18175</v>
      </c>
      <c r="S85" s="84">
        <f>+R85+L85</f>
        <v>-146615</v>
      </c>
      <c r="U85" s="81">
        <v>16</v>
      </c>
      <c r="V85" s="83" t="s">
        <v>216</v>
      </c>
      <c r="W85" s="83" t="s">
        <v>180</v>
      </c>
      <c r="X85" s="84">
        <f t="shared" ref="X85:AD86" si="119">E85/X$100</f>
        <v>534</v>
      </c>
      <c r="Y85" s="84">
        <f t="shared" si="119"/>
        <v>-1257</v>
      </c>
      <c r="Z85" s="84">
        <f t="shared" si="119"/>
        <v>-168</v>
      </c>
      <c r="AA85" s="84">
        <f t="shared" si="119"/>
        <v>168</v>
      </c>
      <c r="AB85" s="84">
        <f t="shared" si="119"/>
        <v>446</v>
      </c>
      <c r="AC85" s="84">
        <f t="shared" si="119"/>
        <v>1180</v>
      </c>
      <c r="AD85" s="84">
        <f t="shared" si="119"/>
        <v>118</v>
      </c>
      <c r="AE85" s="85">
        <f>+SUM(X85:AD85)</f>
        <v>1021</v>
      </c>
      <c r="AF85" s="84">
        <f t="shared" ref="AF85:AJ86" si="120">M85/AF$100</f>
        <v>-3077</v>
      </c>
      <c r="AG85" s="84">
        <f t="shared" si="120"/>
        <v>-1150</v>
      </c>
      <c r="AH85" s="84">
        <f t="shared" si="120"/>
        <v>-70</v>
      </c>
      <c r="AI85" s="84">
        <f t="shared" si="120"/>
        <v>225</v>
      </c>
      <c r="AJ85" s="84">
        <f t="shared" si="120"/>
        <v>0</v>
      </c>
      <c r="AK85" s="85">
        <f>+SUM(AF85:AJ85)</f>
        <v>-4072</v>
      </c>
      <c r="AL85" s="84">
        <f>+AK85+AE85</f>
        <v>-3051</v>
      </c>
    </row>
    <row r="86" spans="2:39" ht="14.25" x14ac:dyDescent="0.2">
      <c r="B86" s="86"/>
      <c r="C86" s="87"/>
      <c r="D86" s="87" t="s">
        <v>182</v>
      </c>
      <c r="E86" s="88">
        <f>IF($D$1&lt;&gt;"",IF($D$1=$AN$3,HLOOKUP("cn",real_rku_01.jan,2,FALSE),IF($D$1=$AN$4,HLOOKUP("cn",real_rku_02.feb,2,FALSE),IF($D$1=$AN$5,HLOOKUP("cn",real_rku_03.mar,2,FALSE),IF($D$1=$AN$6,HLOOKUP("cn",real_rku_04.apr,2,FALSE),IF($D$1=$AN$7,HLOOKUP("cn",real_rku_05.mei,2,FALSE),IF($D$1=$AN$8,HLOOKUP("cn",real_rku_06.jun,2,FALSE),IF($D$1=$AN$9,HLOOKUP("cn",real_rku_07.jul,2,FALSE),IF($D$1=$AN$10,HLOOKUP("cn",real_rku_08.ags,2,FALSE),IF($D$1=$AN$11,HLOOKUP("cn",real_rku_09.sep,2,FALSE),IF($D$1=$AN$12,HLOOKUP("cn",real_rku_10.okt,2,FALSE),IF($D$1=$AN$13,HLOOKUP("cn",real_rku_11.nov,2,FALSE),IF($D$1=$AN$14,HLOOKUP("cn",real_rku_12.des,2,FALSE),IF($D$1=$AN$15,HLOOKUP("cn",real_rku_TW_I,2,FALSE),IF($D$1=$AN$16,HLOOKUP("cn",real_rku_TW_II,2,FALSE),IF($D$1=$AN$17,HLOOKUP("cn",real_rku_TW_III,2,FALSE),IF($D$1=$AN$18,HLOOKUP("cn",real_rku_TW_IV,2,FALSE),IF($D$1=$AN$19,HLOOKUP("cn",real_rku_SM_I,2,FALSE),IF($D$1=$AN$20,HLOOKUP("cn",real_rku_SM_II,2,FALSE),IF($D$1=$AN$21,HLOOKUP("cn",real_rku_2013,2,FALSE),IF($D$1=$AN$22,HLOOKUP("cn",real_rku_jan_apr,2,FALSE),IF($D$1=$AN$23,HLOOKUP("cn",real_rku_jan_mei,2,FALSE),IF($D$1=$AN$24,HLOOKUP("cn",real_rku_jan_jul,2,FALSE),IF($D$1=$AN$25,HLOOKUP("cn",real_rku_jan_ags,2,FALSE),IF($D$1=$AN$26,HLOOKUP("cn",real_rku_jan_sep,2,FALSE),IF($D$1=$AN$27,HLOOKUP("cn",real_rku_jan_okt,2,FALSE),IF($D$1=$AN$28,HLOOKUP("cn",real_rku_jan_nov,2,FALSE),0)))))))))))))))))))))))))))</f>
        <v>1600000</v>
      </c>
      <c r="F86" s="88">
        <f>IF($D$1&lt;&gt;"",IF($D$1=$AN$3,HLOOKUP("cn",real_rku_01.jan,3,FALSE),IF($D$1=$AN$4,HLOOKUP("cn",real_rku_02.feb,3,FALSE),IF($D$1=$AN$5,HLOOKUP("cn",real_rku_03.mar,3,FALSE),IF($D$1=$AN$6,HLOOKUP("cn",real_rku_04.apr,3,FALSE),IF($D$1=$AN$7,HLOOKUP("cn",real_rku_05.mei,3,FALSE),IF($D$1=$AN$8,HLOOKUP("cn",real_rku_06.jun,3,FALSE),IF($D$1=$AN$9,HLOOKUP("cn",real_rku_07.jul,3,FALSE),IF($D$1=$AN$10,HLOOKUP("cn",real_rku_08.ags,3,FALSE),IF($D$1=$AN$11,HLOOKUP("cn",real_rku_09.sep,3,FALSE),IF($D$1=$AN$12,HLOOKUP("cn",real_rku_10.okt,3,FALSE),IF($D$1=$AN$13,HLOOKUP("cn",real_rku_11.nov,3,FALSE),IF($D$1=$AN$14,HLOOKUP("cn",real_rku_12.des,3,FALSE),IF($D$1=$AN$15,HLOOKUP("cn",real_rku_TW_I,3,FALSE),IF($D$1=$AN$16,HLOOKUP("cn",real_rku_TW_II,3,FALSE),IF($D$1=$AN$17,HLOOKUP("cn",real_rku_TW_III,3,FALSE),IF($D$1=$AN$18,HLOOKUP("cn",real_rku_TW_IV,3,FALSE),IF($D$1=$AN$19,HLOOKUP("cn",real_rku_SM_I,3,FALSE),IF($D$1=$AN$20,HLOOKUP("cn",real_rku_SM_II,3,FALSE),IF($D$1=$AN$21,HLOOKUP("cn",real_rku_2013,3,FALSE),IF($D$1=$AN$22,HLOOKUP("cn",real_rku_jan_apr,3,FALSE),IF($D$1=$AN$23,HLOOKUP("cn",real_rku_jan_mei,3,FALSE),IF($D$1=$AN$24,HLOOKUP("cn",real_rku_jan_jul,3,FALSE),IF($D$1=$AN$25,HLOOKUP("cn",real_rku_jan_ags,3,FALSE),IF($D$1=$AN$26,HLOOKUP("cn",real_rku_jan_sep,3,FALSE),IF($D$1=$AN$27,HLOOKUP("cn",real_rku_jan_okt,3,FALSE),IF($D$1=$AN$28,HLOOKUP("cn",real_rku_jan_nov,3,FALSE),0)))))))))))))))))))))))))))</f>
        <v>-950000</v>
      </c>
      <c r="G86" s="88">
        <f>IF($D$1&lt;&gt;"",IF($D$1=$AN$3,HLOOKUP("cn",real_rku_01.jan,4,FALSE),IF($D$1=$AN$4,HLOOKUP("cn",real_rku_02.feb,4,FALSE),IF($D$1=$AN$5,HLOOKUP("cn",real_rku_03.mar,4,FALSE),IF($D$1=$AN$6,HLOOKUP("cn",real_rku_04.apr,4,FALSE),IF($D$1=$AN$7,HLOOKUP("cn",real_rku_05.mei,4,FALSE),IF($D$1=$AN$8,HLOOKUP("cn",real_rku_06.jun,4,FALSE),IF($D$1=$AN$9,HLOOKUP("cn",real_rku_07.jul,4,FALSE),IF($D$1=$AN$10,HLOOKUP("cn",real_rku_08.ags,4,FALSE),IF($D$1=$AN$11,HLOOKUP("cn",real_rku_09.sep,4,FALSE),IF($D$1=$AN$12,HLOOKUP("cn",real_rku_10.okt,4,FALSE),IF($D$1=$AN$13,HLOOKUP("cn",real_rku_11.nov,4,FALSE),IF($D$1=$AN$14,HLOOKUP("cn",real_rku_12.des,4,FALSE),IF($D$1=$AN$15,HLOOKUP("cn",real_rku_TW_I,4,FALSE),IF($D$1=$AN$16,HLOOKUP("cn",real_rku_TW_II,4,FALSE),IF($D$1=$AN$17,HLOOKUP("cn",real_rku_TW_III,4,FALSE),IF($D$1=$AN$18,HLOOKUP("cn",real_rku_TW_IV,4,FALSE),IF($D$1=$AN$19,HLOOKUP("cn",real_rku_SM_I,4,FALSE),IF($D$1=$AN$20,HLOOKUP("cn",real_rku_SM_II,4,FALSE),IF($D$1=$AN$21,HLOOKUP("cn",real_rku_2013,4,FALSE),IF($D$1=$AN$22,HLOOKUP("cn",real_rku_jan_apr,4,FALSE),IF($D$1=$AN$23,HLOOKUP("cn",real_rku_jan_mei,4,FALSE),IF($D$1=$AN$24,HLOOKUP("cn",real_rku_jan_jul,4,FALSE),IF($D$1=$AN$25,HLOOKUP("cn",real_rku_jan_ags,4,FALSE),IF($D$1=$AN$26,HLOOKUP("cn",real_rku_jan_sep,4,FALSE),IF($D$1=$AN$27,HLOOKUP("cn",real_rku_jan_okt,4,FALSE),IF($D$1=$AN$28,HLOOKUP("cn",real_rku_jan_nov,4,FALSE),0)))))))))))))))))))))))))))</f>
        <v>180000</v>
      </c>
      <c r="H86" s="88">
        <f>IF($D$1&lt;&gt;"",IF($D$1=$AN$3,HLOOKUP("cn",real_rku_01.jan,5,FALSE),IF($D$1=$AN$4,HLOOKUP("cn",real_rku_02.feb,5,FALSE),IF($D$1=$AN$5,HLOOKUP("cn",real_rku_03.mar,5,FALSE),IF($D$1=$AN$6,HLOOKUP("cn",real_rku_04.apr,5,FALSE),IF($D$1=$AN$7,HLOOKUP("cn",real_rku_05.mei,5,FALSE),IF($D$1=$AN$8,HLOOKUP("cn",real_rku_06.jun,5,FALSE),IF($D$1=$AN$9,HLOOKUP("cn",real_rku_07.jul,5,FALSE),IF($D$1=$AN$10,HLOOKUP("cn",real_rku_08.ags,5,FALSE),IF($D$1=$AN$11,HLOOKUP("cn",real_rku_09.sep,5,FALSE),IF($D$1=$AN$12,HLOOKUP("cn",real_rku_10.okt,5,FALSE),IF($D$1=$AN$13,HLOOKUP("cn",real_rku_11.nov,5,FALSE),IF($D$1=$AN$14,HLOOKUP("cn",real_rku_12.des,5,FALSE),IF($D$1=$AN$15,HLOOKUP("cn",real_rku_TW_I,5,FALSE),IF($D$1=$AN$16,HLOOKUP("cn",real_rku_TW_II,5,FALSE),IF($D$1=$AN$17,HLOOKUP("cn",real_rku_TW_III,5,FALSE),IF($D$1=$AN$18,HLOOKUP("cn",real_rku_TW_IV,5,FALSE),IF($D$1=$AN$19,HLOOKUP("cn",real_rku_SM_I,5,FALSE),IF($D$1=$AN$20,HLOOKUP("cn",real_rku_SM_II,5,FALSE),IF($D$1=$AN$21,HLOOKUP("cn",real_rku_2013,5,FALSE),IF($D$1=$AN$22,HLOOKUP("cn",real_rku_jan_apr,5,FALSE),IF($D$1=$AN$23,HLOOKUP("cn",real_rku_jan_mei,5,FALSE),IF($D$1=$AN$24,HLOOKUP("cn",real_rku_jan_jul,5,FALSE),IF($D$1=$AN$25,HLOOKUP("cn",real_rku_jan_ags,5,FALSE),IF($D$1=$AN$26,HLOOKUP("cn",real_rku_jan_sep,5,FALSE),IF($D$1=$AN$27,HLOOKUP("cn",real_rku_jan_okt,5,FALSE),IF($D$1=$AN$28,HLOOKUP("cn",real_rku_jan_nov,5,FALSE),0)))))))))))))))))))))))))))</f>
        <v>180000</v>
      </c>
      <c r="I86" s="88">
        <f>IF($D$1&lt;&gt;"",IF($D$1=$AN$3,HLOOKUP("cn",real_rku_01.jan,6,FALSE),IF($D$1=$AN$4,HLOOKUP("cn",real_rku_02.feb,6,FALSE),IF($D$1=$AN$5,HLOOKUP("cn",real_rku_03.mar,6,FALSE),IF($D$1=$AN$6,HLOOKUP("cn",real_rku_04.apr,6,FALSE),IF($D$1=$AN$7,HLOOKUP("cn",real_rku_05.mei,6,FALSE),IF($D$1=$AN$8,HLOOKUP("cn",real_rku_06.jun,6,FALSE),IF($D$1=$AN$9,HLOOKUP("cn",real_rku_07.jul,6,FALSE),IF($D$1=$AN$10,HLOOKUP("cn",real_rku_08.ags,6,FALSE),IF($D$1=$AN$11,HLOOKUP("cn",real_rku_09.sep,6,FALSE),IF($D$1=$AN$12,HLOOKUP("cn",real_rku_10.okt,6,FALSE),IF($D$1=$AN$13,HLOOKUP("cn",real_rku_11.nov,6,FALSE),IF($D$1=$AN$14,HLOOKUP("cn",real_rku_12.des,6,FALSE),IF($D$1=$AN$15,HLOOKUP("cn",real_rku_TW_I,6,FALSE),IF($D$1=$AN$16,HLOOKUP("cn",real_rku_TW_II,6,FALSE),IF($D$1=$AN$17,HLOOKUP("cn",real_rku_TW_III,6,FALSE),IF($D$1=$AN$18,HLOOKUP("cn",real_rku_TW_IV,6,FALSE),IF($D$1=$AN$19,HLOOKUP("cn",real_rku_SM_I,6,FALSE),IF($D$1=$AN$20,HLOOKUP("cn",real_rku_SM_II,6,FALSE),IF($D$1=$AN$21,HLOOKUP("cn",real_rku_2013,6,FALSE),IF($D$1=$AN$22,HLOOKUP("cn",real_rku_jan_apr,6,FALSE),IF($D$1=$AN$23,HLOOKUP("cn",real_rku_jan_mei,6,FALSE),IF($D$1=$AN$24,HLOOKUP("cn",real_rku_jan_jul,6,FALSE),IF($D$1=$AN$25,HLOOKUP("cn",real_rku_jan_ags,6,FALSE),IF($D$1=$AN$26,HLOOKUP("cn",real_rku_jan_sep,6,FALSE),IF($D$1=$AN$27,HLOOKUP("cn",real_rku_jan_okt,6,FALSE),IF($D$1=$AN$28,HLOOKUP("cn",real_rku_jan_nov,6,FALSE),0)))))))))))))))))))))))))))</f>
        <v>130000</v>
      </c>
      <c r="J86" s="88">
        <f>IF($D$1&lt;&gt;"",IF($D$1=$AN$3,HLOOKUP("cn",real_rku_01.jan,7,FALSE),IF($D$1=$AN$4,HLOOKUP("cn",real_rku_02.feb,7,FALSE),IF($D$1=$AN$5,HLOOKUP("cn",real_rku_03.mar,7,FALSE),IF($D$1=$AN$6,HLOOKUP("cn",real_rku_04.apr,7,FALSE),IF($D$1=$AN$7,HLOOKUP("cn",real_rku_05.mei,7,FALSE),IF($D$1=$AN$8,HLOOKUP("cn",real_rku_06.jun,7,FALSE),IF($D$1=$AN$9,HLOOKUP("cn",real_rku_07.jul,7,FALSE),IF($D$1=$AN$10,HLOOKUP("cn",real_rku_08.ags,7,FALSE),IF($D$1=$AN$11,HLOOKUP("cn",real_rku_09.sep,7,FALSE),IF($D$1=$AN$12,HLOOKUP("cn",real_rku_10.okt,7,FALSE),IF($D$1=$AN$13,HLOOKUP("cn",real_rku_11.nov,7,FALSE),IF($D$1=$AN$14,HLOOKUP("cn",real_rku_12.des,7,FALSE),IF($D$1=$AN$15,HLOOKUP("cn",real_rku_TW_I,7,FALSE),IF($D$1=$AN$16,HLOOKUP("cn",real_rku_TW_II,7,FALSE),IF($D$1=$AN$17,HLOOKUP("cn",real_rku_TW_III,7,FALSE),IF($D$1=$AN$18,HLOOKUP("cn",real_rku_TW_IV,7,FALSE),IF($D$1=$AN$19,HLOOKUP("cn",real_rku_SM_I,7,FALSE),IF($D$1=$AN$20,HLOOKUP("cn",real_rku_SM_II,7,FALSE),IF($D$1=$AN$21,HLOOKUP("cn",real_rku_2013,7,FALSE),IF($D$1=$AN$22,HLOOKUP("cn",real_rku_jan_apr,7,FALSE),IF($D$1=$AN$23,HLOOKUP("cn",real_rku_jan_mei,7,FALSE),IF($D$1=$AN$24,HLOOKUP("cn",real_rku_jan_jul,7,FALSE),IF($D$1=$AN$25,HLOOKUP("cn",real_rku_jan_ags,7,FALSE),IF($D$1=$AN$26,HLOOKUP("cn",real_rku_jan_sep,7,FALSE),IF($D$1=$AN$27,HLOOKUP("cn",real_rku_jan_okt,7,FALSE),IF($D$1=$AN$28,HLOOKUP("cn",real_rku_jan_nov,7,FALSE),0)))))))))))))))))))))))))))</f>
        <v>79000</v>
      </c>
      <c r="K86" s="88">
        <f>IF($D$1&lt;&gt;"",IF($D$1=$AN$3,HLOOKUP("cn",real_rku_01.jan,8,FALSE),IF($D$1=$AN$4,HLOOKUP("cn",real_rku_02.feb,8,FALSE),IF($D$1=$AN$5,HLOOKUP("cn",real_rku_03.mar,8,FALSE),IF($D$1=$AN$6,HLOOKUP("cn",real_rku_04.apr,8,FALSE),IF($D$1=$AN$7,HLOOKUP("cn",real_rku_05.mei,8,FALSE),IF($D$1=$AN$8,HLOOKUP("cn",real_rku_06.jun,8,FALSE),IF($D$1=$AN$9,HLOOKUP("cn",real_rku_07.jul,8,FALSE),IF($D$1=$AN$10,HLOOKUP("cn",real_rku_08.ags,8,FALSE),IF($D$1=$AN$11,HLOOKUP("cn",real_rku_09.sep,8,FALSE),IF($D$1=$AN$12,HLOOKUP("cn",real_rku_10.okt,8,FALSE),IF($D$1=$AN$13,HLOOKUP("cn",real_rku_11.nov,8,FALSE),IF($D$1=$AN$14,HLOOKUP("cn",real_rku_12.des,8,FALSE),IF($D$1=$AN$15,HLOOKUP("cn",real_rku_TW_I,8,FALSE),IF($D$1=$AN$16,HLOOKUP("cn",real_rku_TW_II,8,FALSE),IF($D$1=$AN$17,HLOOKUP("cn",real_rku_TW_III,8,FALSE),IF($D$1=$AN$18,HLOOKUP("cn",real_rku_TW_IV,8,FALSE),IF($D$1=$AN$19,HLOOKUP("cn",real_rku_SM_I,8,FALSE),IF($D$1=$AN$20,HLOOKUP("cn",real_rku_SM_II,8,FALSE),IF($D$1=$AN$21,HLOOKUP("cn",real_rku_2013,8,FALSE),IF($D$1=$AN$22,HLOOKUP("cn",real_rku_jan_apr,8,FALSE),IF($D$1=$AN$23,HLOOKUP("cn",real_rku_jan_mei,8,FALSE),IF($D$1=$AN$24,HLOOKUP("cn",real_rku_jan_jul,8,FALSE),IF($D$1=$AN$25,HLOOKUP("cn",real_rku_jan_ags,8,FALSE),IF($D$1=$AN$26,HLOOKUP("cn",real_rku_jan_sep,8,FALSE),IF($D$1=$AN$27,HLOOKUP("cn",real_rku_jan_okt,8,FALSE),IF($D$1=$AN$28,HLOOKUP("cn",real_rku_jan_nov,8,FALSE),0)))))))))))))))))))))))))))</f>
        <v>3000</v>
      </c>
      <c r="L86" s="89">
        <f>+SUM(E86:K86)</f>
        <v>1222000</v>
      </c>
      <c r="M86" s="88">
        <f>IF($D$1&lt;&gt;"",IF($D$1=$AN$3,HLOOKUP("cn",real_rku_01.jan,10,FALSE),IF($D$1=$AN$4,HLOOKUP("cn",real_rku_02.feb,10,FALSE),IF($D$1=$AN$5,HLOOKUP("cn",real_rku_03.mar,10,FALSE),IF($D$1=$AN$6,HLOOKUP("cn",real_rku_04.apr,10,FALSE),IF($D$1=$AN$7,HLOOKUP("cn",real_rku_05.mei,10,FALSE),IF($D$1=$AN$8,HLOOKUP("cn",real_rku_06.jun,10,FALSE),IF($D$1=$AN$9,HLOOKUP("cn",real_rku_07.jul,10,FALSE),IF($D$1=$AN$10,HLOOKUP("cn",real_rku_08.ags,10,FALSE),IF($D$1=$AN$11,HLOOKUP("cn",real_rku_09.sep,10,FALSE),IF($D$1=$AN$12,HLOOKUP("cn",real_rku_10.okt,10,FALSE),IF($D$1=$AN$13,HLOOKUP("cn",real_rku_11.nov,10,FALSE),IF($D$1=$AN$14,HLOOKUP("cn",real_rku_12.des,10,FALSE),IF($D$1=$AN$15,HLOOKUP("cn",real_rku_TW_I,10,FALSE),IF($D$1=$AN$16,HLOOKUP("cn",real_rku_TW_II,10,FALSE),IF($D$1=$AN$17,HLOOKUP("cn",real_rku_TW_III,10,FALSE),IF($D$1=$AN$18,HLOOKUP("cn",real_rku_TW_IV,10,FALSE),IF($D$1=$AN$19,HLOOKUP("cn",real_rku_SM_I,10,FALSE),IF($D$1=$AN$20,HLOOKUP("cn",real_rku_SM_II,10,FALSE),IF($D$1=$AN$21,HLOOKUP("cn",real_rku_2013,10,FALSE),IF($D$1=$AN$22,HLOOKUP("cn",real_rku_jan_apr,10,FALSE),IF($D$1=$AN$23,HLOOKUP("cn",real_rku_jan_mei,10,FALSE),IF($D$1=$AN$24,HLOOKUP("cn",real_rku_jan_jul,10,FALSE),IF($D$1=$AN$25,HLOOKUP("cn",real_rku_jan_ags,10,FALSE),IF($D$1=$AN$26,HLOOKUP("cn",real_rku_jan_sep,10,FALSE),IF($D$1=$AN$27,HLOOKUP("cn",real_rku_jan_okt,10,FALSE),IF($D$1=$AN$28,HLOOKUP("cn",real_rku_jan_nov,10,FALSE),0)))))))))))))))))))))))))))</f>
        <v>-5250</v>
      </c>
      <c r="N86" s="88">
        <f>IF($D$1&lt;&gt;"",IF($D$1=$AN$3,HLOOKUP("cn",real_rku_01.jan,11,FALSE),IF($D$1=$AN$4,HLOOKUP("cn",real_rku_02.feb,11,FALSE),IF($D$1=$AN$5,HLOOKUP("cn",real_rku_03.mar,11,FALSE),IF($D$1=$AN$6,HLOOKUP("cn",real_rku_04.apr,11,FALSE),IF($D$1=$AN$7,HLOOKUP("cn",real_rku_05.mei,11,FALSE),IF($D$1=$AN$8,HLOOKUP("cn",real_rku_06.jun,11,FALSE),IF($D$1=$AN$9,HLOOKUP("cn",real_rku_07.jul,11,FALSE),IF($D$1=$AN$10,HLOOKUP("cn",real_rku_08.ags,11,FALSE),IF($D$1=$AN$11,HLOOKUP("cn",real_rku_09.sep,11,FALSE),IF($D$1=$AN$12,HLOOKUP("cn",real_rku_10.okt,11,FALSE),IF($D$1=$AN$13,HLOOKUP("cn",real_rku_11.nov,11,FALSE),IF($D$1=$AN$14,HLOOKUP("cn",real_rku_12.des,11,FALSE),IF($D$1=$AN$15,HLOOKUP("cn",real_rku_TW_I,11,FALSE),IF($D$1=$AN$16,HLOOKUP("cn",real_rku_TW_II,11,FALSE),IF($D$1=$AN$17,HLOOKUP("cn",real_rku_TW_III,11,FALSE),IF($D$1=$AN$18,HLOOKUP("cn",real_rku_TW_IV,11,FALSE),IF($D$1=$AN$19,HLOOKUP("cn",real_rku_SM_I,11,FALSE),IF($D$1=$AN$20,HLOOKUP("cn",real_rku_SM_II,11,FALSE),IF($D$1=$AN$21,HLOOKUP("cn",real_rku_2013,11,FALSE),IF($D$1=$AN$22,HLOOKUP("cn",real_rku_jan_apr,11,FALSE),IF($D$1=$AN$23,HLOOKUP("cn",real_rku_jan_mei,11,FALSE),IF($D$1=$AN$24,HLOOKUP("cn",real_rku_jan_jul,11,FALSE),IF($D$1=$AN$25,HLOOKUP("cn",real_rku_jan_ags,11,FALSE),IF($D$1=$AN$26,HLOOKUP("cn",real_rku_jan_sep,11,FALSE),IF($D$1=$AN$27,HLOOKUP("cn",real_rku_jan_okt,11,FALSE),IF($D$1=$AN$28,HLOOKUP("cn",real_rku_jan_nov,11,FALSE),0)))))))))))))))))))))))))))</f>
        <v>0</v>
      </c>
      <c r="O86" s="88">
        <f>IF($D$1&lt;&gt;"",IF($D$1=$AN$3,HLOOKUP("cn",real_rku_01.jan,12,FALSE),IF($D$1=$AN$4,HLOOKUP("cn",real_rku_02.feb,12,FALSE),IF($D$1=$AN$5,HLOOKUP("cn",real_rku_03.mar,12,FALSE),IF($D$1=$AN$6,HLOOKUP("cn",real_rku_04.apr,12,FALSE),IF($D$1=$AN$7,HLOOKUP("cn",real_rku_05.mei,12,FALSE),IF($D$1=$AN$8,HLOOKUP("cn",real_rku_06.jun,12,FALSE),IF($D$1=$AN$9,HLOOKUP("cn",real_rku_07.jul,12,FALSE),IF($D$1=$AN$10,HLOOKUP("cn",real_rku_08.ags,12,FALSE),IF($D$1=$AN$11,HLOOKUP("cn",real_rku_09.sep,12,FALSE),IF($D$1=$AN$12,HLOOKUP("cn",real_rku_10.okt,12,FALSE),IF($D$1=$AN$13,HLOOKUP("cn",real_rku_11.nov,12,FALSE),IF($D$1=$AN$14,HLOOKUP("cn",real_rku_12.des,12,FALSE),IF($D$1=$AN$15,HLOOKUP("cn",real_rku_TW_I,12,FALSE),IF($D$1=$AN$16,HLOOKUP("cn",real_rku_TW_II,12,FALSE),IF($D$1=$AN$17,HLOOKUP("cn",real_rku_TW_III,12,FALSE),IF($D$1=$AN$18,HLOOKUP("cn",real_rku_TW_IV,12,FALSE),IF($D$1=$AN$19,HLOOKUP("cn",real_rku_SM_I,12,FALSE),IF($D$1=$AN$20,HLOOKUP("cn",real_rku_SM_II,12,FALSE),IF($D$1=$AN$21,HLOOKUP("cn",real_rku_2013,12,FALSE),IF($D$1=$AN$22,HLOOKUP("cn",real_rku_jan_apr,12,FALSE),IF($D$1=$AN$23,HLOOKUP("cn",real_rku_jan_mei,12,FALSE),IF($D$1=$AN$24,HLOOKUP("cn",real_rku_jan_jul,12,FALSE),IF($D$1=$AN$25,HLOOKUP("cn",real_rku_jan_ags,12,FALSE),IF($D$1=$AN$26,HLOOKUP("cn",real_rku_jan_sep,12,FALSE),IF($D$1=$AN$27,HLOOKUP("cn",real_rku_jan_okt,12,FALSE),IF($D$1=$AN$28,HLOOKUP("cn",real_rku_jan_nov,12,FALSE),0)))))))))))))))))))))))))))</f>
        <v>0</v>
      </c>
      <c r="P86" s="88">
        <f>IF($D$1&lt;&gt;"",IF($D$1=$AN$3,HLOOKUP("cn",real_rku_01.jan,13,FALSE),IF($D$1=$AN$4,HLOOKUP("cn",real_rku_02.feb,13,FALSE),IF($D$1=$AN$5,HLOOKUP("cn",real_rku_03.mar,13,FALSE),IF($D$1=$AN$6,HLOOKUP("cn",real_rku_04.apr,13,FALSE),IF($D$1=$AN$7,HLOOKUP("cn",real_rku_05.mei,13,FALSE),IF($D$1=$AN$8,HLOOKUP("cn",real_rku_06.jun,13,FALSE),IF($D$1=$AN$9,HLOOKUP("cn",real_rku_07.jul,13,FALSE),IF($D$1=$AN$10,HLOOKUP("cn",real_rku_08.ags,13,FALSE),IF($D$1=$AN$11,HLOOKUP("cn",real_rku_09.sep,13,FALSE),IF($D$1=$AN$12,HLOOKUP("cn",real_rku_10.okt,13,FALSE),IF($D$1=$AN$13,HLOOKUP("cn",real_rku_11.nov,13,FALSE),IF($D$1=$AN$14,HLOOKUP("cn",real_rku_12.des,13,FALSE),IF($D$1=$AN$15,HLOOKUP("cn",real_rku_TW_I,13,FALSE),IF($D$1=$AN$16,HLOOKUP("cn",real_rku_TW_II,13,FALSE),IF($D$1=$AN$17,HLOOKUP("cn",real_rku_TW_III,13,FALSE),IF($D$1=$AN$18,HLOOKUP("cn",real_rku_TW_IV,13,FALSE),IF($D$1=$AN$19,HLOOKUP("cn",real_rku_SM_I,13,FALSE),IF($D$1=$AN$20,HLOOKUP("cn",real_rku_SM_II,13,FALSE),IF($D$1=$AN$21,HLOOKUP("cn",real_rku_2013,13,FALSE),IF($D$1=$AN$22,HLOOKUP("cn",real_rku_jan_apr,13,FALSE),IF($D$1=$AN$23,HLOOKUP("cn",real_rku_jan_mei,13,FALSE),IF($D$1=$AN$24,HLOOKUP("cn",real_rku_jan_jul,13,FALSE),IF($D$1=$AN$25,HLOOKUP("cn",real_rku_jan_ags,13,FALSE),IF($D$1=$AN$26,HLOOKUP("cn",real_rku_jan_sep,13,FALSE),IF($D$1=$AN$27,HLOOKUP("cn",real_rku_jan_okt,13,FALSE),IF($D$1=$AN$28,HLOOKUP("cn",real_rku_jan_nov,13,FALSE),0)))))))))))))))))))))))))))</f>
        <v>280</v>
      </c>
      <c r="Q86" s="88">
        <f>IF($D$1&lt;&gt;"",IF($D$1=$AN$3,HLOOKUP("cn",real_rku_01.jan,14,FALSE),IF($D$1=$AN$4,HLOOKUP("cn",real_rku_02.feb,14,FALSE),IF($D$1=$AN$5,HLOOKUP("cn",real_rku_03.mar,14,FALSE),IF($D$1=$AN$6,HLOOKUP("cn",real_rku_04.apr,14,FALSE),IF($D$1=$AN$7,HLOOKUP("cn",real_rku_05.mei,14,FALSE),IF($D$1=$AN$8,HLOOKUP("cn",real_rku_06.jun,14,FALSE),IF($D$1=$AN$9,HLOOKUP("cn",real_rku_07.jul,14,FALSE),IF($D$1=$AN$10,HLOOKUP("cn",real_rku_08.ags,14,FALSE),IF($D$1=$AN$11,HLOOKUP("cn",real_rku_09.sep,14,FALSE),IF($D$1=$AN$12,HLOOKUP("cn",real_rku_10.okt,14,FALSE),IF($D$1=$AN$13,HLOOKUP("cn",real_rku_11.nov,14,FALSE),IF($D$1=$AN$14,HLOOKUP("cn",real_rku_12.des,14,FALSE),IF($D$1=$AN$15,HLOOKUP("cn",real_rku_TW_I,14,FALSE),IF($D$1=$AN$16,HLOOKUP("cn",real_rku_TW_II,14,FALSE),IF($D$1=$AN$17,HLOOKUP("cn",real_rku_TW_III,14,FALSE),IF($D$1=$AN$18,HLOOKUP("cn",real_rku_TW_IV,14,FALSE),IF($D$1=$AN$19,HLOOKUP("cn",real_rku_SM_I,14,FALSE),IF($D$1=$AN$20,HLOOKUP("cn",real_rku_SM_II,14,FALSE),IF($D$1=$AN$21,HLOOKUP("cn",real_rku_2013,14,FALSE),IF($D$1=$AN$22,HLOOKUP("cn",real_rku_jan_apr,14,FALSE),IF($D$1=$AN$23,HLOOKUP("cn",real_rku_jan_mei,14,FALSE),IF($D$1=$AN$24,HLOOKUP("cn",real_rku_jan_jul,14,FALSE),IF($D$1=$AN$25,HLOOKUP("cn",real_rku_jan_ags,14,FALSE),IF($D$1=$AN$26,HLOOKUP("cn",real_rku_jan_sep,14,FALSE),IF($D$1=$AN$27,HLOOKUP("cn",real_rku_jan_okt,14,FALSE),IF($D$1=$AN$28,HLOOKUP("cn",real_rku_jan_nov,14,FALSE),0)))))))))))))))))))))))))))</f>
        <v>0</v>
      </c>
      <c r="R86" s="89">
        <f>+SUM(M86:Q86)</f>
        <v>-4970</v>
      </c>
      <c r="S86" s="88">
        <f>+R86+L86</f>
        <v>1217030</v>
      </c>
      <c r="T86" s="76"/>
      <c r="U86" s="86"/>
      <c r="V86" s="87"/>
      <c r="W86" s="87" t="s">
        <v>182</v>
      </c>
      <c r="X86" s="88">
        <f t="shared" si="119"/>
        <v>800</v>
      </c>
      <c r="Y86" s="88">
        <f t="shared" si="119"/>
        <v>-950</v>
      </c>
      <c r="Z86" s="88">
        <f t="shared" si="119"/>
        <v>450</v>
      </c>
      <c r="AA86" s="88">
        <f t="shared" si="119"/>
        <v>900</v>
      </c>
      <c r="AB86" s="88">
        <f t="shared" si="119"/>
        <v>1300</v>
      </c>
      <c r="AC86" s="88">
        <f t="shared" si="119"/>
        <v>1975</v>
      </c>
      <c r="AD86" s="88">
        <f t="shared" si="119"/>
        <v>150</v>
      </c>
      <c r="AE86" s="89">
        <f>+SUM(X86:AD86)</f>
        <v>4625</v>
      </c>
      <c r="AF86" s="88">
        <f t="shared" si="120"/>
        <v>-1050</v>
      </c>
      <c r="AG86" s="88">
        <f t="shared" si="120"/>
        <v>0</v>
      </c>
      <c r="AH86" s="88">
        <f t="shared" si="120"/>
        <v>0</v>
      </c>
      <c r="AI86" s="88">
        <f t="shared" si="120"/>
        <v>280</v>
      </c>
      <c r="AJ86" s="88">
        <f t="shared" si="120"/>
        <v>0</v>
      </c>
      <c r="AK86" s="89">
        <f>+SUM(AF86:AJ86)</f>
        <v>-770</v>
      </c>
      <c r="AL86" s="88">
        <f>+AK86+AE86</f>
        <v>3855</v>
      </c>
    </row>
    <row r="87" spans="2:39" ht="15" x14ac:dyDescent="0.25">
      <c r="B87" s="86"/>
      <c r="C87" s="87"/>
      <c r="D87" s="92" t="s">
        <v>184</v>
      </c>
      <c r="E87" s="88">
        <f t="shared" ref="E87:K87" si="121">+E85-E86</f>
        <v>-532000</v>
      </c>
      <c r="F87" s="88">
        <f t="shared" si="121"/>
        <v>-307000</v>
      </c>
      <c r="G87" s="88">
        <f t="shared" si="121"/>
        <v>-247200</v>
      </c>
      <c r="H87" s="88">
        <f t="shared" si="121"/>
        <v>-146400</v>
      </c>
      <c r="I87" s="88">
        <f t="shared" si="121"/>
        <v>-85400</v>
      </c>
      <c r="J87" s="88">
        <f t="shared" si="121"/>
        <v>-31800</v>
      </c>
      <c r="K87" s="88">
        <f t="shared" si="121"/>
        <v>-640</v>
      </c>
      <c r="L87" s="89">
        <f>+SUM(E87:K87)</f>
        <v>-1350440</v>
      </c>
      <c r="M87" s="88">
        <f>+M85-M86</f>
        <v>-10135</v>
      </c>
      <c r="N87" s="88">
        <f>+N85-N86</f>
        <v>-2875</v>
      </c>
      <c r="O87" s="88">
        <f>+O85-O86</f>
        <v>-140</v>
      </c>
      <c r="P87" s="88">
        <f>+P85-P86</f>
        <v>-55</v>
      </c>
      <c r="Q87" s="88">
        <f>+Q85-Q86</f>
        <v>0</v>
      </c>
      <c r="R87" s="89">
        <f>+SUM(M87:Q87)</f>
        <v>-13205</v>
      </c>
      <c r="S87" s="88">
        <f>+R87+L87</f>
        <v>-1363645</v>
      </c>
      <c r="T87" s="88"/>
      <c r="U87" s="86"/>
      <c r="V87" s="87"/>
      <c r="W87" s="92" t="s">
        <v>184</v>
      </c>
      <c r="X87" s="88">
        <f t="shared" ref="X87:AD87" si="122">+X85-X86</f>
        <v>-266</v>
      </c>
      <c r="Y87" s="88">
        <f t="shared" si="122"/>
        <v>-307</v>
      </c>
      <c r="Z87" s="88">
        <f t="shared" si="122"/>
        <v>-618</v>
      </c>
      <c r="AA87" s="88">
        <f t="shared" si="122"/>
        <v>-732</v>
      </c>
      <c r="AB87" s="88">
        <f t="shared" si="122"/>
        <v>-854</v>
      </c>
      <c r="AC87" s="88">
        <f t="shared" si="122"/>
        <v>-795</v>
      </c>
      <c r="AD87" s="88">
        <f t="shared" si="122"/>
        <v>-32</v>
      </c>
      <c r="AE87" s="89">
        <f>+SUM(X87:AD87)</f>
        <v>-3604</v>
      </c>
      <c r="AF87" s="88">
        <f>+AF85-AF86</f>
        <v>-2027</v>
      </c>
      <c r="AG87" s="88">
        <f>+AG85-AG86</f>
        <v>-1150</v>
      </c>
      <c r="AH87" s="88">
        <f>+AH85-AH86</f>
        <v>-70</v>
      </c>
      <c r="AI87" s="88">
        <f>+AI85-AI86</f>
        <v>-55</v>
      </c>
      <c r="AJ87" s="88">
        <f>+AJ85-AJ86</f>
        <v>0</v>
      </c>
      <c r="AK87" s="89">
        <f>+SUM(AF87:AJ87)</f>
        <v>-3302</v>
      </c>
      <c r="AL87" s="88">
        <f>+AK87+AE87</f>
        <v>-6906</v>
      </c>
      <c r="AM87" s="91">
        <f>+AL87/550</f>
        <v>-12.556363636363637</v>
      </c>
    </row>
    <row r="88" spans="2:39" ht="14.25" x14ac:dyDescent="0.2">
      <c r="B88" s="112"/>
      <c r="C88" s="108"/>
      <c r="D88" s="108" t="s">
        <v>186</v>
      </c>
      <c r="E88" s="110">
        <f t="shared" ref="E88:S88" si="123">IF(E85=0,"-",E86/E85)</f>
        <v>1.4981273408239701</v>
      </c>
      <c r="F88" s="110">
        <f t="shared" si="123"/>
        <v>0.75576770087509948</v>
      </c>
      <c r="G88" s="110">
        <f t="shared" si="123"/>
        <v>-2.6785714285714284</v>
      </c>
      <c r="H88" s="110">
        <f t="shared" si="123"/>
        <v>5.3571428571428568</v>
      </c>
      <c r="I88" s="110">
        <f t="shared" si="123"/>
        <v>2.9147982062780269</v>
      </c>
      <c r="J88" s="110">
        <f t="shared" si="123"/>
        <v>1.673728813559322</v>
      </c>
      <c r="K88" s="110">
        <f t="shared" si="123"/>
        <v>1.271186440677966</v>
      </c>
      <c r="L88" s="111">
        <f t="shared" si="123"/>
        <v>-9.5141700404858298</v>
      </c>
      <c r="M88" s="110">
        <f t="shared" si="123"/>
        <v>0.3412414689632759</v>
      </c>
      <c r="N88" s="110">
        <f t="shared" si="123"/>
        <v>0</v>
      </c>
      <c r="O88" s="110">
        <f t="shared" si="123"/>
        <v>0</v>
      </c>
      <c r="P88" s="110">
        <f t="shared" si="123"/>
        <v>1.2444444444444445</v>
      </c>
      <c r="Q88" s="110" t="str">
        <f t="shared" si="123"/>
        <v>-</v>
      </c>
      <c r="R88" s="111">
        <f t="shared" si="123"/>
        <v>0.27345254470426411</v>
      </c>
      <c r="S88" s="110">
        <f t="shared" si="123"/>
        <v>-8.3008559833577742</v>
      </c>
      <c r="T88" s="95">
        <f>+S88*$T$6</f>
        <v>-5.8105991883504418</v>
      </c>
      <c r="U88" s="112"/>
      <c r="V88" s="108"/>
      <c r="W88" s="108" t="s">
        <v>186</v>
      </c>
      <c r="X88" s="110">
        <f t="shared" ref="X88:AL88" si="124">IF(X85=0,"-",X86/X85)</f>
        <v>1.4981273408239701</v>
      </c>
      <c r="Y88" s="110">
        <f t="shared" si="124"/>
        <v>0.75576770087509948</v>
      </c>
      <c r="Z88" s="110">
        <f t="shared" si="124"/>
        <v>-2.6785714285714284</v>
      </c>
      <c r="AA88" s="110">
        <f t="shared" si="124"/>
        <v>5.3571428571428568</v>
      </c>
      <c r="AB88" s="110">
        <f t="shared" si="124"/>
        <v>2.9147982062780269</v>
      </c>
      <c r="AC88" s="110">
        <f t="shared" si="124"/>
        <v>1.673728813559322</v>
      </c>
      <c r="AD88" s="110">
        <f t="shared" si="124"/>
        <v>1.271186440677966</v>
      </c>
      <c r="AE88" s="111">
        <f t="shared" si="124"/>
        <v>4.5298726738491677</v>
      </c>
      <c r="AF88" s="110">
        <f t="shared" si="124"/>
        <v>0.3412414689632759</v>
      </c>
      <c r="AG88" s="110">
        <f t="shared" si="124"/>
        <v>0</v>
      </c>
      <c r="AH88" s="110">
        <f t="shared" si="124"/>
        <v>0</v>
      </c>
      <c r="AI88" s="110">
        <f t="shared" si="124"/>
        <v>1.2444444444444445</v>
      </c>
      <c r="AJ88" s="110" t="str">
        <f t="shared" si="124"/>
        <v>-</v>
      </c>
      <c r="AK88" s="111">
        <f t="shared" si="124"/>
        <v>0.18909626719056974</v>
      </c>
      <c r="AL88" s="110">
        <f t="shared" si="124"/>
        <v>-1.2635201573254671</v>
      </c>
    </row>
    <row r="89" spans="2:39" ht="14.25" x14ac:dyDescent="0.2">
      <c r="B89" s="103"/>
      <c r="C89" s="116"/>
      <c r="D89" s="116"/>
      <c r="E89" s="98">
        <f>+E88*$L$6</f>
        <v>0.44943820224719105</v>
      </c>
      <c r="F89" s="98">
        <f t="shared" ref="F89:J89" si="125">+F88*$L$6</f>
        <v>0.22673031026252982</v>
      </c>
      <c r="G89" s="98">
        <f t="shared" si="125"/>
        <v>-0.80357142857142849</v>
      </c>
      <c r="H89" s="98">
        <f t="shared" si="125"/>
        <v>1.607142857142857</v>
      </c>
      <c r="I89" s="98">
        <f t="shared" si="125"/>
        <v>0.87443946188340804</v>
      </c>
      <c r="J89" s="98">
        <f t="shared" si="125"/>
        <v>0.5021186440677966</v>
      </c>
      <c r="K89" s="98"/>
      <c r="L89" s="98"/>
      <c r="M89" s="98">
        <f t="shared" ref="M89:P89" si="126">+M88*$L$6</f>
        <v>0.10237244068898277</v>
      </c>
      <c r="N89" s="98">
        <f t="shared" si="126"/>
        <v>0</v>
      </c>
      <c r="O89" s="98">
        <f t="shared" si="126"/>
        <v>0</v>
      </c>
      <c r="P89" s="98">
        <f t="shared" si="126"/>
        <v>0.37333333333333335</v>
      </c>
      <c r="Q89" s="98"/>
      <c r="R89" s="117"/>
      <c r="S89" s="98">
        <f>+AVERAGE(E89:Q89)</f>
        <v>0.33320038210546704</v>
      </c>
      <c r="T89" s="100">
        <f>+S89+T88</f>
        <v>-5.4773988062449748</v>
      </c>
      <c r="U89" s="86"/>
      <c r="V89" s="87"/>
      <c r="W89" s="87"/>
      <c r="X89" s="93"/>
      <c r="Y89" s="93"/>
      <c r="Z89" s="93"/>
      <c r="AA89" s="93"/>
      <c r="AB89" s="93"/>
      <c r="AC89" s="93"/>
      <c r="AD89" s="93"/>
      <c r="AE89" s="94"/>
      <c r="AF89" s="93"/>
      <c r="AG89" s="93"/>
      <c r="AH89" s="93"/>
      <c r="AI89" s="93"/>
      <c r="AJ89" s="93"/>
      <c r="AK89" s="94"/>
      <c r="AL89" s="93"/>
    </row>
    <row r="90" spans="2:39" ht="14.25" x14ac:dyDescent="0.2">
      <c r="B90" s="81">
        <v>17</v>
      </c>
      <c r="C90" s="83" t="s">
        <v>217</v>
      </c>
      <c r="D90" s="83" t="s">
        <v>180</v>
      </c>
      <c r="E90" s="84">
        <f>IF($D$1&lt;&gt;"",IF($D$1=$AN$3,HLOOKUP("sr",rku_01.jan,2,FALSE),IF($D$1=$AN$4,HLOOKUP("sr",rku_02.feb,2,FALSE),IF($D$1=$AN$5,HLOOKUP("sr",rku_03.mar,2,FALSE),IF($D$1=$AN$6,HLOOKUP("sr",rku_04.apr,2,FALSE),IF($D$1=$AN$7,HLOOKUP("sr",rku_05.mei,2,FALSE),IF($D$1=$AN$8,HLOOKUP("sr",rku_06.jun,2,FALSE),IF($D$1=$AN$9,HLOOKUP("sr",rku_07.jul,2,FALSE),IF($D$1=$AN$10,HLOOKUP("sr",rku_08.ags,2,FALSE),IF($D$1=$AN$11,HLOOKUP("sr",rku_09.sep,2,FALSE),IF($D$1=$AN$12,HLOOKUP("sr",rku_10.okt,2,FALSE),IF($D$1=$AN$13,HLOOKUP("sr",rku_11.nov,2,FALSE),IF($D$1=$AN$14,HLOOKUP("sr",rku_12.des,2,FALSE),IF($D$1=$AN$15,HLOOKUP("sr",rku_TW_I,2,FALSE),IF($D$1=$AN$16,HLOOKUP("sr",rku_TW_II,2,FALSE),IF($D$1=$AN$17,HLOOKUP("sr",rku_TW_III,2,FALSE),IF($D$1=$AN$18,HLOOKUP("sr",rku_TW_IV,2,FALSE),IF($D$1=$AN$19,HLOOKUP("sr",rku_SM_I,2,FALSE),IF($D$1=$AN$20,HLOOKUP("sr",rku_SM_II,2,FALSE),IF($D$1=$AN$21,HLOOKUP("sr",rku_2013,2,FALSE),IF($D$1=$AN$22,HLOOKUP("sr",rku_jan_apr,2,FALSE),IF($D$1=$AN$23,HLOOKUP("sr",rku_jan_mei,2,FALSE),IF($D$1=$AN$24,HLOOKUP("sr",rku_jan_jul,2,FALSE),IF($D$1=$AN$25,HLOOKUP("sr",rku_jan_ags,2,FALSE),IF($D$1=$AN$26,HLOOKUP("sr",rku_jan_sep,2,FALSE),IF($D$1=$AN$27,HLOOKUP("sr",rku_jan_okt,2,FALSE),IF($D$1=$AN$28,HLOOKUP("sr",rku_jan_nov,2,FALSE),0)))))))))))))))))))))))))))</f>
        <v>200000</v>
      </c>
      <c r="F90" s="84">
        <f>IF($D$1&lt;&gt;"",IF($D$1=$AN$3,HLOOKUP("sr",rku_01.jan,3,FALSE),IF($D$1=$AN$4,HLOOKUP("sr",rku_02.feb,3,FALSE),IF($D$1=$AN$5,HLOOKUP("sr",rku_03.mar,3,FALSE),IF($D$1=$AN$6,HLOOKUP("sr",rku_04.apr,3,FALSE),IF($D$1=$AN$7,HLOOKUP("sr",rku_05.mei,3,FALSE),IF($D$1=$AN$8,HLOOKUP("sr",rku_06.jun,3,FALSE),IF($D$1=$AN$9,HLOOKUP("sr",rku_07.jul,3,FALSE),IF($D$1=$AN$10,HLOOKUP("sr",rku_08.ags,3,FALSE),IF($D$1=$AN$11,HLOOKUP("sr",rku_09.sep,3,FALSE),IF($D$1=$AN$12,HLOOKUP("sr",rku_10.okt,3,FALSE),IF($D$1=$AN$13,HLOOKUP("sr",rku_11.nov,3,FALSE),IF($D$1=$AN$14,HLOOKUP("sr",rku_12.des,3,FALSE),IF($D$1=$AN$15,HLOOKUP("sr",rku_TW_I,3,FALSE),IF($D$1=$AN$16,HLOOKUP("sr",rku_TW_II,3,FALSE),IF($D$1=$AN$17,HLOOKUP("sr",rku_TW_III,3,FALSE),IF($D$1=$AN$18,HLOOKUP("sr",rku_TW_IV,3,FALSE),IF($D$1=$AN$19,HLOOKUP("sr",rku_SM_I,3,FALSE),IF($D$1=$AN$20,HLOOKUP("sr",rku_SM_II,3,FALSE),IF($D$1=$AN$21,HLOOKUP("sr",rku_2013,3,FALSE),IF($D$1=$AN$22,HLOOKUP("sr",rku_jan_apr,3,FALSE),IF($D$1=$AN$23,HLOOKUP("sr",rku_jan_mei,3,FALSE),IF($D$1=$AN$24,HLOOKUP("sr",rku_jan_jul,3,FALSE),IF($D$1=$AN$25,HLOOKUP("sr",rku_jan_ags,3,FALSE),IF($D$1=$AN$26,HLOOKUP("sr",rku_jan_sep,3,FALSE),IF($D$1=$AN$27,HLOOKUP("sr",rku_jan_okt,3,FALSE),IF($D$1=$AN$28,HLOOKUP("sr",rku_jan_nov,3,FALSE),0)))))))))))))))))))))))))))</f>
        <v>-554000</v>
      </c>
      <c r="G90" s="84">
        <f>IF($D$1&lt;&gt;"",IF($D$1=$AN$3,HLOOKUP("sr",rku_01.jan,4,FALSE),IF($D$1=$AN$4,HLOOKUP("sr",rku_02.feb,4,FALSE),IF($D$1=$AN$5,HLOOKUP("sr",rku_03.mar,4,FALSE),IF($D$1=$AN$6,HLOOKUP("sr",rku_04.apr,4,FALSE),IF($D$1=$AN$7,HLOOKUP("sr",rku_05.mei,4,FALSE),IF($D$1=$AN$8,HLOOKUP("sr",rku_06.jun,4,FALSE),IF($D$1=$AN$9,HLOOKUP("sr",rku_07.jul,4,FALSE),IF($D$1=$AN$10,HLOOKUP("sr",rku_08.ags,4,FALSE),IF($D$1=$AN$11,HLOOKUP("sr",rku_09.sep,4,FALSE),IF($D$1=$AN$12,HLOOKUP("sr",rku_10.okt,4,FALSE),IF($D$1=$AN$13,HLOOKUP("sr",rku_11.nov,4,FALSE),IF($D$1=$AN$14,HLOOKUP("sr",rku_12.des,4,FALSE),IF($D$1=$AN$15,HLOOKUP("sr",rku_TW_I,4,FALSE),IF($D$1=$AN$16,HLOOKUP("sr",rku_TW_II,4,FALSE),IF($D$1=$AN$17,HLOOKUP("sr",rku_TW_III,4,FALSE),IF($D$1=$AN$18,HLOOKUP("sr",rku_TW_IV,4,FALSE),IF($D$1=$AN$19,HLOOKUP("sr",rku_SM_I,4,FALSE),IF($D$1=$AN$20,HLOOKUP("sr",rku_SM_II,4,FALSE),IF($D$1=$AN$21,HLOOKUP("sr",rku_2013,4,FALSE),IF($D$1=$AN$22,HLOOKUP("sr",rku_jan_apr,4,FALSE),IF($D$1=$AN$23,HLOOKUP("sr",rku_jan_mei,4,FALSE),IF($D$1=$AN$24,HLOOKUP("sr",rku_jan_jul,4,FALSE),IF($D$1=$AN$25,HLOOKUP("sr",rku_jan_ags,4,FALSE),IF($D$1=$AN$26,HLOOKUP("sr",rku_jan_sep,4,FALSE),IF($D$1=$AN$27,HLOOKUP("sr",rku_jan_okt,4,FALSE),IF($D$1=$AN$28,HLOOKUP("sr",rku_jan_nov,4,FALSE),0)))))))))))))))))))))))))))</f>
        <v>-4800</v>
      </c>
      <c r="H90" s="84">
        <f>IF($D$1&lt;&gt;"",IF($D$1=$AN$3,HLOOKUP("sr",rku_01.jan,5,FALSE),IF($D$1=$AN$4,HLOOKUP("sr",rku_02.feb,5,FALSE),IF($D$1=$AN$5,HLOOKUP("sr",rku_03.mar,5,FALSE),IF($D$1=$AN$6,HLOOKUP("sr",rku_04.apr,5,FALSE),IF($D$1=$AN$7,HLOOKUP("sr",rku_05.mei,5,FALSE),IF($D$1=$AN$8,HLOOKUP("sr",rku_06.jun,5,FALSE),IF($D$1=$AN$9,HLOOKUP("sr",rku_07.jul,5,FALSE),IF($D$1=$AN$10,HLOOKUP("sr",rku_08.ags,5,FALSE),IF($D$1=$AN$11,HLOOKUP("sr",rku_09.sep,5,FALSE),IF($D$1=$AN$12,HLOOKUP("sr",rku_10.okt,5,FALSE),IF($D$1=$AN$13,HLOOKUP("sr",rku_11.nov,5,FALSE),IF($D$1=$AN$14,HLOOKUP("sr",rku_12.des,5,FALSE),IF($D$1=$AN$15,HLOOKUP("sr",rku_TW_I,5,FALSE),IF($D$1=$AN$16,HLOOKUP("sr",rku_TW_II,5,FALSE),IF($D$1=$AN$17,HLOOKUP("sr",rku_TW_III,5,FALSE),IF($D$1=$AN$18,HLOOKUP("sr",rku_TW_IV,5,FALSE),IF($D$1=$AN$19,HLOOKUP("sr",rku_SM_I,5,FALSE),IF($D$1=$AN$20,HLOOKUP("sr",rku_SM_II,5,FALSE),IF($D$1=$AN$21,HLOOKUP("sr",rku_2013,5,FALSE),IF($D$1=$AN$22,HLOOKUP("sr",rku_jan_apr,5,FALSE),IF($D$1=$AN$23,HLOOKUP("sr",rku_jan_mei,5,FALSE),IF($D$1=$AN$24,HLOOKUP("sr",rku_jan_jul,5,FALSE),IF($D$1=$AN$25,HLOOKUP("sr",rku_jan_ags,5,FALSE),IF($D$1=$AN$26,HLOOKUP("sr",rku_jan_sep,5,FALSE),IF($D$1=$AN$27,HLOOKUP("sr",rku_jan_okt,5,FALSE),IF($D$1=$AN$28,HLOOKUP("sr",rku_jan_nov,5,FALSE),0)))))))))))))))))))))))))))</f>
        <v>36600</v>
      </c>
      <c r="I90" s="84">
        <f>IF($D$1&lt;&gt;"",IF($D$1=$AN$3,HLOOKUP("sr",rku_01.jan,6,FALSE),IF($D$1=$AN$4,HLOOKUP("sr",rku_02.feb,6,FALSE),IF($D$1=$AN$5,HLOOKUP("sr",rku_03.mar,6,FALSE),IF($D$1=$AN$6,HLOOKUP("sr",rku_04.apr,6,FALSE),IF($D$1=$AN$7,HLOOKUP("sr",rku_05.mei,6,FALSE),IF($D$1=$AN$8,HLOOKUP("sr",rku_06.jun,6,FALSE),IF($D$1=$AN$9,HLOOKUP("sr",rku_07.jul,6,FALSE),IF($D$1=$AN$10,HLOOKUP("sr",rku_08.ags,6,FALSE),IF($D$1=$AN$11,HLOOKUP("sr",rku_09.sep,6,FALSE),IF($D$1=$AN$12,HLOOKUP("sr",rku_10.okt,6,FALSE),IF($D$1=$AN$13,HLOOKUP("sr",rku_11.nov,6,FALSE),IF($D$1=$AN$14,HLOOKUP("sr",rku_12.des,6,FALSE),IF($D$1=$AN$15,HLOOKUP("sr",rku_TW_I,6,FALSE),IF($D$1=$AN$16,HLOOKUP("sr",rku_TW_II,6,FALSE),IF($D$1=$AN$17,HLOOKUP("sr",rku_TW_III,6,FALSE),IF($D$1=$AN$18,HLOOKUP("sr",rku_TW_IV,6,FALSE),IF($D$1=$AN$19,HLOOKUP("sr",rku_SM_I,6,FALSE),IF($D$1=$AN$20,HLOOKUP("sr",rku_SM_II,6,FALSE),IF($D$1=$AN$21,HLOOKUP("sr",rku_2013,6,FALSE),IF($D$1=$AN$22,HLOOKUP("sr",rku_jan_apr,6,FALSE),IF($D$1=$AN$23,HLOOKUP("sr",rku_jan_mei,6,FALSE),IF($D$1=$AN$24,HLOOKUP("sr",rku_jan_jul,6,FALSE),IF($D$1=$AN$25,HLOOKUP("sr",rku_jan_ags,6,FALSE),IF($D$1=$AN$26,HLOOKUP("sr",rku_jan_sep,6,FALSE),IF($D$1=$AN$27,HLOOKUP("sr",rku_jan_okt,6,FALSE),IF($D$1=$AN$28,HLOOKUP("sr",rku_jan_nov,6,FALSE),0)))))))))))))))))))))))))))</f>
        <v>25100</v>
      </c>
      <c r="J90" s="84">
        <f>IF($D$1&lt;&gt;"",IF($D$1=$AN$3,HLOOKUP("sr",rku_01.jan,7,FALSE),IF($D$1=$AN$4,HLOOKUP("sr",rku_02.feb,7,FALSE),IF($D$1=$AN$5,HLOOKUP("sr",rku_03.mar,7,FALSE),IF($D$1=$AN$6,HLOOKUP("sr",rku_04.apr,7,FALSE),IF($D$1=$AN$7,HLOOKUP("sr",rku_05.mei,7,FALSE),IF($D$1=$AN$8,HLOOKUP("sr",rku_06.jun,7,FALSE),IF($D$1=$AN$9,HLOOKUP("sr",rku_07.jul,7,FALSE),IF($D$1=$AN$10,HLOOKUP("sr",rku_08.ags,7,FALSE),IF($D$1=$AN$11,HLOOKUP("sr",rku_09.sep,7,FALSE),IF($D$1=$AN$12,HLOOKUP("sr",rku_10.okt,7,FALSE),IF($D$1=$AN$13,HLOOKUP("sr",rku_11.nov,7,FALSE),IF($D$1=$AN$14,HLOOKUP("sr",rku_12.des,7,FALSE),IF($D$1=$AN$15,HLOOKUP("sr",rku_TW_I,7,FALSE),IF($D$1=$AN$16,HLOOKUP("sr",rku_TW_II,7,FALSE),IF($D$1=$AN$17,HLOOKUP("sr",rku_TW_III,7,FALSE),IF($D$1=$AN$18,HLOOKUP("sr",rku_TW_IV,7,FALSE),IF($D$1=$AN$19,HLOOKUP("sr",rku_SM_I,7,FALSE),IF($D$1=$AN$20,HLOOKUP("sr",rku_SM_II,7,FALSE),IF($D$1=$AN$21,HLOOKUP("sr",rku_2013,7,FALSE),IF($D$1=$AN$22,HLOOKUP("sr",rku_jan_apr,7,FALSE),IF($D$1=$AN$23,HLOOKUP("sr",rku_jan_mei,7,FALSE),IF($D$1=$AN$24,HLOOKUP("sr",rku_jan_jul,7,FALSE),IF($D$1=$AN$25,HLOOKUP("sr",rku_jan_ags,7,FALSE),IF($D$1=$AN$26,HLOOKUP("sr",rku_jan_sep,7,FALSE),IF($D$1=$AN$27,HLOOKUP("sr",rku_jan_okt,7,FALSE),IF($D$1=$AN$28,HLOOKUP("sr",rku_jan_nov,7,FALSE),0)))))))))))))))))))))))))))</f>
        <v>10040</v>
      </c>
      <c r="K90" s="84">
        <f>IF($D$1&lt;&gt;"",IF($D$1=$AN$3,HLOOKUP("sr",rku_01.jan,8,FALSE),IF($D$1=$AN$4,HLOOKUP("sr",rku_02.feb,8,FALSE),IF($D$1=$AN$5,HLOOKUP("sr",rku_03.mar,8,FALSE),IF($D$1=$AN$6,HLOOKUP("sr",rku_04.apr,8,FALSE),IF($D$1=$AN$7,HLOOKUP("sr",rku_05.mei,8,FALSE),IF($D$1=$AN$8,HLOOKUP("sr",rku_06.jun,8,FALSE),IF($D$1=$AN$9,HLOOKUP("sr",rku_07.jul,8,FALSE),IF($D$1=$AN$10,HLOOKUP("sr",rku_08.ags,8,FALSE),IF($D$1=$AN$11,HLOOKUP("sr",rku_09.sep,8,FALSE),IF($D$1=$AN$12,HLOOKUP("sr",rku_10.okt,8,FALSE),IF($D$1=$AN$13,HLOOKUP("sr",rku_11.nov,8,FALSE),IF($D$1=$AN$14,HLOOKUP("sr",rku_12.des,8,FALSE),IF($D$1=$AN$15,HLOOKUP("sr",rku_TW_I,8,FALSE),IF($D$1=$AN$16,HLOOKUP("sr",rku_TW_II,8,FALSE),IF($D$1=$AN$17,HLOOKUP("sr",rku_TW_III,8,FALSE),IF($D$1=$AN$18,HLOOKUP("sr",rku_TW_IV,8,FALSE),IF($D$1=$AN$19,HLOOKUP("sr",rku_SM_I,8,FALSE),IF($D$1=$AN$20,HLOOKUP("sr",rku_SM_II,8,FALSE),IF($D$1=$AN$21,HLOOKUP("sr",rku_2013,8,FALSE),IF($D$1=$AN$22,HLOOKUP("sr",rku_jan_apr,8,FALSE),IF($D$1=$AN$23,HLOOKUP("sr",rku_jan_mei,8,FALSE),IF($D$1=$AN$24,HLOOKUP("sr",rku_jan_jul,8,FALSE),IF($D$1=$AN$25,HLOOKUP("sr",rku_jan_ags,8,FALSE),IF($D$1=$AN$26,HLOOKUP("sr",rku_jan_sep,8,FALSE),IF($D$1=$AN$27,HLOOKUP("sr",rku_jan_okt,8,FALSE),IF($D$1=$AN$28,HLOOKUP("sr",rku_jan_nov,8,FALSE),0)))))))))))))))))))))))))))</f>
        <v>2000</v>
      </c>
      <c r="L90" s="85">
        <f>+SUM(E90:K90)</f>
        <v>-285060</v>
      </c>
      <c r="M90" s="84">
        <f>IF($D$1&lt;&gt;"",IF($D$1=$AN$3,HLOOKUP("sr",rku_01.jan,10,FALSE),IF($D$1=$AN$4,HLOOKUP("sr",rku_02.feb,10,FALSE),IF($D$1=$AN$5,HLOOKUP("sr",rku_03.mar,10,FALSE),IF($D$1=$AN$6,HLOOKUP("sr",rku_04.apr,10,FALSE),IF($D$1=$AN$7,HLOOKUP("sr",rku_05.mei,10,FALSE),IF($D$1=$AN$8,HLOOKUP("sr",rku_06.jun,10,FALSE),IF($D$1=$AN$9,HLOOKUP("sr",rku_07.jul,10,FALSE),IF($D$1=$AN$10,HLOOKUP("sr",rku_08.ags,10,FALSE),IF($D$1=$AN$11,HLOOKUP("sr",rku_09.sep,10,FALSE),IF($D$1=$AN$12,HLOOKUP("sr",rku_10.okt,10,FALSE),IF($D$1=$AN$13,HLOOKUP("sr",rku_11.nov,10,FALSE),IF($D$1=$AN$14,HLOOKUP("sr",rku_12.des,10,FALSE),IF($D$1=$AN$15,HLOOKUP("sr",rku_TW_I,10,FALSE),IF($D$1=$AN$16,HLOOKUP("sr",rku_TW_II,10,FALSE),IF($D$1=$AN$17,HLOOKUP("sr",rku_TW_III,10,FALSE),IF($D$1=$AN$18,HLOOKUP("sr",rku_TW_IV,10,FALSE),IF($D$1=$AN$19,HLOOKUP("sr",rku_SM_I,10,FALSE),IF($D$1=$AN$20,HLOOKUP("sr",rku_SM_II,10,FALSE),IF($D$1=$AN$21,HLOOKUP("sr",rku_2013,10,FALSE),IF($D$1=$AN$22,HLOOKUP("sr",rku_jan_apr,10,FALSE),IF($D$1=$AN$23,HLOOKUP("sr",rku_jan_mei,10,FALSE),IF($D$1=$AN$24,HLOOKUP("sr",rku_jan_jul,10,FALSE),IF($D$1=$AN$25,HLOOKUP("sr",rku_jan_ags,10,FALSE),IF($D$1=$AN$26,HLOOKUP("sr",rku_jan_sep,10,FALSE),IF($D$1=$AN$27,HLOOKUP("sr",rku_jan_okt,10,FALSE),IF($D$1=$AN$28,HLOOKUP("sr",rku_jan_nov,10,FALSE),0)))))))))))))))))))))))))))</f>
        <v>-80</v>
      </c>
      <c r="N90" s="84">
        <f>IF($D$1&lt;&gt;"",IF($D$1=$AN$3,HLOOKUP("sr",rku_01.jan,11,FALSE),IF($D$1=$AN$4,HLOOKUP("sr",rku_02.feb,11,FALSE),IF($D$1=$AN$5,HLOOKUP("sr",rku_03.mar,11,FALSE),IF($D$1=$AN$6,HLOOKUP("sr",rku_04.apr,11,FALSE),IF($D$1=$AN$7,HLOOKUP("sr",rku_05.mei,11,FALSE),IF($D$1=$AN$8,HLOOKUP("sr",rku_06.jun,11,FALSE),IF($D$1=$AN$9,HLOOKUP("sr",rku_07.jul,11,FALSE),IF($D$1=$AN$10,HLOOKUP("sr",rku_08.ags,11,FALSE),IF($D$1=$AN$11,HLOOKUP("sr",rku_09.sep,11,FALSE),IF($D$1=$AN$12,HLOOKUP("sr",rku_10.okt,11,FALSE),IF($D$1=$AN$13,HLOOKUP("sr",rku_11.nov,11,FALSE),IF($D$1=$AN$14,HLOOKUP("sr",rku_12.des,11,FALSE),IF($D$1=$AN$15,HLOOKUP("sr",rku_TW_I,11,FALSE),IF($D$1=$AN$16,HLOOKUP("sr",rku_TW_II,11,FALSE),IF($D$1=$AN$17,HLOOKUP("sr",rku_TW_III,11,FALSE),IF($D$1=$AN$18,HLOOKUP("sr",rku_TW_IV,11,FALSE),IF($D$1=$AN$19,HLOOKUP("sr",rku_SM_I,11,FALSE),IF($D$1=$AN$20,HLOOKUP("sr",rku_SM_II,11,FALSE),IF($D$1=$AN$21,HLOOKUP("sr",rku_2013,11,FALSE),IF($D$1=$AN$22,HLOOKUP("sr",rku_jan_apr,11,FALSE),IF($D$1=$AN$23,HLOOKUP("sr",rku_jan_mei,11,FALSE),IF($D$1=$AN$24,HLOOKUP("sr",rku_jan_jul,11,FALSE),IF($D$1=$AN$25,HLOOKUP("sr",rku_jan_ags,11,FALSE),IF($D$1=$AN$26,HLOOKUP("sr",rku_jan_sep,11,FALSE),IF($D$1=$AN$27,HLOOKUP("sr",rku_jan_okt,11,FALSE),IF($D$1=$AN$28,HLOOKUP("sr",rku_jan_nov,11,FALSE),0)))))))))))))))))))))))))))</f>
        <v>502.5</v>
      </c>
      <c r="O90" s="84">
        <f>IF($D$1&lt;&gt;"",IF($D$1=$AN$3,HLOOKUP("sr",rku_01.jan,12,FALSE),IF($D$1=$AN$4,HLOOKUP("sr",rku_02.feb,12,FALSE),IF($D$1=$AN$5,HLOOKUP("sr",rku_03.mar,12,FALSE),IF($D$1=$AN$6,HLOOKUP("sr",rku_04.apr,12,FALSE),IF($D$1=$AN$7,HLOOKUP("sr",rku_05.mei,12,FALSE),IF($D$1=$AN$8,HLOOKUP("sr",rku_06.jun,12,FALSE),IF($D$1=$AN$9,HLOOKUP("sr",rku_07.jul,12,FALSE),IF($D$1=$AN$10,HLOOKUP("sr",rku_08.ags,12,FALSE),IF($D$1=$AN$11,HLOOKUP("sr",rku_09.sep,12,FALSE),IF($D$1=$AN$12,HLOOKUP("sr",rku_10.okt,12,FALSE),IF($D$1=$AN$13,HLOOKUP("sr",rku_11.nov,12,FALSE),IF($D$1=$AN$14,HLOOKUP("sr",rku_12.des,12,FALSE),IF($D$1=$AN$15,HLOOKUP("sr",rku_TW_I,12,FALSE),IF($D$1=$AN$16,HLOOKUP("sr",rku_TW_II,12,FALSE),IF($D$1=$AN$17,HLOOKUP("sr",rku_TW_III,12,FALSE),IF($D$1=$AN$18,HLOOKUP("sr",rku_TW_IV,12,FALSE),IF($D$1=$AN$19,HLOOKUP("sr",rku_SM_I,12,FALSE),IF($D$1=$AN$20,HLOOKUP("sr",rku_SM_II,12,FALSE),IF($D$1=$AN$21,HLOOKUP("sr",rku_2013,12,FALSE),IF($D$1=$AN$22,HLOOKUP("sr",rku_jan_apr,12,FALSE),IF($D$1=$AN$23,HLOOKUP("sr",rku_jan_mei,12,FALSE),IF($D$1=$AN$24,HLOOKUP("sr",rku_jan_jul,12,FALSE),IF($D$1=$AN$25,HLOOKUP("sr",rku_jan_ags,12,FALSE),IF($D$1=$AN$26,HLOOKUP("sr",rku_jan_sep,12,FALSE),IF($D$1=$AN$27,HLOOKUP("sr",rku_jan_okt,12,FALSE),IF($D$1=$AN$28,HLOOKUP("sr",rku_jan_nov,12,FALSE),0)))))))))))))))))))))))))))</f>
        <v>-120</v>
      </c>
      <c r="P90" s="84">
        <f>IF($D$1&lt;&gt;"",IF($D$1=$AN$3,HLOOKUP("sr",rku_01.jan,13,FALSE),IF($D$1=$AN$4,HLOOKUP("sr",rku_02.feb,13,FALSE),IF($D$1=$AN$5,HLOOKUP("sr",rku_03.mar,13,FALSE),IF($D$1=$AN$6,HLOOKUP("sr",rku_04.apr,13,FALSE),IF($D$1=$AN$7,HLOOKUP("sr",rku_05.mei,13,FALSE),IF($D$1=$AN$8,HLOOKUP("sr",rku_06.jun,13,FALSE),IF($D$1=$AN$9,HLOOKUP("sr",rku_07.jul,13,FALSE),IF($D$1=$AN$10,HLOOKUP("sr",rku_08.ags,13,FALSE),IF($D$1=$AN$11,HLOOKUP("sr",rku_09.sep,13,FALSE),IF($D$1=$AN$12,HLOOKUP("sr",rku_10.okt,13,FALSE),IF($D$1=$AN$13,HLOOKUP("sr",rku_11.nov,13,FALSE),IF($D$1=$AN$14,HLOOKUP("sr",rku_12.des,13,FALSE),IF($D$1=$AN$15,HLOOKUP("sr",rku_TW_I,13,FALSE),IF($D$1=$AN$16,HLOOKUP("sr",rku_TW_II,13,FALSE),IF($D$1=$AN$17,HLOOKUP("sr",rku_TW_III,13,FALSE),IF($D$1=$AN$18,HLOOKUP("sr",rku_TW_IV,13,FALSE),IF($D$1=$AN$19,HLOOKUP("sr",rku_SM_I,13,FALSE),IF($D$1=$AN$20,HLOOKUP("sr",rku_SM_II,13,FALSE),IF($D$1=$AN$21,HLOOKUP("sr",rku_2013,13,FALSE),IF($D$1=$AN$22,HLOOKUP("sr",rku_jan_apr,13,FALSE),IF($D$1=$AN$23,HLOOKUP("sr",rku_jan_mei,13,FALSE),IF($D$1=$AN$24,HLOOKUP("sr",rku_jan_jul,13,FALSE),IF($D$1=$AN$25,HLOOKUP("sr",rku_jan_ags,13,FALSE),IF($D$1=$AN$26,HLOOKUP("sr",rku_jan_sep,13,FALSE),IF($D$1=$AN$27,HLOOKUP("sr",rku_jan_okt,13,FALSE),IF($D$1=$AN$28,HLOOKUP("sr",rku_jan_nov,13,FALSE),0)))))))))))))))))))))))))))</f>
        <v>-21</v>
      </c>
      <c r="Q90" s="84">
        <f>IF($D$1&lt;&gt;"",IF($D$1=$AN$3,HLOOKUP("sr",rku_01.jan,14,FALSE),IF($D$1=$AN$4,HLOOKUP("sr",rku_02.feb,14,FALSE),IF($D$1=$AN$5,HLOOKUP("sr",rku_03.mar,14,FALSE),IF($D$1=$AN$6,HLOOKUP("sr",rku_04.apr,14,FALSE),IF($D$1=$AN$7,HLOOKUP("sr",rku_05.mei,14,FALSE),IF($D$1=$AN$8,HLOOKUP("sr",rku_06.jun,14,FALSE),IF($D$1=$AN$9,HLOOKUP("sr",rku_07.jul,14,FALSE),IF($D$1=$AN$10,HLOOKUP("sr",rku_08.ags,14,FALSE),IF($D$1=$AN$11,HLOOKUP("sr",rku_09.sep,14,FALSE),IF($D$1=$AN$12,HLOOKUP("sr",rku_10.okt,14,FALSE),IF($D$1=$AN$13,HLOOKUP("sr",rku_11.nov,14,FALSE),IF($D$1=$AN$14,HLOOKUP("sr",rku_12.des,14,FALSE),IF($D$1=$AN$15,HLOOKUP("sr",rku_TW_I,14,FALSE),IF($D$1=$AN$16,HLOOKUP("sr",rku_TW_II,14,FALSE),IF($D$1=$AN$17,HLOOKUP("sr",rku_TW_III,14,FALSE),IF($D$1=$AN$18,HLOOKUP("sr",rku_TW_IV,14,FALSE),IF($D$1=$AN$19,HLOOKUP("sr",rku_SM_I,14,FALSE),IF($D$1=$AN$20,HLOOKUP("sr",rku_SM_II,14,FALSE),IF($D$1=$AN$21,HLOOKUP("sr",rku_2013,14,FALSE),IF($D$1=$AN$22,HLOOKUP("sr",rku_jan_apr,14,FALSE),IF($D$1=$AN$23,HLOOKUP("sr",rku_jan_mei,14,FALSE),IF($D$1=$AN$24,HLOOKUP("sr",rku_jan_jul,14,FALSE),IF($D$1=$AN$25,HLOOKUP("sr",rku_jan_ags,14,FALSE),IF($D$1=$AN$26,HLOOKUP("sr",rku_jan_sep,14,FALSE),IF($D$1=$AN$27,HLOOKUP("sr",rku_jan_okt,14,FALSE),IF($D$1=$AN$28,HLOOKUP("sr",rku_jan_nov,14,FALSE),0)))))))))))))))))))))))))))</f>
        <v>0</v>
      </c>
      <c r="R90" s="85">
        <f>+SUM(M90:Q90)</f>
        <v>281.5</v>
      </c>
      <c r="S90" s="84">
        <f>+R90+L90</f>
        <v>-284778.5</v>
      </c>
      <c r="U90" s="81">
        <v>17</v>
      </c>
      <c r="V90" s="83" t="s">
        <v>217</v>
      </c>
      <c r="W90" s="83" t="s">
        <v>180</v>
      </c>
      <c r="X90" s="84">
        <f t="shared" ref="X90:AD91" si="127">E90/X$100</f>
        <v>100</v>
      </c>
      <c r="Y90" s="84">
        <f t="shared" si="127"/>
        <v>-554</v>
      </c>
      <c r="Z90" s="84">
        <f t="shared" si="127"/>
        <v>-12</v>
      </c>
      <c r="AA90" s="84">
        <f t="shared" si="127"/>
        <v>183</v>
      </c>
      <c r="AB90" s="84">
        <f t="shared" si="127"/>
        <v>251</v>
      </c>
      <c r="AC90" s="84">
        <f t="shared" si="127"/>
        <v>251</v>
      </c>
      <c r="AD90" s="84">
        <f t="shared" si="127"/>
        <v>100</v>
      </c>
      <c r="AE90" s="85">
        <f>+SUM(X90:AD90)</f>
        <v>319</v>
      </c>
      <c r="AF90" s="84">
        <f t="shared" ref="AF90:AJ91" si="128">M90/AF$100</f>
        <v>-16</v>
      </c>
      <c r="AG90" s="84">
        <f t="shared" si="128"/>
        <v>201</v>
      </c>
      <c r="AH90" s="84">
        <f t="shared" si="128"/>
        <v>-60</v>
      </c>
      <c r="AI90" s="84">
        <f t="shared" si="128"/>
        <v>-21</v>
      </c>
      <c r="AJ90" s="84">
        <f t="shared" si="128"/>
        <v>0</v>
      </c>
      <c r="AK90" s="85">
        <f>+SUM(AF90:AJ90)</f>
        <v>104</v>
      </c>
      <c r="AL90" s="84">
        <f>+AK90+AE90</f>
        <v>423</v>
      </c>
    </row>
    <row r="91" spans="2:39" ht="14.25" x14ac:dyDescent="0.2">
      <c r="B91" s="86"/>
      <c r="C91" s="87"/>
      <c r="D91" s="87" t="s">
        <v>182</v>
      </c>
      <c r="E91" s="88">
        <f>IF($D$1&lt;&gt;"",IF($D$1=$AN$3,HLOOKUP("sr",real_rku_01.jan,2,FALSE),IF($D$1=$AN$4,HLOOKUP("sr",real_rku_02.feb,2,FALSE),IF($D$1=$AN$5,HLOOKUP("sr",real_rku_03.mar,2,FALSE),IF($D$1=$AN$6,HLOOKUP("sr",real_rku_04.apr,2,FALSE),IF($D$1=$AN$7,HLOOKUP("sr",real_rku_05.mei,2,FALSE),IF($D$1=$AN$8,HLOOKUP("sr",real_rku_06.jun,2,FALSE),IF($D$1=$AN$9,HLOOKUP("sr",real_rku_07.jul,2,FALSE),IF($D$1=$AN$10,HLOOKUP("sr",real_rku_08.ags,2,FALSE),IF($D$1=$AN$11,HLOOKUP("sr",real_rku_09.sep,2,FALSE),IF($D$1=$AN$12,HLOOKUP("sr",real_rku_10.okt,2,FALSE),IF($D$1=$AN$13,HLOOKUP("sr",real_rku_11.nov,2,FALSE),IF($D$1=$AN$14,HLOOKUP("sr",real_rku_12.des,2,FALSE),IF($D$1=$AN$15,HLOOKUP("sr",real_rku_TW_I,2,FALSE),IF($D$1=$AN$16,HLOOKUP("sr",real_rku_TW_II,2,FALSE),IF($D$1=$AN$17,HLOOKUP("sr",real_rku_TW_III,2,FALSE),IF($D$1=$AN$18,HLOOKUP("sr",real_rku_TW_IV,2,FALSE),IF($D$1=$AN$19,HLOOKUP("sr",real_rku_SM_I,2,FALSE),IF($D$1=$AN$20,HLOOKUP("sr",real_rku_SM_II,2,FALSE),IF($D$1=$AN$21,HLOOKUP("sr",real_rku_2013,2,FALSE),IF($D$1=$AN$22,HLOOKUP("sr",real_rku_jan_apr,2,FALSE),IF($D$1=$AN$23,HLOOKUP("sr",real_rku_jan_mei,2,FALSE),IF($D$1=$AN$24,HLOOKUP("sr",real_rku_jan_jul,2,FALSE),IF($D$1=$AN$25,HLOOKUP("sr",real_rku_jan_ags,2,FALSE),IF($D$1=$AN$26,HLOOKUP("sr",real_rku_jan_sep,2,FALSE),IF($D$1=$AN$27,HLOOKUP("sr",real_rku_jan_okt,2,FALSE),IF($D$1=$AN$28,HLOOKUP("sr",real_rku_jan_nov,2,FALSE),0)))))))))))))))))))))))))))</f>
        <v>270000</v>
      </c>
      <c r="F91" s="88">
        <f>IF($D$1&lt;&gt;"",IF($D$1=$AN$3,HLOOKUP("sr",real_rku_01.jan,3,FALSE),IF($D$1=$AN$4,HLOOKUP("sr",real_rku_02.feb,3,FALSE),IF($D$1=$AN$5,HLOOKUP("sr",real_rku_03.mar,3,FALSE),IF($D$1=$AN$6,HLOOKUP("sr",real_rku_04.apr,3,FALSE),IF($D$1=$AN$7,HLOOKUP("sr",real_rku_05.mei,3,FALSE),IF($D$1=$AN$8,HLOOKUP("sr",real_rku_06.jun,3,FALSE),IF($D$1=$AN$9,HLOOKUP("sr",real_rku_07.jul,3,FALSE),IF($D$1=$AN$10,HLOOKUP("sr",real_rku_08.ags,3,FALSE),IF($D$1=$AN$11,HLOOKUP("sr",real_rku_09.sep,3,FALSE),IF($D$1=$AN$12,HLOOKUP("sr",real_rku_10.okt,3,FALSE),IF($D$1=$AN$13,HLOOKUP("sr",real_rku_11.nov,3,FALSE),IF($D$1=$AN$14,HLOOKUP("sr",real_rku_12.des,3,FALSE),IF($D$1=$AN$15,HLOOKUP("sr",real_rku_TW_I,3,FALSE),IF($D$1=$AN$16,HLOOKUP("sr",real_rku_TW_II,3,FALSE),IF($D$1=$AN$17,HLOOKUP("sr",real_rku_TW_III,3,FALSE),IF($D$1=$AN$18,HLOOKUP("sr",real_rku_TW_IV,3,FALSE),IF($D$1=$AN$19,HLOOKUP("sr",real_rku_SM_I,3,FALSE),IF($D$1=$AN$20,HLOOKUP("sr",real_rku_SM_II,3,FALSE),IF($D$1=$AN$21,HLOOKUP("sr",real_rku_2013,3,FALSE),IF($D$1=$AN$22,HLOOKUP("sr",real_rku_jan_apr,3,FALSE),IF($D$1=$AN$23,HLOOKUP("sr",real_rku_jan_mei,3,FALSE),IF($D$1=$AN$24,HLOOKUP("sr",real_rku_jan_jul,3,FALSE),IF($D$1=$AN$25,HLOOKUP("sr",real_rku_jan_ags,3,FALSE),IF($D$1=$AN$26,HLOOKUP("sr",real_rku_jan_sep,3,FALSE),IF($D$1=$AN$27,HLOOKUP("sr",real_rku_jan_okt,3,FALSE),IF($D$1=$AN$28,HLOOKUP("sr",real_rku_jan_nov,3,FALSE),0)))))))))))))))))))))))))))</f>
        <v>-159000</v>
      </c>
      <c r="G91" s="88">
        <f>IF($D$1&lt;&gt;"",IF($D$1=$AN$3,HLOOKUP("sr",real_rku_01.jan,4,FALSE),IF($D$1=$AN$4,HLOOKUP("sr",real_rku_02.feb,4,FALSE),IF($D$1=$AN$5,HLOOKUP("sr",real_rku_03.mar,4,FALSE),IF($D$1=$AN$6,HLOOKUP("sr",real_rku_04.apr,4,FALSE),IF($D$1=$AN$7,HLOOKUP("sr",real_rku_05.mei,4,FALSE),IF($D$1=$AN$8,HLOOKUP("sr",real_rku_06.jun,4,FALSE),IF($D$1=$AN$9,HLOOKUP("sr",real_rku_07.jul,4,FALSE),IF($D$1=$AN$10,HLOOKUP("sr",real_rku_08.ags,4,FALSE),IF($D$1=$AN$11,HLOOKUP("sr",real_rku_09.sep,4,FALSE),IF($D$1=$AN$12,HLOOKUP("sr",real_rku_10.okt,4,FALSE),IF($D$1=$AN$13,HLOOKUP("sr",real_rku_11.nov,4,FALSE),IF($D$1=$AN$14,HLOOKUP("sr",real_rku_12.des,4,FALSE),IF($D$1=$AN$15,HLOOKUP("sr",real_rku_TW_I,4,FALSE),IF($D$1=$AN$16,HLOOKUP("sr",real_rku_TW_II,4,FALSE),IF($D$1=$AN$17,HLOOKUP("sr",real_rku_TW_III,4,FALSE),IF($D$1=$AN$18,HLOOKUP("sr",real_rku_TW_IV,4,FALSE),IF($D$1=$AN$19,HLOOKUP("sr",real_rku_SM_I,4,FALSE),IF($D$1=$AN$20,HLOOKUP("sr",real_rku_SM_II,4,FALSE),IF($D$1=$AN$21,HLOOKUP("sr",real_rku_2013,4,FALSE),IF($D$1=$AN$22,HLOOKUP("sr",real_rku_jan_apr,4,FALSE),IF($D$1=$AN$23,HLOOKUP("sr",real_rku_jan_mei,4,FALSE),IF($D$1=$AN$24,HLOOKUP("sr",real_rku_jan_jul,4,FALSE),IF($D$1=$AN$25,HLOOKUP("sr",real_rku_jan_ags,4,FALSE),IF($D$1=$AN$26,HLOOKUP("sr",real_rku_jan_sep,4,FALSE),IF($D$1=$AN$27,HLOOKUP("sr",real_rku_jan_okt,4,FALSE),IF($D$1=$AN$28,HLOOKUP("sr",real_rku_jan_nov,4,FALSE),0)))))))))))))))))))))))))))</f>
        <v>100000</v>
      </c>
      <c r="H91" s="88">
        <f>IF($D$1&lt;&gt;"",IF($D$1=$AN$3,HLOOKUP("sr",real_rku_01.jan,5,FALSE),IF($D$1=$AN$4,HLOOKUP("sr",real_rku_02.feb,5,FALSE),IF($D$1=$AN$5,HLOOKUP("sr",real_rku_03.mar,5,FALSE),IF($D$1=$AN$6,HLOOKUP("sr",real_rku_04.apr,5,FALSE),IF($D$1=$AN$7,HLOOKUP("sr",real_rku_05.mei,5,FALSE),IF($D$1=$AN$8,HLOOKUP("sr",real_rku_06.jun,5,FALSE),IF($D$1=$AN$9,HLOOKUP("sr",real_rku_07.jul,5,FALSE),IF($D$1=$AN$10,HLOOKUP("sr",real_rku_08.ags,5,FALSE),IF($D$1=$AN$11,HLOOKUP("sr",real_rku_09.sep,5,FALSE),IF($D$1=$AN$12,HLOOKUP("sr",real_rku_10.okt,5,FALSE),IF($D$1=$AN$13,HLOOKUP("sr",real_rku_11.nov,5,FALSE),IF($D$1=$AN$14,HLOOKUP("sr",real_rku_12.des,5,FALSE),IF($D$1=$AN$15,HLOOKUP("sr",real_rku_TW_I,5,FALSE),IF($D$1=$AN$16,HLOOKUP("sr",real_rku_TW_II,5,FALSE),IF($D$1=$AN$17,HLOOKUP("sr",real_rku_TW_III,5,FALSE),IF($D$1=$AN$18,HLOOKUP("sr",real_rku_TW_IV,5,FALSE),IF($D$1=$AN$19,HLOOKUP("sr",real_rku_SM_I,5,FALSE),IF($D$1=$AN$20,HLOOKUP("sr",real_rku_SM_II,5,FALSE),IF($D$1=$AN$21,HLOOKUP("sr",real_rku_2013,5,FALSE),IF($D$1=$AN$22,HLOOKUP("sr",real_rku_jan_apr,5,FALSE),IF($D$1=$AN$23,HLOOKUP("sr",real_rku_jan_mei,5,FALSE),IF($D$1=$AN$24,HLOOKUP("sr",real_rku_jan_jul,5,FALSE),IF($D$1=$AN$25,HLOOKUP("sr",real_rku_jan_ags,5,FALSE),IF($D$1=$AN$26,HLOOKUP("sr",real_rku_jan_sep,5,FALSE),IF($D$1=$AN$27,HLOOKUP("sr",real_rku_jan_okt,5,FALSE),IF($D$1=$AN$28,HLOOKUP("sr",real_rku_jan_nov,5,FALSE),0)))))))))))))))))))))))))))</f>
        <v>80000</v>
      </c>
      <c r="I91" s="88">
        <f>IF($D$1&lt;&gt;"",IF($D$1=$AN$3,HLOOKUP("sr",real_rku_01.jan,6,FALSE),IF($D$1=$AN$4,HLOOKUP("sr",real_rku_02.feb,6,FALSE),IF($D$1=$AN$5,HLOOKUP("sr",real_rku_03.mar,6,FALSE),IF($D$1=$AN$6,HLOOKUP("sr",real_rku_04.apr,6,FALSE),IF($D$1=$AN$7,HLOOKUP("sr",real_rku_05.mei,6,FALSE),IF($D$1=$AN$8,HLOOKUP("sr",real_rku_06.jun,6,FALSE),IF($D$1=$AN$9,HLOOKUP("sr",real_rku_07.jul,6,FALSE),IF($D$1=$AN$10,HLOOKUP("sr",real_rku_08.ags,6,FALSE),IF($D$1=$AN$11,HLOOKUP("sr",real_rku_09.sep,6,FALSE),IF($D$1=$AN$12,HLOOKUP("sr",real_rku_10.okt,6,FALSE),IF($D$1=$AN$13,HLOOKUP("sr",real_rku_11.nov,6,FALSE),IF($D$1=$AN$14,HLOOKUP("sr",real_rku_12.des,6,FALSE),IF($D$1=$AN$15,HLOOKUP("sr",real_rku_TW_I,6,FALSE),IF($D$1=$AN$16,HLOOKUP("sr",real_rku_TW_II,6,FALSE),IF($D$1=$AN$17,HLOOKUP("sr",real_rku_TW_III,6,FALSE),IF($D$1=$AN$18,HLOOKUP("sr",real_rku_TW_IV,6,FALSE),IF($D$1=$AN$19,HLOOKUP("sr",real_rku_SM_I,6,FALSE),IF($D$1=$AN$20,HLOOKUP("sr",real_rku_SM_II,6,FALSE),IF($D$1=$AN$21,HLOOKUP("sr",real_rku_2013,6,FALSE),IF($D$1=$AN$22,HLOOKUP("sr",real_rku_jan_apr,6,FALSE),IF($D$1=$AN$23,HLOOKUP("sr",real_rku_jan_mei,6,FALSE),IF($D$1=$AN$24,HLOOKUP("sr",real_rku_jan_jul,6,FALSE),IF($D$1=$AN$25,HLOOKUP("sr",real_rku_jan_ags,6,FALSE),IF($D$1=$AN$26,HLOOKUP("sr",real_rku_jan_sep,6,FALSE),IF($D$1=$AN$27,HLOOKUP("sr",real_rku_jan_okt,6,FALSE),IF($D$1=$AN$28,HLOOKUP("sr",real_rku_jan_nov,6,FALSE),0)))))))))))))))))))))))))))</f>
        <v>105000</v>
      </c>
      <c r="J91" s="88">
        <f>IF($D$1&lt;&gt;"",IF($D$1=$AN$3,HLOOKUP("sr",real_rku_01.jan,7,FALSE),IF($D$1=$AN$4,HLOOKUP("sr",real_rku_02.feb,7,FALSE),IF($D$1=$AN$5,HLOOKUP("sr",real_rku_03.mar,7,FALSE),IF($D$1=$AN$6,HLOOKUP("sr",real_rku_04.apr,7,FALSE),IF($D$1=$AN$7,HLOOKUP("sr",real_rku_05.mei,7,FALSE),IF($D$1=$AN$8,HLOOKUP("sr",real_rku_06.jun,7,FALSE),IF($D$1=$AN$9,HLOOKUP("sr",real_rku_07.jul,7,FALSE),IF($D$1=$AN$10,HLOOKUP("sr",real_rku_08.ags,7,FALSE),IF($D$1=$AN$11,HLOOKUP("sr",real_rku_09.sep,7,FALSE),IF($D$1=$AN$12,HLOOKUP("sr",real_rku_10.okt,7,FALSE),IF($D$1=$AN$13,HLOOKUP("sr",real_rku_11.nov,7,FALSE),IF($D$1=$AN$14,HLOOKUP("sr",real_rku_12.des,7,FALSE),IF($D$1=$AN$15,HLOOKUP("sr",real_rku_TW_I,7,FALSE),IF($D$1=$AN$16,HLOOKUP("sr",real_rku_TW_II,7,FALSE),IF($D$1=$AN$17,HLOOKUP("sr",real_rku_TW_III,7,FALSE),IF($D$1=$AN$18,HLOOKUP("sr",real_rku_TW_IV,7,FALSE),IF($D$1=$AN$19,HLOOKUP("sr",real_rku_SM_I,7,FALSE),IF($D$1=$AN$20,HLOOKUP("sr",real_rku_SM_II,7,FALSE),IF($D$1=$AN$21,HLOOKUP("sr",real_rku_2013,7,FALSE),IF($D$1=$AN$22,HLOOKUP("sr",real_rku_jan_apr,7,FALSE),IF($D$1=$AN$23,HLOOKUP("sr",real_rku_jan_mei,7,FALSE),IF($D$1=$AN$24,HLOOKUP("sr",real_rku_jan_jul,7,FALSE),IF($D$1=$AN$25,HLOOKUP("sr",real_rku_jan_ags,7,FALSE),IF($D$1=$AN$26,HLOOKUP("sr",real_rku_jan_sep,7,FALSE),IF($D$1=$AN$27,HLOOKUP("sr",real_rku_jan_okt,7,FALSE),IF($D$1=$AN$28,HLOOKUP("sr",real_rku_jan_nov,7,FALSE),0)))))))))))))))))))))))))))</f>
        <v>56000</v>
      </c>
      <c r="K91" s="88">
        <f>IF($D$1&lt;&gt;"",IF($D$1=$AN$3,HLOOKUP("sr",real_rku_01.jan,8,FALSE),IF($D$1=$AN$4,HLOOKUP("sr",real_rku_02.feb,8,FALSE),IF($D$1=$AN$5,HLOOKUP("sr",real_rku_03.mar,8,FALSE),IF($D$1=$AN$6,HLOOKUP("sr",real_rku_04.apr,8,FALSE),IF($D$1=$AN$7,HLOOKUP("sr",real_rku_05.mei,8,FALSE),IF($D$1=$AN$8,HLOOKUP("sr",real_rku_06.jun,8,FALSE),IF($D$1=$AN$9,HLOOKUP("sr",real_rku_07.jul,8,FALSE),IF($D$1=$AN$10,HLOOKUP("sr",real_rku_08.ags,8,FALSE),IF($D$1=$AN$11,HLOOKUP("sr",real_rku_09.sep,8,FALSE),IF($D$1=$AN$12,HLOOKUP("sr",real_rku_10.okt,8,FALSE),IF($D$1=$AN$13,HLOOKUP("sr",real_rku_11.nov,8,FALSE),IF($D$1=$AN$14,HLOOKUP("sr",real_rku_12.des,8,FALSE),IF($D$1=$AN$15,HLOOKUP("sr",real_rku_TW_I,8,FALSE),IF($D$1=$AN$16,HLOOKUP("sr",real_rku_TW_II,8,FALSE),IF($D$1=$AN$17,HLOOKUP("sr",real_rku_TW_III,8,FALSE),IF($D$1=$AN$18,HLOOKUP("sr",real_rku_TW_IV,8,FALSE),IF($D$1=$AN$19,HLOOKUP("sr",real_rku_SM_I,8,FALSE),IF($D$1=$AN$20,HLOOKUP("sr",real_rku_SM_II,8,FALSE),IF($D$1=$AN$21,HLOOKUP("sr",real_rku_2013,8,FALSE),IF($D$1=$AN$22,HLOOKUP("sr",real_rku_jan_apr,8,FALSE),IF($D$1=$AN$23,HLOOKUP("sr",real_rku_jan_mei,8,FALSE),IF($D$1=$AN$24,HLOOKUP("sr",real_rku_jan_jul,8,FALSE),IF($D$1=$AN$25,HLOOKUP("sr",real_rku_jan_ags,8,FALSE),IF($D$1=$AN$26,HLOOKUP("sr",real_rku_jan_sep,8,FALSE),IF($D$1=$AN$27,HLOOKUP("sr",real_rku_jan_okt,8,FALSE),IF($D$1=$AN$28,HLOOKUP("sr",real_rku_jan_nov,8,FALSE),0)))))))))))))))))))))))))))</f>
        <v>4000</v>
      </c>
      <c r="L91" s="89">
        <f>+SUM(E91:K91)</f>
        <v>456000</v>
      </c>
      <c r="M91" s="88">
        <f>IF($D$1&lt;&gt;"",IF($D$1=$AN$3,HLOOKUP("sr",real_rku_01.jan,10,FALSE),IF($D$1=$AN$4,HLOOKUP("sr",real_rku_02.feb,10,FALSE),IF($D$1=$AN$5,HLOOKUP("sr",real_rku_03.mar,10,FALSE),IF($D$1=$AN$6,HLOOKUP("sr",real_rku_04.apr,10,FALSE),IF($D$1=$AN$7,HLOOKUP("sr",real_rku_05.mei,10,FALSE),IF($D$1=$AN$8,HLOOKUP("sr",real_rku_06.jun,10,FALSE),IF($D$1=$AN$9,HLOOKUP("sr",real_rku_07.jul,10,FALSE),IF($D$1=$AN$10,HLOOKUP("sr",real_rku_08.ags,10,FALSE),IF($D$1=$AN$11,HLOOKUP("sr",real_rku_09.sep,10,FALSE),IF($D$1=$AN$12,HLOOKUP("sr",real_rku_10.okt,10,FALSE),IF($D$1=$AN$13,HLOOKUP("sr",real_rku_11.nov,10,FALSE),IF($D$1=$AN$14,HLOOKUP("sr",real_rku_12.des,10,FALSE),IF($D$1=$AN$15,HLOOKUP("sr",real_rku_TW_I,10,FALSE),IF($D$1=$AN$16,HLOOKUP("sr",real_rku_TW_II,10,FALSE),IF($D$1=$AN$17,HLOOKUP("sr",real_rku_TW_III,10,FALSE),IF($D$1=$AN$18,HLOOKUP("sr",real_rku_TW_IV,10,FALSE),IF($D$1=$AN$19,HLOOKUP("sr",real_rku_SM_I,10,FALSE),IF($D$1=$AN$20,HLOOKUP("sr",real_rku_SM_II,10,FALSE),IF($D$1=$AN$21,HLOOKUP("sr",real_rku_2013,10,FALSE),IF($D$1=$AN$22,HLOOKUP("sr",real_rku_jan_apr,10,FALSE),IF($D$1=$AN$23,HLOOKUP("sr",real_rku_jan_mei,10,FALSE),IF($D$1=$AN$24,HLOOKUP("sr",real_rku_jan_jul,10,FALSE),IF($D$1=$AN$25,HLOOKUP("sr",real_rku_jan_ags,10,FALSE),IF($D$1=$AN$26,HLOOKUP("sr",real_rku_jan_sep,10,FALSE),IF($D$1=$AN$27,HLOOKUP("sr",real_rku_jan_okt,10,FALSE),IF($D$1=$AN$28,HLOOKUP("sr",real_rku_jan_nov,10,FALSE),0)))))))))))))))))))))))))))</f>
        <v>1300</v>
      </c>
      <c r="N91" s="88">
        <f>IF($D$1&lt;&gt;"",IF($D$1=$AN$3,HLOOKUP("sr",real_rku_01.jan,11,FALSE),IF($D$1=$AN$4,HLOOKUP("sr",real_rku_02.feb,11,FALSE),IF($D$1=$AN$5,HLOOKUP("sr",real_rku_03.mar,11,FALSE),IF($D$1=$AN$6,HLOOKUP("sr",real_rku_04.apr,11,FALSE),IF($D$1=$AN$7,HLOOKUP("sr",real_rku_05.mei,11,FALSE),IF($D$1=$AN$8,HLOOKUP("sr",real_rku_06.jun,11,FALSE),IF($D$1=$AN$9,HLOOKUP("sr",real_rku_07.jul,11,FALSE),IF($D$1=$AN$10,HLOOKUP("sr",real_rku_08.ags,11,FALSE),IF($D$1=$AN$11,HLOOKUP("sr",real_rku_09.sep,11,FALSE),IF($D$1=$AN$12,HLOOKUP("sr",real_rku_10.okt,11,FALSE),IF($D$1=$AN$13,HLOOKUP("sr",real_rku_11.nov,11,FALSE),IF($D$1=$AN$14,HLOOKUP("sr",real_rku_12.des,11,FALSE),IF($D$1=$AN$15,HLOOKUP("sr",real_rku_TW_I,11,FALSE),IF($D$1=$AN$16,HLOOKUP("sr",real_rku_TW_II,11,FALSE),IF($D$1=$AN$17,HLOOKUP("sr",real_rku_TW_III,11,FALSE),IF($D$1=$AN$18,HLOOKUP("sr",real_rku_TW_IV,11,FALSE),IF($D$1=$AN$19,HLOOKUP("sr",real_rku_SM_I,11,FALSE),IF($D$1=$AN$20,HLOOKUP("sr",real_rku_SM_II,11,FALSE),IF($D$1=$AN$21,HLOOKUP("sr",real_rku_2013,11,FALSE),IF($D$1=$AN$22,HLOOKUP("sr",real_rku_jan_apr,11,FALSE),IF($D$1=$AN$23,HLOOKUP("sr",real_rku_jan_mei,11,FALSE),IF($D$1=$AN$24,HLOOKUP("sr",real_rku_jan_jul,11,FALSE),IF($D$1=$AN$25,HLOOKUP("sr",real_rku_jan_ags,11,FALSE),IF($D$1=$AN$26,HLOOKUP("sr",real_rku_jan_sep,11,FALSE),IF($D$1=$AN$27,HLOOKUP("sr",real_rku_jan_okt,11,FALSE),IF($D$1=$AN$28,HLOOKUP("sr",real_rku_jan_nov,11,FALSE),0)))))))))))))))))))))))))))</f>
        <v>800</v>
      </c>
      <c r="O91" s="88">
        <f>IF($D$1&lt;&gt;"",IF($D$1=$AN$3,HLOOKUP("sr",real_rku_01.jan,12,FALSE),IF($D$1=$AN$4,HLOOKUP("sr",real_rku_02.feb,12,FALSE),IF($D$1=$AN$5,HLOOKUP("sr",real_rku_03.mar,12,FALSE),IF($D$1=$AN$6,HLOOKUP("sr",real_rku_04.apr,12,FALSE),IF($D$1=$AN$7,HLOOKUP("sr",real_rku_05.mei,12,FALSE),IF($D$1=$AN$8,HLOOKUP("sr",real_rku_06.jun,12,FALSE),IF($D$1=$AN$9,HLOOKUP("sr",real_rku_07.jul,12,FALSE),IF($D$1=$AN$10,HLOOKUP("sr",real_rku_08.ags,12,FALSE),IF($D$1=$AN$11,HLOOKUP("sr",real_rku_09.sep,12,FALSE),IF($D$1=$AN$12,HLOOKUP("sr",real_rku_10.okt,12,FALSE),IF($D$1=$AN$13,HLOOKUP("sr",real_rku_11.nov,12,FALSE),IF($D$1=$AN$14,HLOOKUP("sr",real_rku_12.des,12,FALSE),IF($D$1=$AN$15,HLOOKUP("sr",real_rku_TW_I,12,FALSE),IF($D$1=$AN$16,HLOOKUP("sr",real_rku_TW_II,12,FALSE),IF($D$1=$AN$17,HLOOKUP("sr",real_rku_TW_III,12,FALSE),IF($D$1=$AN$18,HLOOKUP("sr",real_rku_TW_IV,12,FALSE),IF($D$1=$AN$19,HLOOKUP("sr",real_rku_SM_I,12,FALSE),IF($D$1=$AN$20,HLOOKUP("sr",real_rku_SM_II,12,FALSE),IF($D$1=$AN$21,HLOOKUP("sr",real_rku_2013,12,FALSE),IF($D$1=$AN$22,HLOOKUP("sr",real_rku_jan_apr,12,FALSE),IF($D$1=$AN$23,HLOOKUP("sr",real_rku_jan_mei,12,FALSE),IF($D$1=$AN$24,HLOOKUP("sr",real_rku_jan_jul,12,FALSE),IF($D$1=$AN$25,HLOOKUP("sr",real_rku_jan_ags,12,FALSE),IF($D$1=$AN$26,HLOOKUP("sr",real_rku_jan_sep,12,FALSE),IF($D$1=$AN$27,HLOOKUP("sr",real_rku_jan_okt,12,FALSE),IF($D$1=$AN$28,HLOOKUP("sr",real_rku_jan_nov,12,FALSE),0)))))))))))))))))))))))))))</f>
        <v>220</v>
      </c>
      <c r="P91" s="88">
        <f>IF($D$1&lt;&gt;"",IF($D$1=$AN$3,HLOOKUP("sr",real_rku_01.jan,13,FALSE),IF($D$1=$AN$4,HLOOKUP("sr",real_rku_02.feb,13,FALSE),IF($D$1=$AN$5,HLOOKUP("sr",real_rku_03.mar,13,FALSE),IF($D$1=$AN$6,HLOOKUP("sr",real_rku_04.apr,13,FALSE),IF($D$1=$AN$7,HLOOKUP("sr",real_rku_05.mei,13,FALSE),IF($D$1=$AN$8,HLOOKUP("sr",real_rku_06.jun,13,FALSE),IF($D$1=$AN$9,HLOOKUP("sr",real_rku_07.jul,13,FALSE),IF($D$1=$AN$10,HLOOKUP("sr",real_rku_08.ags,13,FALSE),IF($D$1=$AN$11,HLOOKUP("sr",real_rku_09.sep,13,FALSE),IF($D$1=$AN$12,HLOOKUP("sr",real_rku_10.okt,13,FALSE),IF($D$1=$AN$13,HLOOKUP("sr",real_rku_11.nov,13,FALSE),IF($D$1=$AN$14,HLOOKUP("sr",real_rku_12.des,13,FALSE),IF($D$1=$AN$15,HLOOKUP("sr",real_rku_TW_I,13,FALSE),IF($D$1=$AN$16,HLOOKUP("sr",real_rku_TW_II,13,FALSE),IF($D$1=$AN$17,HLOOKUP("sr",real_rku_TW_III,13,FALSE),IF($D$1=$AN$18,HLOOKUP("sr",real_rku_TW_IV,13,FALSE),IF($D$1=$AN$19,HLOOKUP("sr",real_rku_SM_I,13,FALSE),IF($D$1=$AN$20,HLOOKUP("sr",real_rku_SM_II,13,FALSE),IF($D$1=$AN$21,HLOOKUP("sr",real_rku_2013,13,FALSE),IF($D$1=$AN$22,HLOOKUP("sr",real_rku_jan_apr,13,FALSE),IF($D$1=$AN$23,HLOOKUP("sr",real_rku_jan_mei,13,FALSE),IF($D$1=$AN$24,HLOOKUP("sr",real_rku_jan_jul,13,FALSE),IF($D$1=$AN$25,HLOOKUP("sr",real_rku_jan_ags,13,FALSE),IF($D$1=$AN$26,HLOOKUP("sr",real_rku_jan_sep,13,FALSE),IF($D$1=$AN$27,HLOOKUP("sr",real_rku_jan_okt,13,FALSE),IF($D$1=$AN$28,HLOOKUP("sr",real_rku_jan_nov,13,FALSE),0)))))))))))))))))))))))))))</f>
        <v>60</v>
      </c>
      <c r="Q91" s="88">
        <f>IF($D$1&lt;&gt;"",IF($D$1=$AN$3,HLOOKUP("sr",real_rku_01.jan,14,FALSE),IF($D$1=$AN$4,HLOOKUP("sr",real_rku_02.feb,14,FALSE),IF($D$1=$AN$5,HLOOKUP("sr",real_rku_03.mar,14,FALSE),IF($D$1=$AN$6,HLOOKUP("sr",real_rku_04.apr,14,FALSE),IF($D$1=$AN$7,HLOOKUP("sr",real_rku_05.mei,14,FALSE),IF($D$1=$AN$8,HLOOKUP("sr",real_rku_06.jun,14,FALSE),IF($D$1=$AN$9,HLOOKUP("sr",real_rku_07.jul,14,FALSE),IF($D$1=$AN$10,HLOOKUP("sr",real_rku_08.ags,14,FALSE),IF($D$1=$AN$11,HLOOKUP("sr",real_rku_09.sep,14,FALSE),IF($D$1=$AN$12,HLOOKUP("sr",real_rku_10.okt,14,FALSE),IF($D$1=$AN$13,HLOOKUP("sr",real_rku_11.nov,14,FALSE),IF($D$1=$AN$14,HLOOKUP("sr",real_rku_12.des,14,FALSE),IF($D$1=$AN$15,HLOOKUP("sr",real_rku_TW_I,14,FALSE),IF($D$1=$AN$16,HLOOKUP("sr",real_rku_TW_II,14,FALSE),IF($D$1=$AN$17,HLOOKUP("sr",real_rku_TW_III,14,FALSE),IF($D$1=$AN$18,HLOOKUP("sr",real_rku_TW_IV,14,FALSE),IF($D$1=$AN$19,HLOOKUP("sr",real_rku_SM_I,14,FALSE),IF($D$1=$AN$20,HLOOKUP("sr",real_rku_SM_II,14,FALSE),IF($D$1=$AN$21,HLOOKUP("sr",real_rku_2013,14,FALSE),IF($D$1=$AN$22,HLOOKUP("sr",real_rku_jan_apr,14,FALSE),IF($D$1=$AN$23,HLOOKUP("sr",real_rku_jan_mei,14,FALSE),IF($D$1=$AN$24,HLOOKUP("sr",real_rku_jan_jul,14,FALSE),IF($D$1=$AN$25,HLOOKUP("sr",real_rku_jan_ags,14,FALSE),IF($D$1=$AN$26,HLOOKUP("sr",real_rku_jan_sep,14,FALSE),IF($D$1=$AN$27,HLOOKUP("sr",real_rku_jan_okt,14,FALSE),IF($D$1=$AN$28,HLOOKUP("sr",real_rku_jan_nov,14,FALSE),0)))))))))))))))))))))))))))</f>
        <v>0</v>
      </c>
      <c r="R91" s="89">
        <f>+SUM(M91:Q91)</f>
        <v>2380</v>
      </c>
      <c r="S91" s="88">
        <f>+R91+L91</f>
        <v>458380</v>
      </c>
      <c r="T91" s="76"/>
      <c r="U91" s="86"/>
      <c r="V91" s="87"/>
      <c r="W91" s="87" t="s">
        <v>182</v>
      </c>
      <c r="X91" s="88">
        <f t="shared" si="127"/>
        <v>135</v>
      </c>
      <c r="Y91" s="88">
        <f t="shared" si="127"/>
        <v>-159</v>
      </c>
      <c r="Z91" s="88">
        <f t="shared" si="127"/>
        <v>250</v>
      </c>
      <c r="AA91" s="88">
        <f t="shared" si="127"/>
        <v>400</v>
      </c>
      <c r="AB91" s="88">
        <f t="shared" si="127"/>
        <v>1050</v>
      </c>
      <c r="AC91" s="88">
        <f t="shared" si="127"/>
        <v>1400</v>
      </c>
      <c r="AD91" s="88">
        <f t="shared" si="127"/>
        <v>200</v>
      </c>
      <c r="AE91" s="89">
        <f>+SUM(X91:AD91)</f>
        <v>3276</v>
      </c>
      <c r="AF91" s="88">
        <f t="shared" si="128"/>
        <v>260</v>
      </c>
      <c r="AG91" s="88">
        <f t="shared" si="128"/>
        <v>320</v>
      </c>
      <c r="AH91" s="88">
        <f t="shared" si="128"/>
        <v>110</v>
      </c>
      <c r="AI91" s="88">
        <f t="shared" si="128"/>
        <v>60</v>
      </c>
      <c r="AJ91" s="88">
        <f t="shared" si="128"/>
        <v>0</v>
      </c>
      <c r="AK91" s="89">
        <f>+SUM(AF91:AJ91)</f>
        <v>750</v>
      </c>
      <c r="AL91" s="88">
        <f>+AK91+AE91</f>
        <v>4026</v>
      </c>
    </row>
    <row r="92" spans="2:39" ht="15" x14ac:dyDescent="0.25">
      <c r="B92" s="86"/>
      <c r="C92" s="87"/>
      <c r="D92" s="92" t="s">
        <v>184</v>
      </c>
      <c r="E92" s="88">
        <f t="shared" ref="E92:K92" si="129">+E90-E91</f>
        <v>-70000</v>
      </c>
      <c r="F92" s="88">
        <f t="shared" si="129"/>
        <v>-395000</v>
      </c>
      <c r="G92" s="88">
        <f t="shared" si="129"/>
        <v>-104800</v>
      </c>
      <c r="H92" s="88">
        <f t="shared" si="129"/>
        <v>-43400</v>
      </c>
      <c r="I92" s="88">
        <f t="shared" si="129"/>
        <v>-79900</v>
      </c>
      <c r="J92" s="88">
        <f t="shared" si="129"/>
        <v>-45960</v>
      </c>
      <c r="K92" s="88">
        <f t="shared" si="129"/>
        <v>-2000</v>
      </c>
      <c r="L92" s="89">
        <f>+SUM(E92:K92)</f>
        <v>-741060</v>
      </c>
      <c r="M92" s="88">
        <f>+M90-M91</f>
        <v>-1380</v>
      </c>
      <c r="N92" s="88">
        <f>+N90-N91</f>
        <v>-297.5</v>
      </c>
      <c r="O92" s="88">
        <f>+O90-O91</f>
        <v>-340</v>
      </c>
      <c r="P92" s="88">
        <f>+P90-P91</f>
        <v>-81</v>
      </c>
      <c r="Q92" s="88">
        <f>+Q90-Q91</f>
        <v>0</v>
      </c>
      <c r="R92" s="89">
        <f>+SUM(M92:Q92)</f>
        <v>-2098.5</v>
      </c>
      <c r="S92" s="88">
        <f>+R92+L92</f>
        <v>-743158.5</v>
      </c>
      <c r="T92" s="88"/>
      <c r="U92" s="86"/>
      <c r="V92" s="87"/>
      <c r="W92" s="92" t="s">
        <v>184</v>
      </c>
      <c r="X92" s="88">
        <f t="shared" ref="X92:AD92" si="130">+X90-X91</f>
        <v>-35</v>
      </c>
      <c r="Y92" s="88">
        <f t="shared" si="130"/>
        <v>-395</v>
      </c>
      <c r="Z92" s="88">
        <f t="shared" si="130"/>
        <v>-262</v>
      </c>
      <c r="AA92" s="88">
        <f t="shared" si="130"/>
        <v>-217</v>
      </c>
      <c r="AB92" s="88">
        <f t="shared" si="130"/>
        <v>-799</v>
      </c>
      <c r="AC92" s="88">
        <f t="shared" si="130"/>
        <v>-1149</v>
      </c>
      <c r="AD92" s="88">
        <f t="shared" si="130"/>
        <v>-100</v>
      </c>
      <c r="AE92" s="89">
        <f>+SUM(X92:AD92)</f>
        <v>-2957</v>
      </c>
      <c r="AF92" s="88">
        <f>+AF90-AF91</f>
        <v>-276</v>
      </c>
      <c r="AG92" s="88">
        <f>+AG90-AG91</f>
        <v>-119</v>
      </c>
      <c r="AH92" s="88">
        <f>+AH90-AH91</f>
        <v>-170</v>
      </c>
      <c r="AI92" s="88">
        <f>+AI90-AI91</f>
        <v>-81</v>
      </c>
      <c r="AJ92" s="88">
        <f>+AJ90-AJ91</f>
        <v>0</v>
      </c>
      <c r="AK92" s="89">
        <f>+SUM(AF92:AJ92)</f>
        <v>-646</v>
      </c>
      <c r="AL92" s="88">
        <f>+AK92+AE92</f>
        <v>-3603</v>
      </c>
      <c r="AM92" s="91">
        <f>+AL92/1000</f>
        <v>-3.6030000000000002</v>
      </c>
    </row>
    <row r="93" spans="2:39" ht="14.25" x14ac:dyDescent="0.2">
      <c r="B93" s="112"/>
      <c r="C93" s="108"/>
      <c r="D93" s="108" t="s">
        <v>186</v>
      </c>
      <c r="E93" s="110">
        <f t="shared" ref="E93:S93" si="131">IF(E90=0,"-",E91/E90)</f>
        <v>1.35</v>
      </c>
      <c r="F93" s="110">
        <f t="shared" si="131"/>
        <v>0.28700361010830328</v>
      </c>
      <c r="G93" s="110">
        <f t="shared" si="131"/>
        <v>-20.833333333333332</v>
      </c>
      <c r="H93" s="110">
        <f t="shared" si="131"/>
        <v>2.1857923497267762</v>
      </c>
      <c r="I93" s="110">
        <f t="shared" si="131"/>
        <v>4.1832669322709162</v>
      </c>
      <c r="J93" s="110">
        <f t="shared" si="131"/>
        <v>5.5776892430278888</v>
      </c>
      <c r="K93" s="110">
        <f t="shared" si="131"/>
        <v>2</v>
      </c>
      <c r="L93" s="111">
        <f t="shared" si="131"/>
        <v>-1.5996632287939381</v>
      </c>
      <c r="M93" s="110">
        <f t="shared" si="131"/>
        <v>-16.25</v>
      </c>
      <c r="N93" s="110">
        <f t="shared" si="131"/>
        <v>1.592039800995025</v>
      </c>
      <c r="O93" s="110">
        <f t="shared" si="131"/>
        <v>-1.8333333333333333</v>
      </c>
      <c r="P93" s="110">
        <f t="shared" si="131"/>
        <v>-2.8571428571428572</v>
      </c>
      <c r="Q93" s="110" t="str">
        <f t="shared" si="131"/>
        <v>-</v>
      </c>
      <c r="R93" s="111">
        <f t="shared" si="131"/>
        <v>8.4547069271758435</v>
      </c>
      <c r="S93" s="110">
        <f t="shared" si="131"/>
        <v>-1.6096018484541494</v>
      </c>
      <c r="T93" s="95">
        <f>+S93*$T$6</f>
        <v>-1.1267212939179045</v>
      </c>
      <c r="U93" s="112"/>
      <c r="V93" s="108"/>
      <c r="W93" s="108" t="s">
        <v>186</v>
      </c>
      <c r="X93" s="110">
        <f t="shared" ref="X93:AL93" si="132">IF(X90=0,"-",X91/X90)</f>
        <v>1.35</v>
      </c>
      <c r="Y93" s="110">
        <f t="shared" si="132"/>
        <v>0.28700361010830328</v>
      </c>
      <c r="Z93" s="110">
        <f t="shared" si="132"/>
        <v>-20.833333333333332</v>
      </c>
      <c r="AA93" s="110">
        <f t="shared" si="132"/>
        <v>2.1857923497267762</v>
      </c>
      <c r="AB93" s="110">
        <f t="shared" si="132"/>
        <v>4.1832669322709162</v>
      </c>
      <c r="AC93" s="110">
        <f t="shared" si="132"/>
        <v>5.5776892430278888</v>
      </c>
      <c r="AD93" s="110">
        <f t="shared" si="132"/>
        <v>2</v>
      </c>
      <c r="AE93" s="111">
        <f t="shared" si="132"/>
        <v>10.269592476489029</v>
      </c>
      <c r="AF93" s="110">
        <f t="shared" si="132"/>
        <v>-16.25</v>
      </c>
      <c r="AG93" s="110">
        <f t="shared" si="132"/>
        <v>1.592039800995025</v>
      </c>
      <c r="AH93" s="110">
        <f t="shared" si="132"/>
        <v>-1.8333333333333333</v>
      </c>
      <c r="AI93" s="110">
        <f t="shared" si="132"/>
        <v>-2.8571428571428572</v>
      </c>
      <c r="AJ93" s="110" t="str">
        <f t="shared" si="132"/>
        <v>-</v>
      </c>
      <c r="AK93" s="111">
        <f t="shared" si="132"/>
        <v>7.2115384615384617</v>
      </c>
      <c r="AL93" s="110">
        <f t="shared" si="132"/>
        <v>9.5177304964539005</v>
      </c>
    </row>
    <row r="94" spans="2:39" ht="14.25" x14ac:dyDescent="0.2">
      <c r="B94" s="112"/>
      <c r="C94" s="108"/>
      <c r="D94" s="108"/>
      <c r="E94" s="98">
        <f>+E93*$L$6</f>
        <v>0.40500000000000003</v>
      </c>
      <c r="F94" s="98">
        <f t="shared" ref="F94:K94" si="133">+F93*$L$6</f>
        <v>8.6101083032490977E-2</v>
      </c>
      <c r="G94" s="98">
        <f t="shared" si="133"/>
        <v>-6.2499999999999991</v>
      </c>
      <c r="H94" s="98">
        <f t="shared" si="133"/>
        <v>0.65573770491803285</v>
      </c>
      <c r="I94" s="98">
        <f t="shared" si="133"/>
        <v>1.2549800796812749</v>
      </c>
      <c r="J94" s="98">
        <f t="shared" si="133"/>
        <v>1.6733067729083666</v>
      </c>
      <c r="K94" s="98">
        <f t="shared" si="133"/>
        <v>0.6</v>
      </c>
      <c r="L94" s="98"/>
      <c r="M94" s="98">
        <f t="shared" ref="M94:P94" si="134">+M93*$L$6</f>
        <v>-4.875</v>
      </c>
      <c r="N94" s="98">
        <f t="shared" si="134"/>
        <v>0.47761194029850745</v>
      </c>
      <c r="O94" s="98">
        <f t="shared" si="134"/>
        <v>-0.54999999999999993</v>
      </c>
      <c r="P94" s="98">
        <f t="shared" si="134"/>
        <v>-0.8571428571428571</v>
      </c>
      <c r="Q94" s="98"/>
      <c r="R94" s="121"/>
      <c r="S94" s="98">
        <f>+AVERAGE(E94:Q94)</f>
        <v>-0.6708550251185621</v>
      </c>
      <c r="T94" s="100">
        <f>+S94+T93</f>
        <v>-1.7975763190364666</v>
      </c>
      <c r="U94" s="112"/>
      <c r="V94" s="108"/>
      <c r="W94" s="108"/>
      <c r="X94" s="122"/>
      <c r="Y94" s="122"/>
      <c r="Z94" s="122"/>
      <c r="AA94" s="122"/>
      <c r="AB94" s="122"/>
      <c r="AC94" s="122"/>
      <c r="AD94" s="122"/>
      <c r="AE94" s="121"/>
      <c r="AF94" s="122"/>
      <c r="AG94" s="122"/>
      <c r="AH94" s="122"/>
      <c r="AI94" s="122"/>
      <c r="AJ94" s="122"/>
      <c r="AK94" s="121"/>
      <c r="AL94" s="122"/>
    </row>
    <row r="95" spans="2:39" ht="14.25" x14ac:dyDescent="0.2">
      <c r="B95" s="251" t="s">
        <v>51</v>
      </c>
      <c r="C95" s="251"/>
      <c r="D95" s="83" t="s">
        <v>180</v>
      </c>
      <c r="E95" s="123">
        <f>+E80+E75+E70+E65+E60+E55+E50+E45+E40+E35+E30+E25+E20+E15+E85+E10+E90</f>
        <v>152463966.30000001</v>
      </c>
      <c r="F95" s="123">
        <f t="shared" ref="F95:Q96" si="135">+F80+F75+F70+F65+F60+F55+F50+F45+F40+F35+F30+F25+F20+F15+F85+F10+F90</f>
        <v>49186497</v>
      </c>
      <c r="G95" s="123">
        <f t="shared" si="135"/>
        <v>2858385</v>
      </c>
      <c r="H95" s="123">
        <f t="shared" si="135"/>
        <v>5568250.0300000003</v>
      </c>
      <c r="I95" s="123">
        <f t="shared" si="135"/>
        <v>5475449.5150000006</v>
      </c>
      <c r="J95" s="123">
        <f t="shared" si="135"/>
        <v>2836857.6059999997</v>
      </c>
      <c r="K95" s="123">
        <f t="shared" si="135"/>
        <v>157695.30300000001</v>
      </c>
      <c r="L95" s="123">
        <f>+SUM(E95:K95)</f>
        <v>218547100.75400004</v>
      </c>
      <c r="M95" s="123">
        <f t="shared" si="135"/>
        <v>206683.13199999998</v>
      </c>
      <c r="N95" s="123">
        <f t="shared" si="135"/>
        <v>218802.5</v>
      </c>
      <c r="O95" s="123">
        <f t="shared" si="135"/>
        <v>54954</v>
      </c>
      <c r="P95" s="123">
        <f t="shared" si="135"/>
        <v>34139</v>
      </c>
      <c r="Q95" s="123">
        <f t="shared" si="135"/>
        <v>653</v>
      </c>
      <c r="R95" s="123">
        <f>+SUM(M95:Q95)</f>
        <v>515231.63199999998</v>
      </c>
      <c r="S95" s="123">
        <f>+R95+L95</f>
        <v>219062332.38600004</v>
      </c>
      <c r="T95" s="124"/>
      <c r="U95" s="251" t="s">
        <v>51</v>
      </c>
      <c r="V95" s="251"/>
      <c r="W95" s="83" t="s">
        <v>218</v>
      </c>
      <c r="X95" s="123">
        <f>+X80+X75+X70+X65+X60+X55+X50+X45+X40+X35+X30+X25+X20+X15+X85+X10+X90</f>
        <v>76231.98315</v>
      </c>
      <c r="Y95" s="123">
        <f t="shared" ref="Y95:AD96" si="136">+Y80+Y75+Y70+Y65+Y60+Y55+Y50+Y45+Y40+Y35+Y30+Y25+Y20+Y15+Y85+Y10+Y90</f>
        <v>49186.497000000003</v>
      </c>
      <c r="Z95" s="123">
        <f t="shared" si="136"/>
        <v>7145.9624999999996</v>
      </c>
      <c r="AA95" s="123">
        <f t="shared" si="136"/>
        <v>27841.25015</v>
      </c>
      <c r="AB95" s="123">
        <f t="shared" si="136"/>
        <v>54754.495150000002</v>
      </c>
      <c r="AC95" s="123">
        <f t="shared" si="136"/>
        <v>70921.440149999995</v>
      </c>
      <c r="AD95" s="123">
        <f t="shared" si="136"/>
        <v>7884.7651500000002</v>
      </c>
      <c r="AE95" s="123">
        <f>+SUM(X95:AD95)</f>
        <v>293966.39325000002</v>
      </c>
      <c r="AF95" s="123">
        <f>+AF80+AF75+AF70+AF65+AF60+AF55+AF50+AF45+AF40+AF35+AF30+AF25+AF20+AF15+AF85+AF10+AF90</f>
        <v>41336.626400000001</v>
      </c>
      <c r="AG95" s="123">
        <f t="shared" ref="AG95:AJ96" si="137">+AG80+AG75+AG70+AG65+AG60+AG55+AG50+AG45+AG40+AG35+AG30+AG25+AG20+AG15+AG85+AG10+AG90</f>
        <v>87521</v>
      </c>
      <c r="AH95" s="123">
        <f t="shared" si="137"/>
        <v>27477</v>
      </c>
      <c r="AI95" s="123">
        <f t="shared" si="137"/>
        <v>34139</v>
      </c>
      <c r="AJ95" s="123">
        <f t="shared" si="137"/>
        <v>653</v>
      </c>
      <c r="AK95" s="123">
        <f>+SUM(AF95:AJ95)</f>
        <v>191126.62640000001</v>
      </c>
      <c r="AL95" s="123">
        <f>+AK95+AE95</f>
        <v>485093.01965000003</v>
      </c>
    </row>
    <row r="96" spans="2:39" ht="14.25" x14ac:dyDescent="0.2">
      <c r="D96" s="87" t="s">
        <v>182</v>
      </c>
      <c r="E96" s="123">
        <f>+E81+E76+E71+E66+E61+E56+E51+E46+E41+E36+E31+E26+E21+E16+E86+E11+E91</f>
        <v>147795966.30000001</v>
      </c>
      <c r="F96" s="123">
        <f t="shared" si="135"/>
        <v>58630497</v>
      </c>
      <c r="G96" s="123">
        <f t="shared" si="135"/>
        <v>12593185</v>
      </c>
      <c r="H96" s="123">
        <f t="shared" si="135"/>
        <v>9162050.0299999993</v>
      </c>
      <c r="I96" s="123">
        <f t="shared" si="135"/>
        <v>8470749.5150000006</v>
      </c>
      <c r="J96" s="123">
        <f t="shared" si="135"/>
        <v>3798657.6060000001</v>
      </c>
      <c r="K96" s="123">
        <f t="shared" si="135"/>
        <v>156195.30300000001</v>
      </c>
      <c r="L96" s="123">
        <f>+SUM(E96:K96)</f>
        <v>240607300.75400004</v>
      </c>
      <c r="M96" s="123">
        <f t="shared" si="135"/>
        <v>366538.13199999998</v>
      </c>
      <c r="N96" s="123">
        <f t="shared" si="135"/>
        <v>254955</v>
      </c>
      <c r="O96" s="123">
        <f t="shared" si="135"/>
        <v>63774</v>
      </c>
      <c r="P96" s="123">
        <f t="shared" si="135"/>
        <v>33344</v>
      </c>
      <c r="Q96" s="123">
        <f t="shared" si="135"/>
        <v>1010</v>
      </c>
      <c r="R96" s="123">
        <f>+SUM(M96:Q96)</f>
        <v>719621.13199999998</v>
      </c>
      <c r="S96" s="123">
        <f>+R96+L96</f>
        <v>241326921.88600004</v>
      </c>
      <c r="T96" s="124"/>
      <c r="W96" s="87" t="s">
        <v>182</v>
      </c>
      <c r="X96" s="123">
        <f>+X81+X76+X71+X66+X61+X56+X51+X46+X41+X36+X31+X26+X21+X16+X86+X11+X91</f>
        <v>73897.98315</v>
      </c>
      <c r="Y96" s="123">
        <f t="shared" si="136"/>
        <v>58630.497000000003</v>
      </c>
      <c r="Z96" s="123">
        <f t="shared" si="136"/>
        <v>31482.962500000001</v>
      </c>
      <c r="AA96" s="123">
        <f t="shared" si="136"/>
        <v>45810.25015</v>
      </c>
      <c r="AB96" s="123">
        <f t="shared" si="136"/>
        <v>84707.495150000002</v>
      </c>
      <c r="AC96" s="123">
        <f t="shared" si="136"/>
        <v>94966.440150000009</v>
      </c>
      <c r="AD96" s="123">
        <f t="shared" si="136"/>
        <v>7809.7651500000002</v>
      </c>
      <c r="AE96" s="123">
        <f>+SUM(X96:AD96)</f>
        <v>397305.39325000008</v>
      </c>
      <c r="AF96" s="123">
        <f>+AF81+AF76+AF71+AF66+AF61+AF56+AF51+AF46+AF41+AF36+AF31+AF26+AF21+AF16+AF86+AF11+AF91</f>
        <v>73307.626399999994</v>
      </c>
      <c r="AG96" s="123">
        <f t="shared" si="137"/>
        <v>101982</v>
      </c>
      <c r="AH96" s="123">
        <f t="shared" si="137"/>
        <v>31887</v>
      </c>
      <c r="AI96" s="123">
        <f t="shared" si="137"/>
        <v>33344</v>
      </c>
      <c r="AJ96" s="123">
        <f t="shared" si="137"/>
        <v>1010</v>
      </c>
      <c r="AK96" s="123">
        <f>+SUM(AF96:AJ96)</f>
        <v>241530.62640000001</v>
      </c>
      <c r="AL96" s="123">
        <f>+AK96+AE96</f>
        <v>638836.01965000015</v>
      </c>
    </row>
    <row r="97" spans="2:38" ht="14.25" x14ac:dyDescent="0.2">
      <c r="D97" s="87" t="s">
        <v>184</v>
      </c>
      <c r="E97" s="123">
        <f t="shared" ref="E97:R97" si="138">+E95-E96</f>
        <v>4668000</v>
      </c>
      <c r="F97" s="123">
        <f t="shared" si="138"/>
        <v>-9444000</v>
      </c>
      <c r="G97" s="123">
        <f t="shared" si="138"/>
        <v>-9734800</v>
      </c>
      <c r="H97" s="123">
        <f t="shared" si="138"/>
        <v>-3593799.9999999991</v>
      </c>
      <c r="I97" s="123">
        <f t="shared" si="138"/>
        <v>-2995300</v>
      </c>
      <c r="J97" s="123">
        <f t="shared" si="138"/>
        <v>-961800.00000000047</v>
      </c>
      <c r="K97" s="123">
        <f t="shared" si="138"/>
        <v>1500</v>
      </c>
      <c r="L97" s="123">
        <f t="shared" si="138"/>
        <v>-22060200</v>
      </c>
      <c r="M97" s="123">
        <f t="shared" si="138"/>
        <v>-159855</v>
      </c>
      <c r="N97" s="123">
        <f t="shared" si="138"/>
        <v>-36152.5</v>
      </c>
      <c r="O97" s="123">
        <f t="shared" si="138"/>
        <v>-8820</v>
      </c>
      <c r="P97" s="123">
        <f t="shared" si="138"/>
        <v>795</v>
      </c>
      <c r="Q97" s="123">
        <f t="shared" si="138"/>
        <v>-357</v>
      </c>
      <c r="R97" s="123">
        <f t="shared" si="138"/>
        <v>-204389.5</v>
      </c>
      <c r="S97" s="88">
        <f>+R97+L97</f>
        <v>-22264589.5</v>
      </c>
      <c r="T97" s="125" t="s">
        <v>219</v>
      </c>
      <c r="V97" s="124"/>
      <c r="W97" s="87" t="s">
        <v>184</v>
      </c>
      <c r="X97" s="123">
        <f>+X95-X96</f>
        <v>2334</v>
      </c>
      <c r="Y97" s="123">
        <f t="shared" ref="Y97:AL97" si="139">+Y95-Y96</f>
        <v>-9444</v>
      </c>
      <c r="Z97" s="123">
        <f t="shared" si="139"/>
        <v>-24337</v>
      </c>
      <c r="AA97" s="123">
        <f t="shared" si="139"/>
        <v>-17969</v>
      </c>
      <c r="AB97" s="123">
        <f t="shared" si="139"/>
        <v>-29953</v>
      </c>
      <c r="AC97" s="123">
        <f t="shared" si="139"/>
        <v>-24045.000000000015</v>
      </c>
      <c r="AD97" s="123">
        <f t="shared" si="139"/>
        <v>75</v>
      </c>
      <c r="AE97" s="123">
        <f t="shared" si="139"/>
        <v>-103339.00000000006</v>
      </c>
      <c r="AF97" s="123">
        <f t="shared" si="139"/>
        <v>-31970.999999999993</v>
      </c>
      <c r="AG97" s="123">
        <f t="shared" si="139"/>
        <v>-14461</v>
      </c>
      <c r="AH97" s="123">
        <f t="shared" si="139"/>
        <v>-4410</v>
      </c>
      <c r="AI97" s="123">
        <f t="shared" si="139"/>
        <v>795</v>
      </c>
      <c r="AJ97" s="123">
        <f t="shared" si="139"/>
        <v>-357</v>
      </c>
      <c r="AK97" s="123">
        <f t="shared" si="139"/>
        <v>-50404</v>
      </c>
      <c r="AL97" s="123">
        <f t="shared" si="139"/>
        <v>-153743.00000000012</v>
      </c>
    </row>
    <row r="98" spans="2:38" ht="14.25" x14ac:dyDescent="0.2">
      <c r="D98" s="108" t="s">
        <v>186</v>
      </c>
      <c r="E98" s="126">
        <f t="shared" ref="E98:S98" si="140">IF(E95=0,"-",E96/E95)</f>
        <v>0.96938292953224847</v>
      </c>
      <c r="F98" s="127">
        <f t="shared" si="140"/>
        <v>1.1920039152208786</v>
      </c>
      <c r="G98" s="127">
        <f t="shared" si="140"/>
        <v>4.4056993721979367</v>
      </c>
      <c r="H98" s="127">
        <f t="shared" si="140"/>
        <v>1.645409236409594</v>
      </c>
      <c r="I98" s="127">
        <f t="shared" si="140"/>
        <v>1.5470418441069307</v>
      </c>
      <c r="J98" s="127">
        <f t="shared" si="140"/>
        <v>1.3390371085125239</v>
      </c>
      <c r="K98" s="127">
        <f t="shared" si="140"/>
        <v>0.99048798555528317</v>
      </c>
      <c r="L98" s="126">
        <f t="shared" si="140"/>
        <v>1.1009402546356875</v>
      </c>
      <c r="M98" s="127">
        <f t="shared" si="140"/>
        <v>1.7734303155421509</v>
      </c>
      <c r="N98" s="127">
        <f t="shared" si="140"/>
        <v>1.1652289164886143</v>
      </c>
      <c r="O98" s="127">
        <f t="shared" si="140"/>
        <v>1.1604978709466098</v>
      </c>
      <c r="P98" s="127">
        <f t="shared" si="140"/>
        <v>0.97671285040569433</v>
      </c>
      <c r="Q98" s="126">
        <f t="shared" si="140"/>
        <v>1.5467075038284839</v>
      </c>
      <c r="R98" s="126">
        <f t="shared" si="140"/>
        <v>1.3966943939497876</v>
      </c>
      <c r="S98" s="126">
        <f t="shared" si="140"/>
        <v>1.1016358643564907</v>
      </c>
      <c r="T98" s="128">
        <f>AVERAGE(S13,S18,S23,S28,S33,S38,S43,S48,S53,S58,S63,S68,S73,S78,S83,S88,S93)*70%</f>
        <v>-0.5168387624218862</v>
      </c>
      <c r="W98" s="108" t="s">
        <v>186</v>
      </c>
      <c r="X98" s="126">
        <f t="shared" ref="X98:AL98" si="141">IF(X95=0,"-",X96/X95)</f>
        <v>0.96938292953224847</v>
      </c>
      <c r="Y98" s="126">
        <f t="shared" si="141"/>
        <v>1.1920039152208786</v>
      </c>
      <c r="Z98" s="126">
        <f t="shared" si="141"/>
        <v>4.4056993721979376</v>
      </c>
      <c r="AA98" s="126">
        <f t="shared" si="141"/>
        <v>1.6454092364095942</v>
      </c>
      <c r="AB98" s="126">
        <f t="shared" si="141"/>
        <v>1.5470418441069309</v>
      </c>
      <c r="AC98" s="126">
        <f t="shared" si="141"/>
        <v>1.3390371085125239</v>
      </c>
      <c r="AD98" s="126">
        <f t="shared" si="141"/>
        <v>0.99048798555528317</v>
      </c>
      <c r="AE98" s="126">
        <f t="shared" si="141"/>
        <v>1.3515333805933276</v>
      </c>
      <c r="AF98" s="126">
        <f t="shared" si="141"/>
        <v>1.7734303155421505</v>
      </c>
      <c r="AG98" s="126">
        <f t="shared" si="141"/>
        <v>1.1652289164886143</v>
      </c>
      <c r="AH98" s="126">
        <f t="shared" si="141"/>
        <v>1.1604978709466098</v>
      </c>
      <c r="AI98" s="126">
        <f t="shared" si="141"/>
        <v>0.97671285040569433</v>
      </c>
      <c r="AJ98" s="126">
        <f t="shared" si="141"/>
        <v>1.5467075038284839</v>
      </c>
      <c r="AK98" s="126">
        <f t="shared" si="141"/>
        <v>1.2637204504123452</v>
      </c>
      <c r="AL98" s="126">
        <f t="shared" si="141"/>
        <v>1.3169350903274746</v>
      </c>
    </row>
    <row r="99" spans="2:38" x14ac:dyDescent="0.2">
      <c r="D99" s="129" t="s">
        <v>220</v>
      </c>
      <c r="E99" s="130">
        <f>+E95*90%</f>
        <v>137217569.67000002</v>
      </c>
      <c r="F99" s="130">
        <f t="shared" ref="F99:K99" si="142">+F95*90%</f>
        <v>44267847.300000004</v>
      </c>
      <c r="G99" s="130">
        <f t="shared" si="142"/>
        <v>2572546.5</v>
      </c>
      <c r="H99" s="130">
        <f t="shared" si="142"/>
        <v>5011425.0270000007</v>
      </c>
      <c r="I99" s="130">
        <f t="shared" si="142"/>
        <v>4927904.5635000011</v>
      </c>
      <c r="J99" s="130">
        <f t="shared" si="142"/>
        <v>2553171.8454</v>
      </c>
      <c r="K99" s="130">
        <f t="shared" si="142"/>
        <v>141925.77270000003</v>
      </c>
      <c r="L99" s="130">
        <f>SUM(E99:K99)</f>
        <v>196692390.67860004</v>
      </c>
      <c r="M99" s="130">
        <f>+M95*90%</f>
        <v>186014.81879999998</v>
      </c>
      <c r="N99" s="130">
        <f>+N95*90%</f>
        <v>196922.25</v>
      </c>
      <c r="O99" s="130">
        <f>+O95*90%</f>
        <v>49458.6</v>
      </c>
      <c r="P99" s="130">
        <f>+P95*90%</f>
        <v>30725.100000000002</v>
      </c>
      <c r="Q99" s="130">
        <f>+Q95*90%</f>
        <v>587.70000000000005</v>
      </c>
      <c r="R99" s="131">
        <f>SUM(M99:Q99)</f>
        <v>463708.46879999997</v>
      </c>
      <c r="S99" s="132">
        <f>+L99+R99</f>
        <v>197156099.14740005</v>
      </c>
      <c r="T99" s="133"/>
    </row>
    <row r="100" spans="2:38" ht="13.5" thickBot="1" x14ac:dyDescent="0.25">
      <c r="B100" s="134"/>
      <c r="D100" s="129" t="s">
        <v>221</v>
      </c>
      <c r="E100" s="135">
        <f t="shared" ref="E100:K100" si="143">+E99-E96</f>
        <v>-10578396.629999995</v>
      </c>
      <c r="F100" s="135">
        <f t="shared" si="143"/>
        <v>-14362649.699999996</v>
      </c>
      <c r="G100" s="135">
        <f t="shared" si="143"/>
        <v>-10020638.5</v>
      </c>
      <c r="H100" s="135">
        <f t="shared" si="143"/>
        <v>-4150625.0029999986</v>
      </c>
      <c r="I100" s="135">
        <f t="shared" si="143"/>
        <v>-3542844.9514999995</v>
      </c>
      <c r="J100" s="135">
        <f t="shared" si="143"/>
        <v>-1245485.7606000002</v>
      </c>
      <c r="K100" s="135">
        <f t="shared" si="143"/>
        <v>-14269.530299999984</v>
      </c>
      <c r="L100" s="136">
        <f>SUM(E100:K100)</f>
        <v>-43914910.075399987</v>
      </c>
      <c r="M100" s="135">
        <f>+M99-M96</f>
        <v>-180523.3132</v>
      </c>
      <c r="N100" s="135">
        <f>+N99-N96</f>
        <v>-58032.75</v>
      </c>
      <c r="O100" s="135">
        <f>+O99-O96</f>
        <v>-14315.400000000001</v>
      </c>
      <c r="P100" s="135">
        <f>+P99-P96</f>
        <v>-2618.8999999999978</v>
      </c>
      <c r="Q100" s="135">
        <f>+Q99-Q96</f>
        <v>-422.29999999999995</v>
      </c>
      <c r="R100" s="135">
        <f>SUM(M100:Q100)</f>
        <v>-255912.66319999998</v>
      </c>
      <c r="S100" s="137">
        <f>+L100+R100</f>
        <v>-44170822.738599986</v>
      </c>
      <c r="T100" s="133"/>
      <c r="V100" s="66" t="s">
        <v>168</v>
      </c>
      <c r="X100" s="138">
        <v>2000</v>
      </c>
      <c r="Y100" s="138">
        <v>1000</v>
      </c>
      <c r="Z100" s="138">
        <v>400</v>
      </c>
      <c r="AA100" s="138">
        <v>200</v>
      </c>
      <c r="AB100" s="138">
        <v>100</v>
      </c>
      <c r="AC100" s="138">
        <v>40</v>
      </c>
      <c r="AD100" s="138">
        <v>20</v>
      </c>
      <c r="AE100" s="138"/>
      <c r="AF100" s="138">
        <v>5</v>
      </c>
      <c r="AG100" s="138">
        <v>2.5</v>
      </c>
      <c r="AH100" s="138">
        <v>2</v>
      </c>
      <c r="AI100" s="138">
        <v>1</v>
      </c>
      <c r="AJ100" s="138">
        <v>1</v>
      </c>
      <c r="AK100" s="138"/>
    </row>
    <row r="101" spans="2:38" ht="14.25" x14ac:dyDescent="0.2">
      <c r="D101" s="139" t="s">
        <v>222</v>
      </c>
      <c r="E101" s="140">
        <f t="shared" ref="E101:K101" si="144">IF(E95=0,"-",E100/E95)</f>
        <v>-6.9382929532248394E-2</v>
      </c>
      <c r="F101" s="140">
        <f t="shared" si="144"/>
        <v>-0.29200391522087854</v>
      </c>
      <c r="G101" s="140">
        <f t="shared" si="144"/>
        <v>-3.5056993721979368</v>
      </c>
      <c r="H101" s="140">
        <f t="shared" si="144"/>
        <v>-0.74540923640959389</v>
      </c>
      <c r="I101" s="141">
        <f t="shared" si="144"/>
        <v>-0.64704184410693066</v>
      </c>
      <c r="J101" s="140">
        <f t="shared" si="144"/>
        <v>-0.43903710851252375</v>
      </c>
      <c r="K101" s="140">
        <f t="shared" si="144"/>
        <v>-9.0487985555283049E-2</v>
      </c>
      <c r="L101" s="142">
        <f>IF(L99=0,"-",L100/L99)</f>
        <v>-0.22326694959520815</v>
      </c>
      <c r="M101" s="140">
        <f>IF(M95=0,"-",M100/M95)</f>
        <v>-0.87343031554215089</v>
      </c>
      <c r="N101" s="141">
        <f>IF(N95=0,"-",N100/N95)</f>
        <v>-0.26522891648861419</v>
      </c>
      <c r="O101" s="140">
        <f>IF(O95=0,"-",O100/O95)</f>
        <v>-0.26049787094660992</v>
      </c>
      <c r="P101" s="140">
        <f>IF(P95=0,"-",P100/P95)</f>
        <v>-7.6712850405694297E-2</v>
      </c>
      <c r="Q101" s="140">
        <f>IF(Q95=0,"-",Q100/Q95)</f>
        <v>-0.64670750382848385</v>
      </c>
      <c r="R101" s="142">
        <f>IF(R99=0,"-",R100/R99)</f>
        <v>-0.55188265994420849</v>
      </c>
      <c r="S101" s="142">
        <f>IF(S99=0,"-",S100/S99)</f>
        <v>-0.22403984928498966</v>
      </c>
      <c r="T101" s="76"/>
      <c r="W101" s="143" t="s">
        <v>223</v>
      </c>
      <c r="X101" s="144">
        <f t="shared" ref="X101:AD101" si="145">+X95*90%</f>
        <v>68608.784834999999</v>
      </c>
      <c r="Y101" s="144">
        <f t="shared" si="145"/>
        <v>44267.847300000001</v>
      </c>
      <c r="Z101" s="144">
        <f t="shared" si="145"/>
        <v>6431.36625</v>
      </c>
      <c r="AA101" s="144">
        <f t="shared" si="145"/>
        <v>25057.125135000002</v>
      </c>
      <c r="AB101" s="144">
        <f t="shared" si="145"/>
        <v>49279.045635000002</v>
      </c>
      <c r="AC101" s="144">
        <f t="shared" si="145"/>
        <v>63829.296134999997</v>
      </c>
      <c r="AD101" s="144">
        <f t="shared" si="145"/>
        <v>7096.2886349999999</v>
      </c>
      <c r="AE101" s="144">
        <f>+AE95*91%</f>
        <v>267509.41785750003</v>
      </c>
      <c r="AF101" s="144">
        <f>+AF95*90%</f>
        <v>37202.963759999999</v>
      </c>
      <c r="AG101" s="144">
        <f>+AG95*90%</f>
        <v>78768.900000000009</v>
      </c>
      <c r="AH101" s="144">
        <f>+AH95*90%</f>
        <v>24729.3</v>
      </c>
      <c r="AI101" s="144">
        <f>+AI95*90%</f>
        <v>30725.100000000002</v>
      </c>
      <c r="AJ101" s="144">
        <f>+AJ95*90%</f>
        <v>587.70000000000005</v>
      </c>
      <c r="AK101" s="144">
        <f>+AK95*91%</f>
        <v>173925.23002400002</v>
      </c>
      <c r="AL101" s="145">
        <f>+AL95*91%</f>
        <v>441434.64788150002</v>
      </c>
    </row>
    <row r="102" spans="2:38" ht="13.5" thickBot="1" x14ac:dyDescent="0.25">
      <c r="D102" s="146" t="s">
        <v>224</v>
      </c>
      <c r="E102" s="147">
        <f>+E100/X100</f>
        <v>-5289.1983149999978</v>
      </c>
      <c r="F102" s="148">
        <f t="shared" ref="F102:M102" si="146">+F100/Y100</f>
        <v>-14362.649699999996</v>
      </c>
      <c r="G102" s="147">
        <f t="shared" si="146"/>
        <v>-25051.596249999999</v>
      </c>
      <c r="H102" s="148">
        <f t="shared" si="146"/>
        <v>-20753.125014999994</v>
      </c>
      <c r="I102" s="147">
        <f t="shared" si="146"/>
        <v>-35428.449514999993</v>
      </c>
      <c r="J102" s="148">
        <f t="shared" si="146"/>
        <v>-31137.144015000005</v>
      </c>
      <c r="K102" s="147">
        <f t="shared" si="146"/>
        <v>-713.47651499999915</v>
      </c>
      <c r="L102" s="147">
        <f>SUM(E102:K102)</f>
        <v>-132735.63932499997</v>
      </c>
      <c r="M102" s="148">
        <f t="shared" si="146"/>
        <v>-36104.662640000002</v>
      </c>
      <c r="N102" s="148">
        <f>+N100/AG100</f>
        <v>-23213.1</v>
      </c>
      <c r="O102" s="148">
        <f>+O100/AH100</f>
        <v>-7157.7000000000007</v>
      </c>
      <c r="P102" s="148">
        <f>+P100/AI100</f>
        <v>-2618.8999999999978</v>
      </c>
      <c r="Q102" s="147">
        <f>+Q100/AJ100</f>
        <v>-422.29999999999995</v>
      </c>
      <c r="R102" s="148">
        <f>SUM(M102:Q102)</f>
        <v>-69516.662639999995</v>
      </c>
      <c r="S102" s="149">
        <f>+L102+R102</f>
        <v>-202252.30196499996</v>
      </c>
      <c r="T102" s="150" t="s">
        <v>225</v>
      </c>
      <c r="W102" s="151" t="s">
        <v>221</v>
      </c>
      <c r="X102" s="152">
        <f>+X101-X96</f>
        <v>-5289.1983150000015</v>
      </c>
      <c r="Y102" s="152">
        <f t="shared" ref="Y102:AL102" si="147">+Y101-Y96</f>
        <v>-14362.649700000002</v>
      </c>
      <c r="Z102" s="152">
        <f t="shared" si="147"/>
        <v>-25051.596250000002</v>
      </c>
      <c r="AA102" s="152">
        <f t="shared" si="147"/>
        <v>-20753.125014999998</v>
      </c>
      <c r="AB102" s="152">
        <f t="shared" si="147"/>
        <v>-35428.449515</v>
      </c>
      <c r="AC102" s="152">
        <f t="shared" si="147"/>
        <v>-31137.144015000013</v>
      </c>
      <c r="AD102" s="152">
        <f t="shared" si="147"/>
        <v>-713.47651500000029</v>
      </c>
      <c r="AE102" s="152">
        <f t="shared" si="147"/>
        <v>-129795.97539250006</v>
      </c>
      <c r="AF102" s="152">
        <f t="shared" si="147"/>
        <v>-36104.662639999995</v>
      </c>
      <c r="AG102" s="152">
        <f t="shared" si="147"/>
        <v>-23213.099999999991</v>
      </c>
      <c r="AH102" s="152">
        <f t="shared" si="147"/>
        <v>-7157.7000000000007</v>
      </c>
      <c r="AI102" s="152">
        <f t="shared" si="147"/>
        <v>-2618.8999999999978</v>
      </c>
      <c r="AJ102" s="152">
        <f t="shared" si="147"/>
        <v>-422.29999999999995</v>
      </c>
      <c r="AK102" s="152">
        <f t="shared" si="147"/>
        <v>-67605.39637599999</v>
      </c>
      <c r="AL102" s="153">
        <f t="shared" si="147"/>
        <v>-197401.37176850013</v>
      </c>
    </row>
    <row r="103" spans="2:38" ht="15.75" hidden="1" thickBot="1" x14ac:dyDescent="0.3"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5"/>
      <c r="W103" s="156"/>
      <c r="X103" s="157">
        <f t="shared" ref="X103:AD103" si="148">IF(X97=0,"-",X102/X97)</f>
        <v>-2.2661518059125969</v>
      </c>
      <c r="Y103" s="157">
        <f t="shared" si="148"/>
        <v>1.5208227128335452</v>
      </c>
      <c r="Z103" s="157">
        <f t="shared" si="148"/>
        <v>1.0293625446850476</v>
      </c>
      <c r="AA103" s="157">
        <f t="shared" si="148"/>
        <v>1.1549404538371639</v>
      </c>
      <c r="AB103" s="157">
        <f t="shared" si="148"/>
        <v>1.1828013726504858</v>
      </c>
      <c r="AC103" s="157">
        <f t="shared" si="148"/>
        <v>1.2949529638178412</v>
      </c>
      <c r="AD103" s="157">
        <f t="shared" si="148"/>
        <v>-9.5130202000000033</v>
      </c>
      <c r="AE103" s="157"/>
      <c r="AF103" s="157">
        <f>IF(AF97=0,"-",AF102/AF97)</f>
        <v>1.1292941303055894</v>
      </c>
      <c r="AG103" s="157">
        <f>IF(AG97=0,"-",AG102/AG97)</f>
        <v>1.6052209390775183</v>
      </c>
      <c r="AH103" s="157">
        <f>IF(AH97=0,"-",AH102/AH97)</f>
        <v>1.6230612244897962</v>
      </c>
      <c r="AI103" s="157">
        <f>IF(AI97=0,"-",AI102/AI97)</f>
        <v>-3.2942138364779847</v>
      </c>
      <c r="AJ103" s="157">
        <f>IF(AJ97=0,"-",AJ102/AJ97)</f>
        <v>1.1829131652661062</v>
      </c>
      <c r="AK103" s="158"/>
      <c r="AL103" s="159"/>
    </row>
    <row r="104" spans="2:38" ht="15.75" thickBot="1" x14ac:dyDescent="0.3">
      <c r="D104" s="160" t="s">
        <v>226</v>
      </c>
      <c r="E104" s="161">
        <f>+E98*30%</f>
        <v>0.29081487885967455</v>
      </c>
      <c r="F104" s="161">
        <f t="shared" ref="F104:Q104" si="149">+F98*30%</f>
        <v>0.35760117456626356</v>
      </c>
      <c r="G104" s="161">
        <f t="shared" si="149"/>
        <v>1.3217098116593811</v>
      </c>
      <c r="H104" s="161">
        <f t="shared" si="149"/>
        <v>0.49362277092287821</v>
      </c>
      <c r="I104" s="161">
        <f t="shared" si="149"/>
        <v>0.46411255323207917</v>
      </c>
      <c r="J104" s="161">
        <f t="shared" si="149"/>
        <v>0.40171113255375718</v>
      </c>
      <c r="K104" s="161">
        <f t="shared" si="149"/>
        <v>0.29714639566658496</v>
      </c>
      <c r="L104" s="161"/>
      <c r="M104" s="161">
        <f t="shared" si="149"/>
        <v>0.53202909466264525</v>
      </c>
      <c r="N104" s="161">
        <f t="shared" si="149"/>
        <v>0.34956867494658428</v>
      </c>
      <c r="O104" s="161">
        <f t="shared" si="149"/>
        <v>0.34814936128398294</v>
      </c>
      <c r="P104" s="161">
        <f t="shared" si="149"/>
        <v>0.2930138551217083</v>
      </c>
      <c r="Q104" s="161">
        <f t="shared" si="149"/>
        <v>0.46401225114854516</v>
      </c>
      <c r="R104" s="162"/>
      <c r="S104" s="163">
        <f>+AVERAGE(E104:Q104)</f>
        <v>0.46779099621867365</v>
      </c>
      <c r="T104" s="164">
        <f>+S104+T98</f>
        <v>-4.9047766203212551E-2</v>
      </c>
      <c r="W104" s="165" t="s">
        <v>222</v>
      </c>
      <c r="X104" s="166">
        <f>IF(X95=0,"-",X102/X95)</f>
        <v>-6.938292953224845E-2</v>
      </c>
      <c r="Y104" s="166">
        <f t="shared" ref="Y104:AL104" si="150">IF(Y95=0,"-",Y102/Y95)</f>
        <v>-0.29200391522087865</v>
      </c>
      <c r="Z104" s="166">
        <f t="shared" si="150"/>
        <v>-3.5056993721979373</v>
      </c>
      <c r="AA104" s="166">
        <f t="shared" si="150"/>
        <v>-0.74540923640959411</v>
      </c>
      <c r="AB104" s="166">
        <f t="shared" si="150"/>
        <v>-0.64704184410693077</v>
      </c>
      <c r="AC104" s="166">
        <f t="shared" si="150"/>
        <v>-0.43903710851252381</v>
      </c>
      <c r="AD104" s="166">
        <f t="shared" si="150"/>
        <v>-9.0487985555283187E-2</v>
      </c>
      <c r="AE104" s="166">
        <f t="shared" si="150"/>
        <v>-0.44153338059332753</v>
      </c>
      <c r="AF104" s="166">
        <f t="shared" si="150"/>
        <v>-0.87343031554215067</v>
      </c>
      <c r="AG104" s="166">
        <f t="shared" si="150"/>
        <v>-0.26522891648861407</v>
      </c>
      <c r="AH104" s="166">
        <f t="shared" si="150"/>
        <v>-0.26049787094660992</v>
      </c>
      <c r="AI104" s="166">
        <f t="shared" si="150"/>
        <v>-7.6712850405694297E-2</v>
      </c>
      <c r="AJ104" s="166">
        <f t="shared" si="150"/>
        <v>-0.64670750382848385</v>
      </c>
      <c r="AK104" s="166">
        <f t="shared" si="150"/>
        <v>-0.35372045041234501</v>
      </c>
      <c r="AL104" s="167">
        <f t="shared" si="150"/>
        <v>-0.40693509032747449</v>
      </c>
    </row>
    <row r="105" spans="2:38" ht="14.25" x14ac:dyDescent="0.2">
      <c r="B105" s="243" t="s">
        <v>45</v>
      </c>
      <c r="C105" s="244"/>
      <c r="D105" s="87" t="s">
        <v>180</v>
      </c>
      <c r="E105" s="168">
        <f t="shared" ref="E105:K106" si="151">E10</f>
        <v>45893966.299999997</v>
      </c>
      <c r="F105" s="168">
        <f t="shared" si="151"/>
        <v>16435497</v>
      </c>
      <c r="G105" s="168">
        <f t="shared" si="151"/>
        <v>1955985</v>
      </c>
      <c r="H105" s="168">
        <f t="shared" si="151"/>
        <v>2124050.0300000003</v>
      </c>
      <c r="I105" s="168">
        <f t="shared" si="151"/>
        <v>2496749.5150000001</v>
      </c>
      <c r="J105" s="168">
        <f t="shared" si="151"/>
        <v>1082697.6059999999</v>
      </c>
      <c r="K105" s="168">
        <f t="shared" si="151"/>
        <v>2335.3029999999999</v>
      </c>
      <c r="L105" s="168">
        <f>+SUM(E105:K105)</f>
        <v>69991280.754000008</v>
      </c>
      <c r="M105" s="168">
        <f t="shared" ref="M105:Q106" si="152">M10</f>
        <v>83973.131999999998</v>
      </c>
      <c r="N105" s="168">
        <f t="shared" si="152"/>
        <v>108015</v>
      </c>
      <c r="O105" s="168">
        <f t="shared" si="152"/>
        <v>19624</v>
      </c>
      <c r="P105" s="168">
        <f t="shared" si="152"/>
        <v>14633</v>
      </c>
      <c r="Q105" s="168">
        <f t="shared" si="152"/>
        <v>50</v>
      </c>
      <c r="R105" s="168">
        <f>+SUM(M105:Q105)</f>
        <v>226295.13199999998</v>
      </c>
      <c r="S105" s="168">
        <f>+R105+L105</f>
        <v>70217575.886000007</v>
      </c>
      <c r="T105" s="169"/>
      <c r="V105" s="124"/>
    </row>
    <row r="106" spans="2:38" ht="14.25" x14ac:dyDescent="0.2">
      <c r="B106" s="245"/>
      <c r="C106" s="246"/>
      <c r="D106" s="87" t="s">
        <v>182</v>
      </c>
      <c r="E106" s="123">
        <f t="shared" si="151"/>
        <v>48729966.299999997</v>
      </c>
      <c r="F106" s="123">
        <f t="shared" si="151"/>
        <v>13209497</v>
      </c>
      <c r="G106" s="123">
        <f t="shared" si="151"/>
        <v>4553185</v>
      </c>
      <c r="H106" s="123">
        <f t="shared" si="151"/>
        <v>2002050.03</v>
      </c>
      <c r="I106" s="123">
        <f t="shared" si="151"/>
        <v>2679049.5150000001</v>
      </c>
      <c r="J106" s="123">
        <f t="shared" si="151"/>
        <v>1045057.606</v>
      </c>
      <c r="K106" s="123">
        <f t="shared" si="151"/>
        <v>1195.3029999999999</v>
      </c>
      <c r="L106" s="123">
        <f>+SUM(E106:K106)</f>
        <v>72220000.754000008</v>
      </c>
      <c r="M106" s="123">
        <f t="shared" si="152"/>
        <v>169538.13199999998</v>
      </c>
      <c r="N106" s="123">
        <f t="shared" si="152"/>
        <v>133330</v>
      </c>
      <c r="O106" s="123">
        <f t="shared" si="152"/>
        <v>21404</v>
      </c>
      <c r="P106" s="123">
        <f t="shared" si="152"/>
        <v>13899</v>
      </c>
      <c r="Q106" s="123">
        <f t="shared" si="152"/>
        <v>50</v>
      </c>
      <c r="R106" s="123">
        <f>+SUM(M106:Q106)</f>
        <v>338221.13199999998</v>
      </c>
      <c r="S106" s="123">
        <f>+R106+L106</f>
        <v>72558221.886000007</v>
      </c>
      <c r="V106" s="170"/>
      <c r="AH106" s="76">
        <v>2613</v>
      </c>
      <c r="AI106" s="76">
        <v>2461</v>
      </c>
    </row>
    <row r="107" spans="2:38" ht="14.25" x14ac:dyDescent="0.2">
      <c r="B107" s="245"/>
      <c r="C107" s="246"/>
      <c r="D107" s="87" t="s">
        <v>184</v>
      </c>
      <c r="E107" s="123">
        <f t="shared" ref="E107:S107" si="153">+E105-E106</f>
        <v>-2836000</v>
      </c>
      <c r="F107" s="123">
        <f t="shared" si="153"/>
        <v>3226000</v>
      </c>
      <c r="G107" s="123">
        <f t="shared" si="153"/>
        <v>-2597200</v>
      </c>
      <c r="H107" s="123">
        <f t="shared" si="153"/>
        <v>122000.00000000023</v>
      </c>
      <c r="I107" s="123">
        <f t="shared" si="153"/>
        <v>-182300</v>
      </c>
      <c r="J107" s="123">
        <f t="shared" si="153"/>
        <v>37639.999999999884</v>
      </c>
      <c r="K107" s="123">
        <f t="shared" si="153"/>
        <v>1140</v>
      </c>
      <c r="L107" s="123">
        <f t="shared" si="153"/>
        <v>-2228720</v>
      </c>
      <c r="M107" s="123">
        <f t="shared" si="153"/>
        <v>-85564.999999999985</v>
      </c>
      <c r="N107" s="123">
        <f t="shared" si="153"/>
        <v>-25315</v>
      </c>
      <c r="O107" s="123">
        <f t="shared" si="153"/>
        <v>-1780</v>
      </c>
      <c r="P107" s="123">
        <f t="shared" si="153"/>
        <v>734</v>
      </c>
      <c r="Q107" s="123">
        <f t="shared" si="153"/>
        <v>0</v>
      </c>
      <c r="R107" s="123">
        <f t="shared" si="153"/>
        <v>-111926</v>
      </c>
      <c r="S107" s="123">
        <f t="shared" si="153"/>
        <v>-2340646</v>
      </c>
      <c r="V107" s="171">
        <f>+S98*70%</f>
        <v>0.77114510504954348</v>
      </c>
      <c r="Y107" s="172"/>
      <c r="AH107" s="76">
        <v>2620</v>
      </c>
      <c r="AI107" s="76">
        <v>2551</v>
      </c>
    </row>
    <row r="108" spans="2:38" ht="14.25" x14ac:dyDescent="0.2">
      <c r="B108" s="247"/>
      <c r="C108" s="248"/>
      <c r="D108" s="108" t="s">
        <v>186</v>
      </c>
      <c r="E108" s="126">
        <f t="shared" ref="E108:S108" si="154">IF(E105=0,"-",E106/E105)</f>
        <v>1.0617946154721432</v>
      </c>
      <c r="F108" s="126">
        <f t="shared" si="154"/>
        <v>0.80371752676539077</v>
      </c>
      <c r="G108" s="126">
        <f t="shared" si="154"/>
        <v>2.3278220436250789</v>
      </c>
      <c r="H108" s="126">
        <f t="shared" si="154"/>
        <v>0.94256255818983692</v>
      </c>
      <c r="I108" s="126">
        <f t="shared" si="154"/>
        <v>1.0730149335785493</v>
      </c>
      <c r="J108" s="126">
        <f t="shared" si="154"/>
        <v>0.96523498362662874</v>
      </c>
      <c r="K108" s="126">
        <f t="shared" si="154"/>
        <v>0.51184064765899751</v>
      </c>
      <c r="L108" s="126">
        <f t="shared" si="154"/>
        <v>1.0318428235058783</v>
      </c>
      <c r="M108" s="126">
        <f t="shared" si="154"/>
        <v>2.0189568730150493</v>
      </c>
      <c r="N108" s="126">
        <f t="shared" si="154"/>
        <v>1.2343655973707355</v>
      </c>
      <c r="O108" s="126">
        <f t="shared" si="154"/>
        <v>1.0907052588666939</v>
      </c>
      <c r="P108" s="126">
        <f t="shared" si="154"/>
        <v>0.94983940408665346</v>
      </c>
      <c r="Q108" s="126">
        <f t="shared" si="154"/>
        <v>1</v>
      </c>
      <c r="R108" s="126">
        <f t="shared" si="154"/>
        <v>1.4946018900662874</v>
      </c>
      <c r="S108" s="126">
        <f t="shared" si="154"/>
        <v>1.0333341897732284</v>
      </c>
      <c r="V108" s="171">
        <f>+S104</f>
        <v>0.46779099621867365</v>
      </c>
      <c r="AH108" s="133">
        <f>SUM(AH106:AH107)</f>
        <v>5233</v>
      </c>
      <c r="AI108" s="133">
        <f>SUM(AI106:AI107)</f>
        <v>5012</v>
      </c>
    </row>
    <row r="109" spans="2:38" x14ac:dyDescent="0.2">
      <c r="V109" s="173">
        <f>+V107+V108</f>
        <v>1.2389361012682172</v>
      </c>
    </row>
    <row r="110" spans="2:38" ht="14.25" x14ac:dyDescent="0.2">
      <c r="B110" s="243" t="s">
        <v>67</v>
      </c>
      <c r="C110" s="244"/>
      <c r="D110" s="83" t="s">
        <v>180</v>
      </c>
      <c r="E110" s="123">
        <f>E95-E105</f>
        <v>106570000.00000001</v>
      </c>
      <c r="F110" s="123">
        <f t="shared" ref="F110:K111" si="155">F95-F105</f>
        <v>32751000</v>
      </c>
      <c r="G110" s="123">
        <f t="shared" si="155"/>
        <v>902400</v>
      </c>
      <c r="H110" s="123">
        <f t="shared" si="155"/>
        <v>3444200</v>
      </c>
      <c r="I110" s="123">
        <f t="shared" si="155"/>
        <v>2978700.0000000005</v>
      </c>
      <c r="J110" s="123">
        <f t="shared" si="155"/>
        <v>1754159.9999999998</v>
      </c>
      <c r="K110" s="123">
        <f t="shared" si="155"/>
        <v>155360</v>
      </c>
      <c r="L110" s="123">
        <f>+SUM(E110:K110)</f>
        <v>148555820</v>
      </c>
      <c r="M110" s="123">
        <f t="shared" ref="M110:Q111" si="156">M95-M105</f>
        <v>122709.99999999999</v>
      </c>
      <c r="N110" s="123">
        <f t="shared" si="156"/>
        <v>110787.5</v>
      </c>
      <c r="O110" s="123">
        <f t="shared" si="156"/>
        <v>35330</v>
      </c>
      <c r="P110" s="123">
        <f t="shared" si="156"/>
        <v>19506</v>
      </c>
      <c r="Q110" s="123">
        <f t="shared" si="156"/>
        <v>603</v>
      </c>
      <c r="R110" s="123">
        <f>+SUM(M110:Q110)</f>
        <v>288936.5</v>
      </c>
      <c r="S110" s="123">
        <f>+R110+L110</f>
        <v>148844756.5</v>
      </c>
      <c r="T110" s="174"/>
    </row>
    <row r="111" spans="2:38" ht="14.25" x14ac:dyDescent="0.2">
      <c r="B111" s="245"/>
      <c r="C111" s="246"/>
      <c r="D111" s="87" t="s">
        <v>182</v>
      </c>
      <c r="E111" s="123">
        <f>E96-E106</f>
        <v>99066000.000000015</v>
      </c>
      <c r="F111" s="123">
        <f t="shared" si="155"/>
        <v>45421000</v>
      </c>
      <c r="G111" s="123">
        <f t="shared" si="155"/>
        <v>8040000</v>
      </c>
      <c r="H111" s="123">
        <f t="shared" si="155"/>
        <v>7159999.9999999991</v>
      </c>
      <c r="I111" s="123">
        <f t="shared" si="155"/>
        <v>5791700</v>
      </c>
      <c r="J111" s="123">
        <f t="shared" si="155"/>
        <v>2753600</v>
      </c>
      <c r="K111" s="123">
        <f t="shared" si="155"/>
        <v>155000</v>
      </c>
      <c r="L111" s="123">
        <f>+SUM(E111:K111)</f>
        <v>168387300</v>
      </c>
      <c r="M111" s="123">
        <f t="shared" si="156"/>
        <v>197000</v>
      </c>
      <c r="N111" s="123">
        <f t="shared" si="156"/>
        <v>121625</v>
      </c>
      <c r="O111" s="123">
        <f t="shared" si="156"/>
        <v>42370</v>
      </c>
      <c r="P111" s="123">
        <f t="shared" si="156"/>
        <v>19445</v>
      </c>
      <c r="Q111" s="123">
        <f t="shared" si="156"/>
        <v>960</v>
      </c>
      <c r="R111" s="123">
        <f>+SUM(M111:Q111)</f>
        <v>381400</v>
      </c>
      <c r="S111" s="123">
        <f>+R111+L111</f>
        <v>168768700</v>
      </c>
    </row>
    <row r="112" spans="2:38" ht="14.25" x14ac:dyDescent="0.2">
      <c r="B112" s="245"/>
      <c r="C112" s="246"/>
      <c r="D112" s="87" t="s">
        <v>184</v>
      </c>
      <c r="E112" s="123">
        <f t="shared" ref="E112:S112" si="157">+E110-E111</f>
        <v>7504000</v>
      </c>
      <c r="F112" s="123">
        <f t="shared" si="157"/>
        <v>-12670000</v>
      </c>
      <c r="G112" s="123">
        <f t="shared" si="157"/>
        <v>-7137600</v>
      </c>
      <c r="H112" s="123">
        <f t="shared" si="157"/>
        <v>-3715799.9999999991</v>
      </c>
      <c r="I112" s="123">
        <f t="shared" si="157"/>
        <v>-2812999.9999999995</v>
      </c>
      <c r="J112" s="123">
        <f t="shared" si="157"/>
        <v>-999440.00000000023</v>
      </c>
      <c r="K112" s="123">
        <f t="shared" si="157"/>
        <v>360</v>
      </c>
      <c r="L112" s="123">
        <f t="shared" si="157"/>
        <v>-19831480</v>
      </c>
      <c r="M112" s="123">
        <f t="shared" si="157"/>
        <v>-74290.000000000015</v>
      </c>
      <c r="N112" s="123">
        <f t="shared" si="157"/>
        <v>-10837.5</v>
      </c>
      <c r="O112" s="123">
        <f t="shared" si="157"/>
        <v>-7040</v>
      </c>
      <c r="P112" s="123">
        <f t="shared" si="157"/>
        <v>61</v>
      </c>
      <c r="Q112" s="123">
        <f t="shared" si="157"/>
        <v>-357</v>
      </c>
      <c r="R112" s="123">
        <f t="shared" si="157"/>
        <v>-92463.5</v>
      </c>
      <c r="S112" s="123">
        <f t="shared" si="157"/>
        <v>-19923943.5</v>
      </c>
    </row>
    <row r="113" spans="2:29" ht="14.25" x14ac:dyDescent="0.2">
      <c r="B113" s="247"/>
      <c r="C113" s="248"/>
      <c r="D113" s="108" t="s">
        <v>186</v>
      </c>
      <c r="E113" s="126">
        <f t="shared" ref="E113:S113" si="158">IF(E110=0,"-",E111/E110)</f>
        <v>0.92958618748240596</v>
      </c>
      <c r="F113" s="126">
        <f t="shared" si="158"/>
        <v>1.3868584165368996</v>
      </c>
      <c r="G113" s="126">
        <f t="shared" si="158"/>
        <v>8.9095744680851059</v>
      </c>
      <c r="H113" s="126">
        <f t="shared" si="158"/>
        <v>2.0788572092212991</v>
      </c>
      <c r="I113" s="126">
        <f t="shared" si="158"/>
        <v>1.9443717057776879</v>
      </c>
      <c r="J113" s="126">
        <f t="shared" si="158"/>
        <v>1.5697541843389431</v>
      </c>
      <c r="K113" s="126">
        <f t="shared" si="158"/>
        <v>0.9976828012358393</v>
      </c>
      <c r="L113" s="126">
        <f t="shared" si="158"/>
        <v>1.1334951400759661</v>
      </c>
      <c r="M113" s="126">
        <f t="shared" si="158"/>
        <v>1.6054111319370876</v>
      </c>
      <c r="N113" s="126">
        <f t="shared" si="158"/>
        <v>1.0978224077626086</v>
      </c>
      <c r="O113" s="126">
        <f t="shared" si="158"/>
        <v>1.1992640815171243</v>
      </c>
      <c r="P113" s="126">
        <f t="shared" si="158"/>
        <v>0.99687275710037937</v>
      </c>
      <c r="Q113" s="126">
        <f t="shared" si="158"/>
        <v>1.592039800995025</v>
      </c>
      <c r="R113" s="126">
        <f t="shared" si="158"/>
        <v>1.3200132208980173</v>
      </c>
      <c r="S113" s="126">
        <f t="shared" si="158"/>
        <v>1.1338572077948879</v>
      </c>
    </row>
    <row r="115" spans="2:29" ht="15" hidden="1" x14ac:dyDescent="0.25">
      <c r="B115" s="69"/>
      <c r="C115" s="69"/>
      <c r="D115" s="175" t="s">
        <v>227</v>
      </c>
      <c r="E115" s="176">
        <f>+AVERAGE(E14+E19+E24+E29+E34+E39+E44+E49+E54+E59+E64+E69+E74+E79+E84+E89+E94)</f>
        <v>5.4318089946143946</v>
      </c>
      <c r="F115" s="176">
        <f t="shared" ref="F115:K115" si="159">+AVERAGE(F14+F19+F24+F29+F34+F39+F44+F49+F54+F59+F64+F69+F74+F79+F84+F89+F94)</f>
        <v>5.52727724200449</v>
      </c>
      <c r="G115" s="176">
        <f t="shared" si="159"/>
        <v>-1.3225234251270814</v>
      </c>
      <c r="H115" s="176">
        <f t="shared" si="159"/>
        <v>-127.58993950935806</v>
      </c>
      <c r="I115" s="176">
        <f t="shared" si="159"/>
        <v>22.968059568852706</v>
      </c>
      <c r="J115" s="176">
        <f t="shared" si="159"/>
        <v>10.664924432994617</v>
      </c>
      <c r="K115" s="176">
        <f t="shared" si="159"/>
        <v>4.7446198826340833</v>
      </c>
      <c r="L115" s="177"/>
      <c r="M115" s="176">
        <f t="shared" ref="M115:Q115" si="160">+AVERAGE(M14+M19+M24+M29+M34+M39+M44+M49+M54+M59+M64+M69+M74+M79+M84+M89+M94)</f>
        <v>-0.87917859847567037</v>
      </c>
      <c r="N115" s="176">
        <f t="shared" si="160"/>
        <v>6.4112629596762751</v>
      </c>
      <c r="O115" s="176">
        <f t="shared" si="160"/>
        <v>5.8356191553048431</v>
      </c>
      <c r="P115" s="176">
        <f t="shared" si="160"/>
        <v>3.816696755874879</v>
      </c>
      <c r="Q115" s="176">
        <f t="shared" si="160"/>
        <v>0.5161290322580645</v>
      </c>
      <c r="R115" s="69"/>
      <c r="S115" s="176">
        <f t="shared" ref="S115" si="161">+AVERAGE(S14+S19+S24+S29+S34+S39+S44+S49+S54+S59+S64+S69+S74+S79+S84+S89+S94)</f>
        <v>-5.8445350949244377</v>
      </c>
    </row>
    <row r="116" spans="2:29" ht="15" hidden="1" x14ac:dyDescent="0.25">
      <c r="B116" s="69"/>
      <c r="C116" s="69"/>
      <c r="D116" s="178"/>
      <c r="E116" s="179">
        <f>+E115/17</f>
        <v>0.31951817615378791</v>
      </c>
      <c r="F116" s="179">
        <f t="shared" ref="F116:S116" si="162">+F115/17</f>
        <v>0.32513395541202883</v>
      </c>
      <c r="G116" s="179">
        <f t="shared" si="162"/>
        <v>-7.7795495595710668E-2</v>
      </c>
      <c r="H116" s="179">
        <f t="shared" si="162"/>
        <v>-7.5052905593740036</v>
      </c>
      <c r="I116" s="179">
        <f t="shared" si="162"/>
        <v>1.351062327579571</v>
      </c>
      <c r="J116" s="179">
        <f t="shared" si="162"/>
        <v>0.62734849605850684</v>
      </c>
      <c r="K116" s="179">
        <f t="shared" si="162"/>
        <v>0.27909528721376958</v>
      </c>
      <c r="L116" s="180"/>
      <c r="M116" s="179">
        <f t="shared" si="162"/>
        <v>-5.1716388145627672E-2</v>
      </c>
      <c r="N116" s="179">
        <f t="shared" si="162"/>
        <v>0.37713311527507498</v>
      </c>
      <c r="O116" s="179">
        <f t="shared" si="162"/>
        <v>0.34327171501793197</v>
      </c>
      <c r="P116" s="179">
        <f t="shared" si="162"/>
        <v>0.22451157387499288</v>
      </c>
      <c r="Q116" s="179">
        <f t="shared" si="162"/>
        <v>3.0360531309297913E-2</v>
      </c>
      <c r="R116" s="91"/>
      <c r="S116" s="179">
        <f t="shared" si="162"/>
        <v>-0.34379618205437867</v>
      </c>
    </row>
    <row r="117" spans="2:29" ht="15" hidden="1" x14ac:dyDescent="0.25">
      <c r="B117" s="70" t="s">
        <v>228</v>
      </c>
      <c r="C117" s="69"/>
      <c r="D117" s="181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91"/>
      <c r="S117" s="69"/>
      <c r="Y117" s="183" t="s">
        <v>229</v>
      </c>
      <c r="Z117" s="183" t="s">
        <v>230</v>
      </c>
      <c r="AA117" s="183" t="s">
        <v>231</v>
      </c>
      <c r="AB117" s="66" t="s">
        <v>232</v>
      </c>
      <c r="AC117" s="66" t="s">
        <v>233</v>
      </c>
    </row>
    <row r="118" spans="2:29" ht="15" hidden="1" x14ac:dyDescent="0.25">
      <c r="B118" s="81">
        <v>1</v>
      </c>
      <c r="C118" s="83" t="s">
        <v>179</v>
      </c>
      <c r="D118" s="83" t="s">
        <v>180</v>
      </c>
      <c r="E118" s="184">
        <f>+IF($D$1="Triwulan I",E119,E10)</f>
        <v>45893966.299999997</v>
      </c>
      <c r="F118" s="184">
        <f t="shared" ref="F118:Q118" si="163">+F10</f>
        <v>16435497</v>
      </c>
      <c r="G118" s="184">
        <f t="shared" si="163"/>
        <v>1955985</v>
      </c>
      <c r="H118" s="184">
        <f t="shared" si="163"/>
        <v>2124050.0300000003</v>
      </c>
      <c r="I118" s="184">
        <f t="shared" si="163"/>
        <v>2496749.5150000001</v>
      </c>
      <c r="J118" s="184">
        <f t="shared" si="163"/>
        <v>1082697.6059999999</v>
      </c>
      <c r="K118" s="184">
        <f t="shared" si="163"/>
        <v>2335.3029999999999</v>
      </c>
      <c r="L118" s="184">
        <f>SUM(E118:K118)</f>
        <v>69991280.754000008</v>
      </c>
      <c r="M118" s="184">
        <f>+IF($D$1="Triwulan I",M119,M10)</f>
        <v>83973.131999999998</v>
      </c>
      <c r="N118" s="184">
        <f t="shared" si="163"/>
        <v>108015</v>
      </c>
      <c r="O118" s="184">
        <f t="shared" si="163"/>
        <v>19624</v>
      </c>
      <c r="P118" s="184">
        <f t="shared" si="163"/>
        <v>14633</v>
      </c>
      <c r="Q118" s="184">
        <f t="shared" si="163"/>
        <v>50</v>
      </c>
      <c r="R118" s="184">
        <f t="shared" ref="R118:R119" si="164">+SUM(M118:Q118)</f>
        <v>226295.13199999998</v>
      </c>
      <c r="S118" s="184">
        <f t="shared" ref="S118:S119" si="165">+R118+L118</f>
        <v>70217575.886000007</v>
      </c>
      <c r="V118" s="66" t="s">
        <v>4</v>
      </c>
      <c r="W118" s="66" t="s">
        <v>234</v>
      </c>
      <c r="Y118" s="124">
        <f>+[3]Monitoring!$E$95+[3]Monitoring!$F$95</f>
        <v>669605263.78162289</v>
      </c>
      <c r="Z118" s="124">
        <f>+[3]Monitoring!$G$95+[3]Monitoring!$H$95+[3]Monitoring!$I$95+[3]Monitoring!$J$95+[3]Monitoring!$K$95+[3]Monitoring!$M$95+[3]Monitoring!$N$95+[3]Monitoring!$O$95+[3]Monitoring!$P$95+[3]Monitoring!$Q$95</f>
        <v>53716954.504957199</v>
      </c>
      <c r="AA118" s="124">
        <f>SUM(Y118:Z118)</f>
        <v>723322218.28658009</v>
      </c>
      <c r="AB118" s="171">
        <f>+Y118/AA118</f>
        <v>0.92573578808044499</v>
      </c>
      <c r="AC118" s="171">
        <f>+Z118/AA118</f>
        <v>7.4264211919554998E-2</v>
      </c>
    </row>
    <row r="119" spans="2:29" ht="15" hidden="1" x14ac:dyDescent="0.25">
      <c r="B119" s="86"/>
      <c r="C119" s="87"/>
      <c r="D119" s="87" t="s">
        <v>182</v>
      </c>
      <c r="E119" s="184">
        <f t="shared" ref="E119:Q119" si="166">+E11</f>
        <v>48729966.299999997</v>
      </c>
      <c r="F119" s="184">
        <f t="shared" si="166"/>
        <v>13209497</v>
      </c>
      <c r="G119" s="184">
        <f t="shared" si="166"/>
        <v>4553185</v>
      </c>
      <c r="H119" s="184">
        <f t="shared" si="166"/>
        <v>2002050.03</v>
      </c>
      <c r="I119" s="184">
        <f t="shared" si="166"/>
        <v>2679049.5150000001</v>
      </c>
      <c r="J119" s="184">
        <f t="shared" si="166"/>
        <v>1045057.606</v>
      </c>
      <c r="K119" s="184">
        <f t="shared" si="166"/>
        <v>1195.3029999999999</v>
      </c>
      <c r="L119" s="184">
        <f>SUM(E119:K119)</f>
        <v>72220000.754000008</v>
      </c>
      <c r="M119" s="184">
        <f t="shared" ref="M119" si="167">+M11</f>
        <v>169538.13199999998</v>
      </c>
      <c r="N119" s="184">
        <f t="shared" si="166"/>
        <v>133330</v>
      </c>
      <c r="O119" s="184">
        <f t="shared" si="166"/>
        <v>21404</v>
      </c>
      <c r="P119" s="184">
        <f t="shared" si="166"/>
        <v>13899</v>
      </c>
      <c r="Q119" s="184">
        <f t="shared" si="166"/>
        <v>50</v>
      </c>
      <c r="R119" s="184">
        <f t="shared" si="164"/>
        <v>338221.13199999998</v>
      </c>
      <c r="S119" s="184">
        <f t="shared" si="165"/>
        <v>72558221.886000007</v>
      </c>
      <c r="W119" s="66" t="s">
        <v>182</v>
      </c>
    </row>
    <row r="120" spans="2:29" ht="15" hidden="1" x14ac:dyDescent="0.25">
      <c r="B120" s="86"/>
      <c r="C120" s="87"/>
      <c r="D120" s="87" t="s">
        <v>184</v>
      </c>
      <c r="E120" s="184">
        <f t="shared" ref="E120:K120" si="168">+E118-E119</f>
        <v>-2836000</v>
      </c>
      <c r="F120" s="184">
        <f t="shared" si="168"/>
        <v>3226000</v>
      </c>
      <c r="G120" s="184">
        <f t="shared" si="168"/>
        <v>-2597200</v>
      </c>
      <c r="H120" s="184">
        <f t="shared" si="168"/>
        <v>122000.00000000023</v>
      </c>
      <c r="I120" s="184">
        <f t="shared" si="168"/>
        <v>-182300</v>
      </c>
      <c r="J120" s="184">
        <f t="shared" si="168"/>
        <v>37639.999999999884</v>
      </c>
      <c r="K120" s="184">
        <f t="shared" si="168"/>
        <v>1140</v>
      </c>
      <c r="L120" s="184">
        <f>+SUM(E120:K120)</f>
        <v>-2228720</v>
      </c>
      <c r="M120" s="184">
        <f t="shared" ref="M120" si="169">+M118-M119</f>
        <v>-85564.999999999985</v>
      </c>
      <c r="N120" s="184">
        <f>+N118-N119</f>
        <v>-25315</v>
      </c>
      <c r="O120" s="184">
        <f>+O118-O119</f>
        <v>-1780</v>
      </c>
      <c r="P120" s="184">
        <f>+P118-P119</f>
        <v>734</v>
      </c>
      <c r="Q120" s="184">
        <f>+Q118-Q119</f>
        <v>0</v>
      </c>
      <c r="R120" s="184">
        <f>+SUM(M120:Q120)</f>
        <v>-111925.99999999999</v>
      </c>
      <c r="S120" s="184">
        <f>+R120+L120</f>
        <v>-2340646</v>
      </c>
    </row>
    <row r="121" spans="2:29" ht="15" hidden="1" x14ac:dyDescent="0.25">
      <c r="B121" s="86"/>
      <c r="C121" s="87"/>
      <c r="D121" s="92" t="s">
        <v>186</v>
      </c>
      <c r="E121" s="185">
        <f t="shared" ref="E121:S121" si="170">IF(E118=0,"-",E119/E118)</f>
        <v>1.0617946154721432</v>
      </c>
      <c r="F121" s="185">
        <f t="shared" si="170"/>
        <v>0.80371752676539077</v>
      </c>
      <c r="G121" s="185">
        <f t="shared" si="170"/>
        <v>2.3278220436250789</v>
      </c>
      <c r="H121" s="185">
        <f t="shared" si="170"/>
        <v>0.94256255818983692</v>
      </c>
      <c r="I121" s="185">
        <f t="shared" si="170"/>
        <v>1.0730149335785493</v>
      </c>
      <c r="J121" s="185">
        <f t="shared" si="170"/>
        <v>0.96523498362662874</v>
      </c>
      <c r="K121" s="185">
        <f t="shared" si="170"/>
        <v>0.51184064765899751</v>
      </c>
      <c r="L121" s="185">
        <f t="shared" si="170"/>
        <v>1.0318428235058783</v>
      </c>
      <c r="M121" s="185">
        <f t="shared" si="170"/>
        <v>2.0189568730150493</v>
      </c>
      <c r="N121" s="185">
        <f t="shared" si="170"/>
        <v>1.2343655973707355</v>
      </c>
      <c r="O121" s="185">
        <f t="shared" si="170"/>
        <v>1.0907052588666939</v>
      </c>
      <c r="P121" s="185">
        <f t="shared" si="170"/>
        <v>0.94983940408665346</v>
      </c>
      <c r="Q121" s="185">
        <f t="shared" si="170"/>
        <v>1</v>
      </c>
      <c r="R121" s="185">
        <f t="shared" si="170"/>
        <v>1.4946018900662874</v>
      </c>
      <c r="S121" s="186">
        <f t="shared" si="170"/>
        <v>1.0333341897732284</v>
      </c>
      <c r="V121" s="66" t="s">
        <v>45</v>
      </c>
      <c r="W121" s="66" t="s">
        <v>234</v>
      </c>
    </row>
    <row r="122" spans="2:29" ht="14.25" hidden="1" x14ac:dyDescent="0.2">
      <c r="B122" s="96"/>
      <c r="C122" s="97"/>
      <c r="D122" s="187">
        <v>0.3</v>
      </c>
      <c r="E122" s="188">
        <f>+E121*30%</f>
        <v>0.31853838464164291</v>
      </c>
      <c r="F122" s="189">
        <f t="shared" ref="F122:P122" si="171">+F121*30%</f>
        <v>0.24111525802961722</v>
      </c>
      <c r="G122" s="189">
        <f t="shared" si="171"/>
        <v>0.69834661308752366</v>
      </c>
      <c r="H122" s="189">
        <f t="shared" si="171"/>
        <v>0.28276876745695106</v>
      </c>
      <c r="I122" s="189">
        <f t="shared" si="171"/>
        <v>0.32190448007356476</v>
      </c>
      <c r="J122" s="189">
        <f t="shared" si="171"/>
        <v>0.2895704950879886</v>
      </c>
      <c r="K122" s="189">
        <f t="shared" si="171"/>
        <v>0.15355219429769926</v>
      </c>
      <c r="L122" s="190"/>
      <c r="M122" s="189">
        <f t="shared" si="171"/>
        <v>0.60568706190451482</v>
      </c>
      <c r="N122" s="189">
        <f t="shared" si="171"/>
        <v>0.37030967921122065</v>
      </c>
      <c r="O122" s="189">
        <f t="shared" si="171"/>
        <v>0.32721157766000813</v>
      </c>
      <c r="P122" s="189">
        <f t="shared" si="171"/>
        <v>0.28495182122599605</v>
      </c>
      <c r="Q122" s="191">
        <v>0</v>
      </c>
      <c r="W122" s="66" t="s">
        <v>182</v>
      </c>
    </row>
    <row r="123" spans="2:29" ht="15" hidden="1" x14ac:dyDescent="0.25">
      <c r="B123" s="81">
        <v>2</v>
      </c>
      <c r="C123" s="83" t="s">
        <v>189</v>
      </c>
      <c r="D123" s="83" t="s">
        <v>180</v>
      </c>
      <c r="E123" s="184">
        <f>+IF($D$1="Triwulan I",E124,E15)</f>
        <v>11216000</v>
      </c>
      <c r="F123" s="184">
        <f>+IF($D$1="Triwulan I",F124,F15)</f>
        <v>6131000</v>
      </c>
      <c r="G123" s="184">
        <f t="shared" ref="G123:K124" si="172">+G15</f>
        <v>-39600</v>
      </c>
      <c r="H123" s="184">
        <f t="shared" si="172"/>
        <v>621400</v>
      </c>
      <c r="I123" s="184">
        <f t="shared" si="172"/>
        <v>513700</v>
      </c>
      <c r="J123" s="184">
        <f t="shared" si="172"/>
        <v>256080</v>
      </c>
      <c r="K123" s="184">
        <f t="shared" si="172"/>
        <v>22760</v>
      </c>
      <c r="L123" s="184">
        <f>SUM(E123:K123)</f>
        <v>18721340</v>
      </c>
      <c r="M123" s="184">
        <f>+IF($D$1="Triwulan I",M124,M15)</f>
        <v>20555</v>
      </c>
      <c r="N123" s="184">
        <f t="shared" ref="N123:Q124" si="173">+N15</f>
        <v>12762.5</v>
      </c>
      <c r="O123" s="184">
        <f t="shared" si="173"/>
        <v>656</v>
      </c>
      <c r="P123" s="184">
        <f t="shared" si="173"/>
        <v>690</v>
      </c>
      <c r="Q123" s="184">
        <f t="shared" si="173"/>
        <v>0</v>
      </c>
      <c r="R123" s="184">
        <f t="shared" ref="R123:R124" si="174">+SUM(M123:Q123)</f>
        <v>34663.5</v>
      </c>
      <c r="S123" s="184">
        <f t="shared" ref="S123:S124" si="175">+R123+L123</f>
        <v>18756003.5</v>
      </c>
    </row>
    <row r="124" spans="2:29" ht="15" hidden="1" x14ac:dyDescent="0.25">
      <c r="B124" s="86"/>
      <c r="C124" s="87"/>
      <c r="D124" s="87" t="s">
        <v>182</v>
      </c>
      <c r="E124" s="184">
        <f t="shared" ref="E124:F124" si="176">+E16</f>
        <v>10400000</v>
      </c>
      <c r="F124" s="184">
        <f t="shared" si="176"/>
        <v>6100000</v>
      </c>
      <c r="G124" s="184">
        <f t="shared" si="172"/>
        <v>880000</v>
      </c>
      <c r="H124" s="184">
        <f t="shared" si="172"/>
        <v>1210000</v>
      </c>
      <c r="I124" s="184">
        <f t="shared" si="172"/>
        <v>795000</v>
      </c>
      <c r="J124" s="184">
        <f t="shared" si="172"/>
        <v>292000</v>
      </c>
      <c r="K124" s="184">
        <f t="shared" si="172"/>
        <v>22000</v>
      </c>
      <c r="L124" s="184">
        <f>SUM(E124:K124)</f>
        <v>19699000</v>
      </c>
      <c r="M124" s="184">
        <f t="shared" ref="M124" si="177">+M16</f>
        <v>25500</v>
      </c>
      <c r="N124" s="184">
        <f t="shared" si="173"/>
        <v>15125</v>
      </c>
      <c r="O124" s="184">
        <f t="shared" si="173"/>
        <v>3000</v>
      </c>
      <c r="P124" s="184">
        <f t="shared" si="173"/>
        <v>1050</v>
      </c>
      <c r="Q124" s="184">
        <f t="shared" si="173"/>
        <v>0</v>
      </c>
      <c r="R124" s="184">
        <f t="shared" si="174"/>
        <v>44675</v>
      </c>
      <c r="S124" s="184">
        <f t="shared" si="175"/>
        <v>19743675</v>
      </c>
    </row>
    <row r="125" spans="2:29" ht="15" hidden="1" x14ac:dyDescent="0.25">
      <c r="B125" s="86"/>
      <c r="C125" s="87"/>
      <c r="D125" s="87" t="s">
        <v>184</v>
      </c>
      <c r="E125" s="184">
        <f t="shared" ref="E125:K125" si="178">+E123-E124</f>
        <v>816000</v>
      </c>
      <c r="F125" s="184">
        <f t="shared" si="178"/>
        <v>31000</v>
      </c>
      <c r="G125" s="184">
        <f t="shared" si="178"/>
        <v>-919600</v>
      </c>
      <c r="H125" s="184">
        <f t="shared" si="178"/>
        <v>-588600</v>
      </c>
      <c r="I125" s="184">
        <f t="shared" si="178"/>
        <v>-281300</v>
      </c>
      <c r="J125" s="184">
        <f t="shared" si="178"/>
        <v>-35920</v>
      </c>
      <c r="K125" s="184">
        <f t="shared" si="178"/>
        <v>760</v>
      </c>
      <c r="L125" s="184">
        <f>+SUM(E125:K125)</f>
        <v>-977660</v>
      </c>
      <c r="M125" s="184">
        <f t="shared" ref="M125" si="179">+M123-M124</f>
        <v>-4945</v>
      </c>
      <c r="N125" s="184">
        <f>+N123-N124</f>
        <v>-2362.5</v>
      </c>
      <c r="O125" s="184">
        <f>+O123-O124</f>
        <v>-2344</v>
      </c>
      <c r="P125" s="184">
        <f>+P123-P124</f>
        <v>-360</v>
      </c>
      <c r="Q125" s="184">
        <f>+Q123-Q124</f>
        <v>0</v>
      </c>
      <c r="R125" s="184">
        <f>+SUM(M125:Q125)</f>
        <v>-10011.5</v>
      </c>
      <c r="S125" s="184">
        <f>+R125+L125</f>
        <v>-987671.5</v>
      </c>
    </row>
    <row r="126" spans="2:29" ht="15" hidden="1" x14ac:dyDescent="0.25">
      <c r="B126" s="86"/>
      <c r="C126" s="87"/>
      <c r="D126" s="92" t="s">
        <v>186</v>
      </c>
      <c r="E126" s="185">
        <f t="shared" ref="E126:S126" si="180">IF(E123=0,"-",E124/E123)</f>
        <v>0.92724679029957202</v>
      </c>
      <c r="F126" s="185">
        <f t="shared" si="180"/>
        <v>0.99494372859239932</v>
      </c>
      <c r="G126" s="185">
        <f t="shared" si="180"/>
        <v>-22.222222222222221</v>
      </c>
      <c r="H126" s="185">
        <f t="shared" si="180"/>
        <v>1.9472159639523656</v>
      </c>
      <c r="I126" s="185">
        <f t="shared" si="180"/>
        <v>1.5475958730776718</v>
      </c>
      <c r="J126" s="185">
        <f t="shared" si="180"/>
        <v>1.1402686660418619</v>
      </c>
      <c r="K126" s="185">
        <f t="shared" si="180"/>
        <v>0.96660808435852374</v>
      </c>
      <c r="L126" s="185">
        <f t="shared" si="180"/>
        <v>1.0522216892594227</v>
      </c>
      <c r="M126" s="185">
        <f t="shared" si="180"/>
        <v>1.2405740695694478</v>
      </c>
      <c r="N126" s="185">
        <f t="shared" si="180"/>
        <v>1.1851126346718903</v>
      </c>
      <c r="O126" s="185">
        <f t="shared" si="180"/>
        <v>4.5731707317073171</v>
      </c>
      <c r="P126" s="185">
        <f t="shared" si="180"/>
        <v>1.5217391304347827</v>
      </c>
      <c r="Q126" s="185" t="str">
        <f t="shared" si="180"/>
        <v>-</v>
      </c>
      <c r="R126" s="185">
        <f t="shared" si="180"/>
        <v>1.2888196517951158</v>
      </c>
      <c r="S126" s="186">
        <f t="shared" si="180"/>
        <v>1.0526589526388177</v>
      </c>
    </row>
    <row r="127" spans="2:29" ht="14.25" hidden="1" x14ac:dyDescent="0.2">
      <c r="B127" s="103"/>
      <c r="C127" s="104"/>
      <c r="D127" s="187">
        <v>0.3</v>
      </c>
      <c r="E127" s="188">
        <f>+E126*30%</f>
        <v>0.2781740370898716</v>
      </c>
      <c r="F127" s="189">
        <f t="shared" ref="F127:K127" si="181">+F126*30%</f>
        <v>0.29848311857771981</v>
      </c>
      <c r="G127" s="189">
        <f t="shared" si="181"/>
        <v>-6.6666666666666661</v>
      </c>
      <c r="H127" s="189">
        <f t="shared" si="181"/>
        <v>0.58416478918570969</v>
      </c>
      <c r="I127" s="189">
        <f t="shared" si="181"/>
        <v>0.46427876192330153</v>
      </c>
      <c r="J127" s="189">
        <f t="shared" si="181"/>
        <v>0.34208059981255856</v>
      </c>
      <c r="K127" s="189">
        <f t="shared" si="181"/>
        <v>0.28998242530755713</v>
      </c>
      <c r="L127" s="190"/>
      <c r="M127" s="189">
        <f t="shared" ref="M127:P127" si="182">+M126*30%</f>
        <v>0.37217222087083435</v>
      </c>
      <c r="N127" s="189">
        <f t="shared" si="182"/>
        <v>0.35553379040156707</v>
      </c>
      <c r="O127" s="189">
        <f t="shared" si="182"/>
        <v>1.371951219512195</v>
      </c>
      <c r="P127" s="189">
        <f t="shared" si="182"/>
        <v>0.45652173913043481</v>
      </c>
      <c r="Q127" s="191">
        <v>0</v>
      </c>
    </row>
    <row r="128" spans="2:29" ht="15" hidden="1" x14ac:dyDescent="0.25">
      <c r="B128" s="81">
        <v>3</v>
      </c>
      <c r="C128" s="83" t="s">
        <v>195</v>
      </c>
      <c r="D128" s="83" t="s">
        <v>180</v>
      </c>
      <c r="E128" s="184">
        <f>+IF($D$1="Triwulan I",E129,E20)</f>
        <v>7896000</v>
      </c>
      <c r="F128" s="184">
        <f>+IF($D$1="Triwulan I",F129,F20)</f>
        <v>2365000</v>
      </c>
      <c r="G128" s="184">
        <f t="shared" ref="G128:K129" si="183">+G20</f>
        <v>27200</v>
      </c>
      <c r="H128" s="184">
        <f t="shared" si="183"/>
        <v>296800</v>
      </c>
      <c r="I128" s="184">
        <f t="shared" si="183"/>
        <v>288000</v>
      </c>
      <c r="J128" s="184">
        <f t="shared" si="183"/>
        <v>150720</v>
      </c>
      <c r="K128" s="184">
        <f>+IF($D$1="Triwulan I",K129,K20)</f>
        <v>5540</v>
      </c>
      <c r="L128" s="184">
        <f>SUM(E128:K128)</f>
        <v>11029260</v>
      </c>
      <c r="M128" s="184">
        <f>+IF($D$1="Triwulan I",M129,M20)</f>
        <v>17905</v>
      </c>
      <c r="N128" s="184">
        <f t="shared" ref="N128:Q129" si="184">+N20</f>
        <v>8022.5</v>
      </c>
      <c r="O128" s="184">
        <f t="shared" si="184"/>
        <v>2332</v>
      </c>
      <c r="P128" s="184">
        <f t="shared" si="184"/>
        <v>1259</v>
      </c>
      <c r="Q128" s="184">
        <f t="shared" si="184"/>
        <v>0</v>
      </c>
      <c r="R128" s="184">
        <f t="shared" ref="R128:R129" si="185">+SUM(M128:Q128)</f>
        <v>29518.5</v>
      </c>
      <c r="S128" s="184">
        <f t="shared" ref="S128:S129" si="186">+R128+L128</f>
        <v>11058778.5</v>
      </c>
    </row>
    <row r="129" spans="2:19" ht="15" hidden="1" x14ac:dyDescent="0.25">
      <c r="B129" s="86"/>
      <c r="C129" s="87"/>
      <c r="D129" s="87" t="s">
        <v>182</v>
      </c>
      <c r="E129" s="184">
        <f t="shared" ref="E129:F129" si="187">+E21</f>
        <v>9220000</v>
      </c>
      <c r="F129" s="184">
        <f t="shared" si="187"/>
        <v>2780000</v>
      </c>
      <c r="G129" s="184">
        <f t="shared" si="183"/>
        <v>320000</v>
      </c>
      <c r="H129" s="184">
        <f t="shared" si="183"/>
        <v>200000</v>
      </c>
      <c r="I129" s="184">
        <f t="shared" si="183"/>
        <v>350000</v>
      </c>
      <c r="J129" s="184">
        <f t="shared" si="183"/>
        <v>208000</v>
      </c>
      <c r="K129" s="184">
        <f t="shared" si="183"/>
        <v>5000</v>
      </c>
      <c r="L129" s="184">
        <f>SUM(E129:K129)</f>
        <v>13083000</v>
      </c>
      <c r="M129" s="184">
        <f t="shared" ref="M129" si="188">+M21</f>
        <v>19500</v>
      </c>
      <c r="N129" s="184">
        <f t="shared" si="184"/>
        <v>7525</v>
      </c>
      <c r="O129" s="184">
        <f t="shared" si="184"/>
        <v>1700</v>
      </c>
      <c r="P129" s="184">
        <f t="shared" si="184"/>
        <v>1000</v>
      </c>
      <c r="Q129" s="184">
        <f t="shared" si="184"/>
        <v>0</v>
      </c>
      <c r="R129" s="184">
        <f t="shared" si="185"/>
        <v>29725</v>
      </c>
      <c r="S129" s="184">
        <f t="shared" si="186"/>
        <v>13112725</v>
      </c>
    </row>
    <row r="130" spans="2:19" ht="15" hidden="1" x14ac:dyDescent="0.25">
      <c r="B130" s="86"/>
      <c r="C130" s="87"/>
      <c r="D130" s="87" t="s">
        <v>184</v>
      </c>
      <c r="E130" s="184">
        <f t="shared" ref="E130:K130" si="189">+E128-E129</f>
        <v>-1324000</v>
      </c>
      <c r="F130" s="184">
        <f t="shared" si="189"/>
        <v>-415000</v>
      </c>
      <c r="G130" s="184">
        <f t="shared" si="189"/>
        <v>-292800</v>
      </c>
      <c r="H130" s="184">
        <f t="shared" si="189"/>
        <v>96800</v>
      </c>
      <c r="I130" s="184">
        <f t="shared" si="189"/>
        <v>-62000</v>
      </c>
      <c r="J130" s="184">
        <f t="shared" si="189"/>
        <v>-57280</v>
      </c>
      <c r="K130" s="184">
        <f t="shared" si="189"/>
        <v>540</v>
      </c>
      <c r="L130" s="184">
        <f>+SUM(E130:K130)</f>
        <v>-2053740</v>
      </c>
      <c r="M130" s="184">
        <f t="shared" ref="M130" si="190">+M128-M129</f>
        <v>-1595</v>
      </c>
      <c r="N130" s="184">
        <f>+N128-N129</f>
        <v>497.5</v>
      </c>
      <c r="O130" s="184">
        <f>+O128-O129</f>
        <v>632</v>
      </c>
      <c r="P130" s="184">
        <f>+P128-P129</f>
        <v>259</v>
      </c>
      <c r="Q130" s="184">
        <f>+Q128-Q129</f>
        <v>0</v>
      </c>
      <c r="R130" s="184">
        <f>+SUM(M130:Q130)</f>
        <v>-206.5</v>
      </c>
      <c r="S130" s="184">
        <f>+R130+L130</f>
        <v>-2053946.5</v>
      </c>
    </row>
    <row r="131" spans="2:19" ht="15" hidden="1" x14ac:dyDescent="0.25">
      <c r="B131" s="86"/>
      <c r="C131" s="108"/>
      <c r="D131" s="109" t="s">
        <v>186</v>
      </c>
      <c r="E131" s="185">
        <f t="shared" ref="E131:S131" si="191">IF(E128=0,"-",E129/E128)</f>
        <v>1.1676798378926039</v>
      </c>
      <c r="F131" s="185">
        <f t="shared" si="191"/>
        <v>1.1754756871035941</v>
      </c>
      <c r="G131" s="185">
        <f t="shared" si="191"/>
        <v>11.764705882352942</v>
      </c>
      <c r="H131" s="185">
        <f t="shared" si="191"/>
        <v>0.67385444743935308</v>
      </c>
      <c r="I131" s="185">
        <f t="shared" si="191"/>
        <v>1.2152777777777777</v>
      </c>
      <c r="J131" s="185">
        <f t="shared" si="191"/>
        <v>1.3800424628450105</v>
      </c>
      <c r="K131" s="185">
        <f t="shared" si="191"/>
        <v>0.90252707581227432</v>
      </c>
      <c r="L131" s="185">
        <f t="shared" si="191"/>
        <v>1.1862083222265138</v>
      </c>
      <c r="M131" s="185">
        <f t="shared" si="191"/>
        <v>1.0890812622172577</v>
      </c>
      <c r="N131" s="185">
        <f t="shared" si="191"/>
        <v>0.93798691181053284</v>
      </c>
      <c r="O131" s="185">
        <f t="shared" si="191"/>
        <v>0.72898799313893659</v>
      </c>
      <c r="P131" s="185">
        <f t="shared" si="191"/>
        <v>0.79428117553613975</v>
      </c>
      <c r="Q131" s="185" t="str">
        <f t="shared" si="191"/>
        <v>-</v>
      </c>
      <c r="R131" s="185">
        <f t="shared" si="191"/>
        <v>1.0069956129207107</v>
      </c>
      <c r="S131" s="186">
        <f t="shared" si="191"/>
        <v>1.1857299610440701</v>
      </c>
    </row>
    <row r="132" spans="2:19" ht="14.25" hidden="1" x14ac:dyDescent="0.2">
      <c r="B132" s="103"/>
      <c r="C132" s="104"/>
      <c r="D132" s="187">
        <v>0.3</v>
      </c>
      <c r="E132" s="188">
        <f>+E131*30%</f>
        <v>0.35030395136778114</v>
      </c>
      <c r="F132" s="189">
        <f t="shared" ref="F132:K132" si="192">+F131*30%</f>
        <v>0.35264270613107823</v>
      </c>
      <c r="G132" s="189">
        <f t="shared" si="192"/>
        <v>3.5294117647058827</v>
      </c>
      <c r="H132" s="189">
        <f t="shared" si="192"/>
        <v>0.20215633423180593</v>
      </c>
      <c r="I132" s="189">
        <f t="shared" si="192"/>
        <v>0.36458333333333331</v>
      </c>
      <c r="J132" s="189">
        <f t="shared" si="192"/>
        <v>0.41401273885350315</v>
      </c>
      <c r="K132" s="189">
        <f t="shared" si="192"/>
        <v>0.27075812274368227</v>
      </c>
      <c r="L132" s="190"/>
      <c r="M132" s="189">
        <f t="shared" ref="M132:P132" si="193">+M131*30%</f>
        <v>0.32672437866517728</v>
      </c>
      <c r="N132" s="189">
        <f t="shared" si="193"/>
        <v>0.28139607354315982</v>
      </c>
      <c r="O132" s="189">
        <f t="shared" si="193"/>
        <v>0.21869639794168097</v>
      </c>
      <c r="P132" s="189">
        <f t="shared" si="193"/>
        <v>0.23828435266084191</v>
      </c>
      <c r="Q132" s="191">
        <v>0</v>
      </c>
    </row>
    <row r="133" spans="2:19" ht="15" hidden="1" x14ac:dyDescent="0.25">
      <c r="B133" s="81">
        <v>4</v>
      </c>
      <c r="C133" s="81" t="s">
        <v>200</v>
      </c>
      <c r="D133" s="83" t="s">
        <v>180</v>
      </c>
      <c r="E133" s="184">
        <f t="shared" ref="E133:K134" si="194">+E25</f>
        <v>11388000</v>
      </c>
      <c r="F133" s="184">
        <f t="shared" si="194"/>
        <v>3202000</v>
      </c>
      <c r="G133" s="184">
        <f t="shared" si="194"/>
        <v>138000</v>
      </c>
      <c r="H133" s="184">
        <f t="shared" si="194"/>
        <v>440400</v>
      </c>
      <c r="I133" s="184">
        <f t="shared" si="194"/>
        <v>142600</v>
      </c>
      <c r="J133" s="184">
        <f t="shared" si="194"/>
        <v>90200</v>
      </c>
      <c r="K133" s="184">
        <f t="shared" si="194"/>
        <v>10640</v>
      </c>
      <c r="L133" s="184">
        <f>SUM(E133:K133)</f>
        <v>15411840</v>
      </c>
      <c r="M133" s="184">
        <f>+IF($D$1="Triwulan I",M134,M25)</f>
        <v>23240</v>
      </c>
      <c r="N133" s="184">
        <f t="shared" ref="N133:Q134" si="195">+N25</f>
        <v>9310</v>
      </c>
      <c r="O133" s="184">
        <f t="shared" si="195"/>
        <v>3456</v>
      </c>
      <c r="P133" s="184">
        <f t="shared" si="195"/>
        <v>1996</v>
      </c>
      <c r="Q133" s="184">
        <f t="shared" si="195"/>
        <v>3</v>
      </c>
      <c r="R133" s="184">
        <f t="shared" ref="R133:R134" si="196">+SUM(M133:Q133)</f>
        <v>38005</v>
      </c>
      <c r="S133" s="184">
        <f t="shared" ref="S133:S134" si="197">+R133+L133</f>
        <v>15449845</v>
      </c>
    </row>
    <row r="134" spans="2:19" ht="15" hidden="1" x14ac:dyDescent="0.25">
      <c r="B134" s="86"/>
      <c r="C134" s="86"/>
      <c r="D134" s="87" t="s">
        <v>182</v>
      </c>
      <c r="E134" s="184">
        <f t="shared" si="194"/>
        <v>8220000</v>
      </c>
      <c r="F134" s="184">
        <f t="shared" si="194"/>
        <v>6180000</v>
      </c>
      <c r="G134" s="184">
        <f t="shared" si="194"/>
        <v>520000</v>
      </c>
      <c r="H134" s="184">
        <f t="shared" si="194"/>
        <v>630000</v>
      </c>
      <c r="I134" s="184">
        <f t="shared" si="194"/>
        <v>368000</v>
      </c>
      <c r="J134" s="184">
        <f t="shared" si="194"/>
        <v>176000</v>
      </c>
      <c r="K134" s="184">
        <f t="shared" si="194"/>
        <v>9000</v>
      </c>
      <c r="L134" s="184">
        <f>SUM(E134:K134)</f>
        <v>16103000</v>
      </c>
      <c r="M134" s="184">
        <f t="shared" ref="M134" si="198">+M26</f>
        <v>21750</v>
      </c>
      <c r="N134" s="184">
        <f t="shared" si="195"/>
        <v>7625</v>
      </c>
      <c r="O134" s="184">
        <f t="shared" si="195"/>
        <v>3300</v>
      </c>
      <c r="P134" s="184">
        <f t="shared" si="195"/>
        <v>1450</v>
      </c>
      <c r="Q134" s="184">
        <f t="shared" si="195"/>
        <v>0</v>
      </c>
      <c r="R134" s="184">
        <f t="shared" si="196"/>
        <v>34125</v>
      </c>
      <c r="S134" s="184">
        <f t="shared" si="197"/>
        <v>16137125</v>
      </c>
    </row>
    <row r="135" spans="2:19" ht="15" hidden="1" x14ac:dyDescent="0.25">
      <c r="B135" s="86"/>
      <c r="C135" s="86"/>
      <c r="D135" s="87" t="s">
        <v>184</v>
      </c>
      <c r="E135" s="184">
        <f t="shared" ref="E135:K135" si="199">+E133-E134</f>
        <v>3168000</v>
      </c>
      <c r="F135" s="184">
        <f t="shared" si="199"/>
        <v>-2978000</v>
      </c>
      <c r="G135" s="184">
        <f t="shared" si="199"/>
        <v>-382000</v>
      </c>
      <c r="H135" s="184">
        <f t="shared" si="199"/>
        <v>-189600</v>
      </c>
      <c r="I135" s="184">
        <f t="shared" si="199"/>
        <v>-225400</v>
      </c>
      <c r="J135" s="184">
        <f t="shared" si="199"/>
        <v>-85800</v>
      </c>
      <c r="K135" s="184">
        <f t="shared" si="199"/>
        <v>1640</v>
      </c>
      <c r="L135" s="184">
        <f>+SUM(E135:K135)</f>
        <v>-691160</v>
      </c>
      <c r="M135" s="184">
        <f t="shared" ref="M135" si="200">+M133-M134</f>
        <v>1490</v>
      </c>
      <c r="N135" s="184">
        <f>+N133-N134</f>
        <v>1685</v>
      </c>
      <c r="O135" s="184">
        <f>+O133-O134</f>
        <v>156</v>
      </c>
      <c r="P135" s="184">
        <f>+P133-P134</f>
        <v>546</v>
      </c>
      <c r="Q135" s="184">
        <f>+Q133-Q134</f>
        <v>3</v>
      </c>
      <c r="R135" s="184">
        <f>+SUM(M135:Q135)</f>
        <v>3880</v>
      </c>
      <c r="S135" s="184">
        <f>+R135+L135</f>
        <v>-687280</v>
      </c>
    </row>
    <row r="136" spans="2:19" ht="15" hidden="1" x14ac:dyDescent="0.25">
      <c r="B136" s="86"/>
      <c r="C136" s="112"/>
      <c r="D136" s="109" t="s">
        <v>186</v>
      </c>
      <c r="E136" s="185">
        <f t="shared" ref="E136:S136" si="201">IF(E133=0,"-",E134/E133)</f>
        <v>0.72181243414120122</v>
      </c>
      <c r="F136" s="185">
        <f t="shared" si="201"/>
        <v>1.9300437226733291</v>
      </c>
      <c r="G136" s="185">
        <f t="shared" si="201"/>
        <v>3.7681159420289854</v>
      </c>
      <c r="H136" s="185">
        <f t="shared" si="201"/>
        <v>1.430517711171662</v>
      </c>
      <c r="I136" s="185">
        <f t="shared" si="201"/>
        <v>2.5806451612903225</v>
      </c>
      <c r="J136" s="185">
        <f t="shared" si="201"/>
        <v>1.9512195121951219</v>
      </c>
      <c r="K136" s="185">
        <f t="shared" si="201"/>
        <v>0.84586466165413532</v>
      </c>
      <c r="L136" s="185">
        <f t="shared" si="201"/>
        <v>1.0448460404468254</v>
      </c>
      <c r="M136" s="185">
        <f t="shared" si="201"/>
        <v>0.93588640275387258</v>
      </c>
      <c r="N136" s="185">
        <f t="shared" si="201"/>
        <v>0.81901181525241673</v>
      </c>
      <c r="O136" s="185">
        <f t="shared" si="201"/>
        <v>0.95486111111111116</v>
      </c>
      <c r="P136" s="185">
        <f t="shared" si="201"/>
        <v>0.72645290581162325</v>
      </c>
      <c r="Q136" s="185">
        <f t="shared" si="201"/>
        <v>0</v>
      </c>
      <c r="R136" s="185">
        <f t="shared" si="201"/>
        <v>0.89790816997763456</v>
      </c>
      <c r="S136" s="186">
        <f t="shared" si="201"/>
        <v>1.0444845886803396</v>
      </c>
    </row>
    <row r="137" spans="2:19" ht="14.25" hidden="1" x14ac:dyDescent="0.2">
      <c r="B137" s="103"/>
      <c r="C137" s="104"/>
      <c r="D137" s="187">
        <v>0.3</v>
      </c>
      <c r="E137" s="188">
        <f>+E136*30%</f>
        <v>0.21654373024236037</v>
      </c>
      <c r="F137" s="189">
        <f t="shared" ref="F137:K137" si="202">+F136*30%</f>
        <v>0.57901311680199874</v>
      </c>
      <c r="G137" s="189">
        <f t="shared" si="202"/>
        <v>1.1304347826086956</v>
      </c>
      <c r="H137" s="189">
        <f t="shared" si="202"/>
        <v>0.42915531335149859</v>
      </c>
      <c r="I137" s="189">
        <f t="shared" si="202"/>
        <v>0.77419354838709675</v>
      </c>
      <c r="J137" s="189">
        <f t="shared" si="202"/>
        <v>0.58536585365853655</v>
      </c>
      <c r="K137" s="189">
        <f t="shared" si="202"/>
        <v>0.25375939849624057</v>
      </c>
      <c r="L137" s="190"/>
      <c r="M137" s="189">
        <f t="shared" ref="M137:P137" si="203">+M136*30%</f>
        <v>0.28076592082616175</v>
      </c>
      <c r="N137" s="189">
        <f t="shared" si="203"/>
        <v>0.24570354457572502</v>
      </c>
      <c r="O137" s="189">
        <f t="shared" si="203"/>
        <v>0.28645833333333331</v>
      </c>
      <c r="P137" s="189">
        <f t="shared" si="203"/>
        <v>0.21793587174348697</v>
      </c>
      <c r="Q137" s="191">
        <v>0</v>
      </c>
    </row>
    <row r="138" spans="2:19" ht="15" hidden="1" x14ac:dyDescent="0.25">
      <c r="B138" s="81">
        <v>5</v>
      </c>
      <c r="C138" s="83" t="s">
        <v>205</v>
      </c>
      <c r="D138" s="83" t="s">
        <v>180</v>
      </c>
      <c r="E138" s="184">
        <f>+IF($D$1="Triwulan I",E139,E30)</f>
        <v>5560000</v>
      </c>
      <c r="F138" s="184">
        <f>+IF($D$1="Triwulan I",F139,F30)</f>
        <v>3550000</v>
      </c>
      <c r="G138" s="184">
        <f t="shared" ref="G138:K138" si="204">+G30</f>
        <v>-60400</v>
      </c>
      <c r="H138" s="184">
        <f t="shared" si="204"/>
        <v>-400</v>
      </c>
      <c r="I138" s="184">
        <f t="shared" si="204"/>
        <v>34000</v>
      </c>
      <c r="J138" s="184">
        <f t="shared" si="204"/>
        <v>23960</v>
      </c>
      <c r="K138" s="184">
        <f t="shared" si="204"/>
        <v>4000</v>
      </c>
      <c r="L138" s="184">
        <f>SUM(E138:K138)</f>
        <v>9111160</v>
      </c>
      <c r="M138" s="184">
        <f>+IF($D$1="Triwulan I",M139,M30)</f>
        <v>4110</v>
      </c>
      <c r="N138" s="184">
        <f t="shared" ref="N138:Q139" si="205">+N30</f>
        <v>2825</v>
      </c>
      <c r="O138" s="184">
        <f t="shared" si="205"/>
        <v>1704</v>
      </c>
      <c r="P138" s="184">
        <f t="shared" si="205"/>
        <v>926</v>
      </c>
      <c r="Q138" s="184">
        <f t="shared" si="205"/>
        <v>0</v>
      </c>
      <c r="R138" s="184">
        <f t="shared" ref="R138:R139" si="206">+SUM(M138:Q138)</f>
        <v>9565</v>
      </c>
      <c r="S138" s="184">
        <f t="shared" ref="S138:S139" si="207">+R138+L138</f>
        <v>9120725</v>
      </c>
    </row>
    <row r="139" spans="2:19" ht="15" hidden="1" x14ac:dyDescent="0.25">
      <c r="B139" s="86"/>
      <c r="C139" s="87"/>
      <c r="D139" s="87" t="s">
        <v>182</v>
      </c>
      <c r="E139" s="184">
        <f t="shared" ref="E139:K139" si="208">+E31</f>
        <v>5200000</v>
      </c>
      <c r="F139" s="184">
        <f t="shared" si="208"/>
        <v>3175000</v>
      </c>
      <c r="G139" s="184">
        <f t="shared" si="208"/>
        <v>200000</v>
      </c>
      <c r="H139" s="184">
        <f t="shared" si="208"/>
        <v>190000</v>
      </c>
      <c r="I139" s="184">
        <f t="shared" si="208"/>
        <v>130000</v>
      </c>
      <c r="J139" s="184">
        <f t="shared" si="208"/>
        <v>57000</v>
      </c>
      <c r="K139" s="184">
        <f t="shared" si="208"/>
        <v>4000</v>
      </c>
      <c r="L139" s="184">
        <f>SUM(E139:K139)</f>
        <v>8956000</v>
      </c>
      <c r="M139" s="184">
        <f t="shared" ref="M139" si="209">+M31</f>
        <v>6000</v>
      </c>
      <c r="N139" s="184">
        <f t="shared" si="205"/>
        <v>4000</v>
      </c>
      <c r="O139" s="184">
        <f t="shared" si="205"/>
        <v>1700</v>
      </c>
      <c r="P139" s="184">
        <f t="shared" si="205"/>
        <v>850</v>
      </c>
      <c r="Q139" s="184">
        <f t="shared" si="205"/>
        <v>0</v>
      </c>
      <c r="R139" s="184">
        <f t="shared" si="206"/>
        <v>12550</v>
      </c>
      <c r="S139" s="184">
        <f t="shared" si="207"/>
        <v>8968550</v>
      </c>
    </row>
    <row r="140" spans="2:19" ht="15" hidden="1" x14ac:dyDescent="0.25">
      <c r="B140" s="86"/>
      <c r="C140" s="87"/>
      <c r="D140" s="87" t="s">
        <v>184</v>
      </c>
      <c r="E140" s="184">
        <f t="shared" ref="E140:K140" si="210">+E138-E139</f>
        <v>360000</v>
      </c>
      <c r="F140" s="184">
        <f t="shared" si="210"/>
        <v>375000</v>
      </c>
      <c r="G140" s="184">
        <f t="shared" si="210"/>
        <v>-260400</v>
      </c>
      <c r="H140" s="184">
        <f t="shared" si="210"/>
        <v>-190400</v>
      </c>
      <c r="I140" s="184">
        <f t="shared" si="210"/>
        <v>-96000</v>
      </c>
      <c r="J140" s="184">
        <f t="shared" si="210"/>
        <v>-33040</v>
      </c>
      <c r="K140" s="184">
        <f t="shared" si="210"/>
        <v>0</v>
      </c>
      <c r="L140" s="184">
        <f>+SUM(E140:K140)</f>
        <v>155160</v>
      </c>
      <c r="M140" s="184">
        <f t="shared" ref="M140" si="211">+M138-M139</f>
        <v>-1890</v>
      </c>
      <c r="N140" s="184">
        <f>+N138-N139</f>
        <v>-1175</v>
      </c>
      <c r="O140" s="184">
        <f>+O138-O139</f>
        <v>4</v>
      </c>
      <c r="P140" s="184">
        <f>+P138-P139</f>
        <v>76</v>
      </c>
      <c r="Q140" s="184">
        <f>+Q138-Q139</f>
        <v>0</v>
      </c>
      <c r="R140" s="184">
        <f>+SUM(M140:Q140)</f>
        <v>-2985</v>
      </c>
      <c r="S140" s="184">
        <f>+R140+L140</f>
        <v>152175</v>
      </c>
    </row>
    <row r="141" spans="2:19" ht="15" hidden="1" x14ac:dyDescent="0.25">
      <c r="B141" s="112"/>
      <c r="C141" s="108"/>
      <c r="D141" s="109" t="s">
        <v>186</v>
      </c>
      <c r="E141" s="185">
        <f t="shared" ref="E141:S141" si="212">IF(E138=0,"-",E139/E138)</f>
        <v>0.93525179856115104</v>
      </c>
      <c r="F141" s="185">
        <f t="shared" si="212"/>
        <v>0.89436619718309862</v>
      </c>
      <c r="G141" s="185">
        <f t="shared" si="212"/>
        <v>-3.3112582781456954</v>
      </c>
      <c r="H141" s="185">
        <f t="shared" si="212"/>
        <v>-475</v>
      </c>
      <c r="I141" s="185">
        <f t="shared" si="212"/>
        <v>3.8235294117647061</v>
      </c>
      <c r="J141" s="185">
        <f t="shared" si="212"/>
        <v>2.378964941569282</v>
      </c>
      <c r="K141" s="185">
        <f t="shared" si="212"/>
        <v>1</v>
      </c>
      <c r="L141" s="185">
        <f t="shared" si="212"/>
        <v>0.98297033528112776</v>
      </c>
      <c r="M141" s="185">
        <f t="shared" si="212"/>
        <v>1.4598540145985401</v>
      </c>
      <c r="N141" s="185">
        <f t="shared" si="212"/>
        <v>1.415929203539823</v>
      </c>
      <c r="O141" s="185">
        <f t="shared" si="212"/>
        <v>0.99765258215962438</v>
      </c>
      <c r="P141" s="185">
        <f t="shared" si="212"/>
        <v>0.91792656587472998</v>
      </c>
      <c r="Q141" s="185" t="str">
        <f t="shared" si="212"/>
        <v>-</v>
      </c>
      <c r="R141" s="185">
        <f t="shared" si="212"/>
        <v>1.3120752744380555</v>
      </c>
      <c r="S141" s="186">
        <f t="shared" si="212"/>
        <v>0.9833154710837132</v>
      </c>
    </row>
    <row r="142" spans="2:19" ht="14.25" hidden="1" x14ac:dyDescent="0.2">
      <c r="B142" s="96"/>
      <c r="C142" s="97"/>
      <c r="D142" s="187">
        <v>0.3</v>
      </c>
      <c r="E142" s="188">
        <f>+E141*30%</f>
        <v>0.2805755395683453</v>
      </c>
      <c r="F142" s="189">
        <f t="shared" ref="F142:K142" si="213">+F141*30%</f>
        <v>0.26830985915492955</v>
      </c>
      <c r="G142" s="189">
        <f t="shared" si="213"/>
        <v>-0.99337748344370858</v>
      </c>
      <c r="H142" s="189">
        <f t="shared" si="213"/>
        <v>-142.5</v>
      </c>
      <c r="I142" s="189">
        <f t="shared" si="213"/>
        <v>1.1470588235294117</v>
      </c>
      <c r="J142" s="189">
        <f t="shared" si="213"/>
        <v>0.71368948247078456</v>
      </c>
      <c r="K142" s="189">
        <f t="shared" si="213"/>
        <v>0.3</v>
      </c>
      <c r="L142" s="190"/>
      <c r="M142" s="189">
        <f t="shared" ref="M142:P142" si="214">+M141*30%</f>
        <v>0.43795620437956201</v>
      </c>
      <c r="N142" s="189">
        <f t="shared" si="214"/>
        <v>0.4247787610619469</v>
      </c>
      <c r="O142" s="189">
        <f t="shared" si="214"/>
        <v>0.29929577464788731</v>
      </c>
      <c r="P142" s="189">
        <f t="shared" si="214"/>
        <v>0.27537796976241896</v>
      </c>
      <c r="Q142" s="191">
        <v>0</v>
      </c>
    </row>
    <row r="143" spans="2:19" ht="15" hidden="1" x14ac:dyDescent="0.25">
      <c r="B143" s="81">
        <v>6</v>
      </c>
      <c r="C143" s="83" t="s">
        <v>206</v>
      </c>
      <c r="D143" s="83" t="s">
        <v>180</v>
      </c>
      <c r="E143" s="184">
        <f>+IF($D$1="Triwulan I",E144,E35)</f>
        <v>1626000</v>
      </c>
      <c r="F143" s="184">
        <f t="shared" ref="F143:K144" si="215">+F35</f>
        <v>-1528000</v>
      </c>
      <c r="G143" s="184">
        <f t="shared" si="215"/>
        <v>476000</v>
      </c>
      <c r="H143" s="184">
        <f t="shared" si="215"/>
        <v>386400</v>
      </c>
      <c r="I143" s="184">
        <f t="shared" si="215"/>
        <v>246700</v>
      </c>
      <c r="J143" s="184">
        <f t="shared" si="215"/>
        <v>239000</v>
      </c>
      <c r="K143" s="184">
        <f t="shared" si="215"/>
        <v>14480</v>
      </c>
      <c r="L143" s="184">
        <f>SUM(E143:K143)</f>
        <v>1460580</v>
      </c>
      <c r="M143" s="184">
        <f t="shared" ref="M143:Q144" si="216">+M35</f>
        <v>-28415</v>
      </c>
      <c r="N143" s="184">
        <f t="shared" si="216"/>
        <v>767.5</v>
      </c>
      <c r="O143" s="184">
        <f t="shared" si="216"/>
        <v>1808</v>
      </c>
      <c r="P143" s="184">
        <f t="shared" si="216"/>
        <v>1510</v>
      </c>
      <c r="Q143" s="184">
        <f t="shared" si="216"/>
        <v>93</v>
      </c>
      <c r="R143" s="184">
        <f t="shared" ref="R143:R144" si="217">+SUM(M143:Q143)</f>
        <v>-24236.5</v>
      </c>
      <c r="S143" s="184">
        <f t="shared" ref="S143:S144" si="218">+R143+L143</f>
        <v>1436343.5</v>
      </c>
    </row>
    <row r="144" spans="2:19" ht="15" hidden="1" x14ac:dyDescent="0.25">
      <c r="B144" s="86"/>
      <c r="C144" s="87"/>
      <c r="D144" s="87" t="s">
        <v>182</v>
      </c>
      <c r="E144" s="184">
        <f t="shared" ref="E144" si="219">+E36</f>
        <v>1930000</v>
      </c>
      <c r="F144" s="184">
        <f t="shared" si="215"/>
        <v>-800000</v>
      </c>
      <c r="G144" s="184">
        <f t="shared" si="215"/>
        <v>740000</v>
      </c>
      <c r="H144" s="184">
        <f t="shared" si="215"/>
        <v>510000</v>
      </c>
      <c r="I144" s="184">
        <f t="shared" si="215"/>
        <v>410000</v>
      </c>
      <c r="J144" s="184">
        <f t="shared" si="215"/>
        <v>330000</v>
      </c>
      <c r="K144" s="184">
        <f t="shared" si="215"/>
        <v>9000</v>
      </c>
      <c r="L144" s="184">
        <f>SUM(E144:K144)</f>
        <v>3129000</v>
      </c>
      <c r="M144" s="184">
        <f t="shared" si="216"/>
        <v>-12500</v>
      </c>
      <c r="N144" s="184">
        <f t="shared" si="216"/>
        <v>3000</v>
      </c>
      <c r="O144" s="184">
        <f t="shared" si="216"/>
        <v>2500</v>
      </c>
      <c r="P144" s="184">
        <f t="shared" si="216"/>
        <v>1540</v>
      </c>
      <c r="Q144" s="184">
        <f t="shared" si="216"/>
        <v>160</v>
      </c>
      <c r="R144" s="184">
        <f t="shared" si="217"/>
        <v>-5300</v>
      </c>
      <c r="S144" s="184">
        <f t="shared" si="218"/>
        <v>3123700</v>
      </c>
    </row>
    <row r="145" spans="2:19" ht="15" hidden="1" x14ac:dyDescent="0.25">
      <c r="B145" s="86"/>
      <c r="C145" s="87"/>
      <c r="D145" s="87" t="s">
        <v>184</v>
      </c>
      <c r="E145" s="184">
        <f t="shared" ref="E145:K145" si="220">+E143-E144</f>
        <v>-304000</v>
      </c>
      <c r="F145" s="184">
        <f t="shared" si="220"/>
        <v>-728000</v>
      </c>
      <c r="G145" s="184">
        <f t="shared" si="220"/>
        <v>-264000</v>
      </c>
      <c r="H145" s="184">
        <f t="shared" si="220"/>
        <v>-123600</v>
      </c>
      <c r="I145" s="184">
        <f t="shared" si="220"/>
        <v>-163300</v>
      </c>
      <c r="J145" s="184">
        <f t="shared" si="220"/>
        <v>-91000</v>
      </c>
      <c r="K145" s="184">
        <f t="shared" si="220"/>
        <v>5480</v>
      </c>
      <c r="L145" s="184">
        <f>+SUM(E145:K145)</f>
        <v>-1668420</v>
      </c>
      <c r="M145" s="184">
        <f>+M143-M144</f>
        <v>-15915</v>
      </c>
      <c r="N145" s="184">
        <f>+N143-N144</f>
        <v>-2232.5</v>
      </c>
      <c r="O145" s="184">
        <f>+O143-O144</f>
        <v>-692</v>
      </c>
      <c r="P145" s="184">
        <f>+P143-P144</f>
        <v>-30</v>
      </c>
      <c r="Q145" s="184">
        <f>+Q143-Q144</f>
        <v>-67</v>
      </c>
      <c r="R145" s="184">
        <f>+SUM(M145:Q145)</f>
        <v>-18936.5</v>
      </c>
      <c r="S145" s="184">
        <f>+R145+L145</f>
        <v>-1687356.5</v>
      </c>
    </row>
    <row r="146" spans="2:19" ht="15" hidden="1" x14ac:dyDescent="0.25">
      <c r="B146" s="86"/>
      <c r="C146" s="108"/>
      <c r="D146" s="109" t="s">
        <v>186</v>
      </c>
      <c r="E146" s="185">
        <f t="shared" ref="E146:S146" si="221">IF(E143=0,"-",E144/E143)</f>
        <v>1.1869618696186961</v>
      </c>
      <c r="F146" s="185">
        <f t="shared" si="221"/>
        <v>0.52356020942408377</v>
      </c>
      <c r="G146" s="185">
        <f t="shared" si="221"/>
        <v>1.5546218487394958</v>
      </c>
      <c r="H146" s="185">
        <f t="shared" si="221"/>
        <v>1.3198757763975155</v>
      </c>
      <c r="I146" s="185">
        <f t="shared" si="221"/>
        <v>1.6619375760032429</v>
      </c>
      <c r="J146" s="185">
        <f t="shared" si="221"/>
        <v>1.3807531380753137</v>
      </c>
      <c r="K146" s="185">
        <f t="shared" si="221"/>
        <v>0.62154696132596687</v>
      </c>
      <c r="L146" s="185">
        <f t="shared" si="221"/>
        <v>2.1422996343918168</v>
      </c>
      <c r="M146" s="185">
        <f t="shared" si="221"/>
        <v>0.43990849903220131</v>
      </c>
      <c r="N146" s="185">
        <f t="shared" si="221"/>
        <v>3.9087947882736156</v>
      </c>
      <c r="O146" s="185">
        <f t="shared" si="221"/>
        <v>1.3827433628318584</v>
      </c>
      <c r="P146" s="185">
        <f t="shared" si="221"/>
        <v>1.0198675496688743</v>
      </c>
      <c r="Q146" s="185">
        <f t="shared" si="221"/>
        <v>1.7204301075268817</v>
      </c>
      <c r="R146" s="185">
        <f t="shared" si="221"/>
        <v>0.21867843954366348</v>
      </c>
      <c r="S146" s="186">
        <f t="shared" si="221"/>
        <v>2.1747583360108496</v>
      </c>
    </row>
    <row r="147" spans="2:19" ht="14.25" hidden="1" x14ac:dyDescent="0.2">
      <c r="B147" s="103"/>
      <c r="C147" s="104"/>
      <c r="D147" s="187">
        <v>0.3</v>
      </c>
      <c r="E147" s="188">
        <f>+E146*30%</f>
        <v>0.35608856088560881</v>
      </c>
      <c r="F147" s="189">
        <f t="shared" ref="F147:K147" si="222">+F146*30%</f>
        <v>0.15706806282722513</v>
      </c>
      <c r="G147" s="189">
        <f t="shared" si="222"/>
        <v>0.46638655462184875</v>
      </c>
      <c r="H147" s="189">
        <f t="shared" si="222"/>
        <v>0.39596273291925466</v>
      </c>
      <c r="I147" s="189">
        <f t="shared" si="222"/>
        <v>0.49858127280097286</v>
      </c>
      <c r="J147" s="189">
        <f t="shared" si="222"/>
        <v>0.41422594142259411</v>
      </c>
      <c r="K147" s="189">
        <f t="shared" si="222"/>
        <v>0.18646408839779005</v>
      </c>
      <c r="L147" s="190"/>
      <c r="M147" s="189">
        <f t="shared" ref="M147:P147" si="223">+M146*30%</f>
        <v>0.13197254970966038</v>
      </c>
      <c r="N147" s="189">
        <f t="shared" si="223"/>
        <v>1.1726384364820845</v>
      </c>
      <c r="O147" s="189">
        <f t="shared" si="223"/>
        <v>0.41482300884955753</v>
      </c>
      <c r="P147" s="189">
        <f t="shared" si="223"/>
        <v>0.30596026490066225</v>
      </c>
      <c r="Q147" s="191">
        <v>0</v>
      </c>
    </row>
    <row r="148" spans="2:19" ht="15" hidden="1" x14ac:dyDescent="0.25">
      <c r="B148" s="81">
        <v>7</v>
      </c>
      <c r="C148" s="83" t="s">
        <v>207</v>
      </c>
      <c r="D148" s="83" t="s">
        <v>180</v>
      </c>
      <c r="E148" s="184">
        <f>+IF($D$1="Triwulan I",E149,E40)</f>
        <v>5514000</v>
      </c>
      <c r="F148" s="184">
        <f t="shared" ref="F148:K149" si="224">+F40</f>
        <v>561000</v>
      </c>
      <c r="G148" s="184">
        <f t="shared" si="224"/>
        <v>125600</v>
      </c>
      <c r="H148" s="184">
        <f t="shared" si="224"/>
        <v>135200</v>
      </c>
      <c r="I148" s="184">
        <f t="shared" si="224"/>
        <v>132700</v>
      </c>
      <c r="J148" s="184">
        <f t="shared" si="224"/>
        <v>68240</v>
      </c>
      <c r="K148" s="184">
        <f t="shared" si="224"/>
        <v>7280</v>
      </c>
      <c r="L148" s="184">
        <f>SUM(E148:K148)</f>
        <v>6544020</v>
      </c>
      <c r="M148" s="184">
        <f>+IF($D$1="Triwulan I",M149,M40)</f>
        <v>10490</v>
      </c>
      <c r="N148" s="184">
        <f t="shared" ref="N148:Q149" si="225">+N40</f>
        <v>4892.5</v>
      </c>
      <c r="O148" s="184">
        <f t="shared" si="225"/>
        <v>1134</v>
      </c>
      <c r="P148" s="184">
        <f t="shared" si="225"/>
        <v>591</v>
      </c>
      <c r="Q148" s="184">
        <f t="shared" si="225"/>
        <v>0</v>
      </c>
      <c r="R148" s="184">
        <f t="shared" ref="R148:R149" si="226">+SUM(M148:Q148)</f>
        <v>17107.5</v>
      </c>
      <c r="S148" s="184">
        <f t="shared" ref="S148:S149" si="227">+R148+L148</f>
        <v>6561127.5</v>
      </c>
    </row>
    <row r="149" spans="2:19" ht="15" hidden="1" x14ac:dyDescent="0.25">
      <c r="B149" s="86"/>
      <c r="C149" s="87"/>
      <c r="D149" s="87" t="s">
        <v>182</v>
      </c>
      <c r="E149" s="184">
        <f t="shared" ref="E149" si="228">+E41</f>
        <v>5990000</v>
      </c>
      <c r="F149" s="184">
        <f t="shared" si="224"/>
        <v>1905000</v>
      </c>
      <c r="G149" s="184">
        <f t="shared" si="224"/>
        <v>360000</v>
      </c>
      <c r="H149" s="184">
        <f t="shared" si="224"/>
        <v>380000</v>
      </c>
      <c r="I149" s="184">
        <f t="shared" si="224"/>
        <v>290000</v>
      </c>
      <c r="J149" s="184">
        <f t="shared" si="224"/>
        <v>116000</v>
      </c>
      <c r="K149" s="184">
        <f t="shared" si="224"/>
        <v>7000</v>
      </c>
      <c r="L149" s="184">
        <f>SUM(E149:K149)</f>
        <v>9048000</v>
      </c>
      <c r="M149" s="184">
        <f t="shared" ref="M149" si="229">+M41</f>
        <v>10300</v>
      </c>
      <c r="N149" s="184">
        <f t="shared" si="225"/>
        <v>4375</v>
      </c>
      <c r="O149" s="184">
        <f t="shared" si="225"/>
        <v>1350</v>
      </c>
      <c r="P149" s="184">
        <f t="shared" si="225"/>
        <v>665</v>
      </c>
      <c r="Q149" s="184">
        <f t="shared" si="225"/>
        <v>0</v>
      </c>
      <c r="R149" s="184">
        <f t="shared" si="226"/>
        <v>16690</v>
      </c>
      <c r="S149" s="184">
        <f t="shared" si="227"/>
        <v>9064690</v>
      </c>
    </row>
    <row r="150" spans="2:19" ht="15" hidden="1" x14ac:dyDescent="0.25">
      <c r="B150" s="86"/>
      <c r="C150" s="87"/>
      <c r="D150" s="87" t="s">
        <v>184</v>
      </c>
      <c r="E150" s="184">
        <f t="shared" ref="E150:K150" si="230">+E148-E149</f>
        <v>-476000</v>
      </c>
      <c r="F150" s="184">
        <f t="shared" si="230"/>
        <v>-1344000</v>
      </c>
      <c r="G150" s="184">
        <f t="shared" si="230"/>
        <v>-234400</v>
      </c>
      <c r="H150" s="184">
        <f t="shared" si="230"/>
        <v>-244800</v>
      </c>
      <c r="I150" s="184">
        <f t="shared" si="230"/>
        <v>-157300</v>
      </c>
      <c r="J150" s="184">
        <f t="shared" si="230"/>
        <v>-47760</v>
      </c>
      <c r="K150" s="184">
        <f t="shared" si="230"/>
        <v>280</v>
      </c>
      <c r="L150" s="184">
        <f>+SUM(E150:K150)</f>
        <v>-2503980</v>
      </c>
      <c r="M150" s="184">
        <f t="shared" ref="M150" si="231">+M148-M149</f>
        <v>190</v>
      </c>
      <c r="N150" s="184">
        <f>+N148-N149</f>
        <v>517.5</v>
      </c>
      <c r="O150" s="184">
        <f>+O148-O149</f>
        <v>-216</v>
      </c>
      <c r="P150" s="184">
        <f>+P148-P149</f>
        <v>-74</v>
      </c>
      <c r="Q150" s="184">
        <f>+Q148-Q149</f>
        <v>0</v>
      </c>
      <c r="R150" s="184">
        <f>+SUM(M150:Q150)</f>
        <v>417.5</v>
      </c>
      <c r="S150" s="184">
        <f>+R150+L150</f>
        <v>-2503562.5</v>
      </c>
    </row>
    <row r="151" spans="2:19" ht="15" hidden="1" x14ac:dyDescent="0.25">
      <c r="B151" s="86"/>
      <c r="C151" s="87"/>
      <c r="D151" s="92" t="s">
        <v>186</v>
      </c>
      <c r="E151" s="185">
        <f t="shared" ref="E151:S151" si="232">IF(E148=0,"-",E149/E148)</f>
        <v>1.0863257163583606</v>
      </c>
      <c r="F151" s="185">
        <f t="shared" si="232"/>
        <v>3.3957219251336896</v>
      </c>
      <c r="G151" s="185">
        <f t="shared" si="232"/>
        <v>2.8662420382165603</v>
      </c>
      <c r="H151" s="185">
        <f t="shared" si="232"/>
        <v>2.8106508875739644</v>
      </c>
      <c r="I151" s="185">
        <f t="shared" si="232"/>
        <v>2.1853805576488319</v>
      </c>
      <c r="J151" s="185">
        <f t="shared" si="232"/>
        <v>1.6998827667057443</v>
      </c>
      <c r="K151" s="185">
        <f t="shared" si="232"/>
        <v>0.96153846153846156</v>
      </c>
      <c r="L151" s="185">
        <f t="shared" si="232"/>
        <v>1.3826363611358157</v>
      </c>
      <c r="M151" s="185">
        <f t="shared" si="232"/>
        <v>0.98188751191611057</v>
      </c>
      <c r="N151" s="185">
        <f t="shared" si="232"/>
        <v>0.89422585590189063</v>
      </c>
      <c r="O151" s="185">
        <f t="shared" si="232"/>
        <v>1.1904761904761905</v>
      </c>
      <c r="P151" s="185">
        <f t="shared" si="232"/>
        <v>1.1252115059221659</v>
      </c>
      <c r="Q151" s="185" t="str">
        <f t="shared" si="232"/>
        <v>-</v>
      </c>
      <c r="R151" s="185">
        <f t="shared" si="232"/>
        <v>0.97559549905012422</v>
      </c>
      <c r="S151" s="186">
        <f t="shared" si="232"/>
        <v>1.3815750417896924</v>
      </c>
    </row>
    <row r="152" spans="2:19" ht="14.25" hidden="1" x14ac:dyDescent="0.2">
      <c r="B152" s="96"/>
      <c r="C152" s="97"/>
      <c r="D152" s="187">
        <v>0.3</v>
      </c>
      <c r="E152" s="188">
        <f>+E151*30%</f>
        <v>0.32589771490750818</v>
      </c>
      <c r="F152" s="189">
        <f t="shared" ref="F152:K152" si="233">+F151*30%</f>
        <v>1.0187165775401068</v>
      </c>
      <c r="G152" s="189">
        <f t="shared" si="233"/>
        <v>0.85987261146496807</v>
      </c>
      <c r="H152" s="189">
        <f t="shared" si="233"/>
        <v>0.84319526627218933</v>
      </c>
      <c r="I152" s="189">
        <f t="shared" si="233"/>
        <v>0.6556141672946495</v>
      </c>
      <c r="J152" s="189">
        <f t="shared" si="233"/>
        <v>0.50996483001172332</v>
      </c>
      <c r="K152" s="189">
        <f t="shared" si="233"/>
        <v>0.28846153846153844</v>
      </c>
      <c r="L152" s="190"/>
      <c r="M152" s="189">
        <f t="shared" ref="M152:P152" si="234">+M151*30%</f>
        <v>0.29456625357483318</v>
      </c>
      <c r="N152" s="189">
        <f t="shared" si="234"/>
        <v>0.26826775677056719</v>
      </c>
      <c r="O152" s="189">
        <f t="shared" si="234"/>
        <v>0.35714285714285715</v>
      </c>
      <c r="P152" s="189">
        <f t="shared" si="234"/>
        <v>0.33756345177664976</v>
      </c>
      <c r="Q152" s="191">
        <v>0</v>
      </c>
    </row>
    <row r="153" spans="2:19" ht="15" hidden="1" x14ac:dyDescent="0.25">
      <c r="B153" s="81">
        <v>8</v>
      </c>
      <c r="C153" s="83" t="s">
        <v>208</v>
      </c>
      <c r="D153" s="83" t="s">
        <v>180</v>
      </c>
      <c r="E153" s="184">
        <f>+IF($D$1="Triwulan I",E154,E45)</f>
        <v>2434000</v>
      </c>
      <c r="F153" s="184">
        <f>+IF($D$1="Triwulan I",F154,F45)</f>
        <v>-3362000</v>
      </c>
      <c r="G153" s="184">
        <f t="shared" ref="G153:K154" si="235">+G45</f>
        <v>70000</v>
      </c>
      <c r="H153" s="184">
        <f t="shared" si="235"/>
        <v>59200</v>
      </c>
      <c r="I153" s="184">
        <f t="shared" si="235"/>
        <v>208400</v>
      </c>
      <c r="J153" s="184">
        <f t="shared" si="235"/>
        <v>131800</v>
      </c>
      <c r="K153" s="184">
        <f t="shared" si="235"/>
        <v>18000</v>
      </c>
      <c r="L153" s="184">
        <f>SUM(E153:K153)</f>
        <v>-440600</v>
      </c>
      <c r="M153" s="184">
        <f t="shared" ref="M153:Q154" si="236">+M45</f>
        <v>-7465</v>
      </c>
      <c r="N153" s="184">
        <f t="shared" si="236"/>
        <v>6032.5</v>
      </c>
      <c r="O153" s="184">
        <f t="shared" si="236"/>
        <v>4930</v>
      </c>
      <c r="P153" s="184">
        <f t="shared" si="236"/>
        <v>1535</v>
      </c>
      <c r="Q153" s="184">
        <f t="shared" si="236"/>
        <v>0</v>
      </c>
      <c r="R153" s="184">
        <f t="shared" ref="R153:R154" si="237">+SUM(M153:Q153)</f>
        <v>5032.5</v>
      </c>
      <c r="S153" s="184">
        <f t="shared" ref="S153:S154" si="238">+R153+L153</f>
        <v>-435567.5</v>
      </c>
    </row>
    <row r="154" spans="2:19" ht="15" hidden="1" x14ac:dyDescent="0.25">
      <c r="B154" s="86"/>
      <c r="C154" s="87"/>
      <c r="D154" s="87" t="s">
        <v>182</v>
      </c>
      <c r="E154" s="184">
        <f t="shared" ref="E154:F154" si="239">+E46</f>
        <v>4386000</v>
      </c>
      <c r="F154" s="184">
        <f t="shared" si="239"/>
        <v>640000</v>
      </c>
      <c r="G154" s="184">
        <f t="shared" si="235"/>
        <v>1360000</v>
      </c>
      <c r="H154" s="184">
        <f t="shared" si="235"/>
        <v>760000</v>
      </c>
      <c r="I154" s="184">
        <f t="shared" si="235"/>
        <v>763700</v>
      </c>
      <c r="J154" s="184">
        <f t="shared" si="235"/>
        <v>296000</v>
      </c>
      <c r="K154" s="184">
        <f t="shared" si="235"/>
        <v>22000</v>
      </c>
      <c r="L154" s="184">
        <f>SUM(E154:K154)</f>
        <v>8227700</v>
      </c>
      <c r="M154" s="184">
        <f t="shared" si="236"/>
        <v>2900</v>
      </c>
      <c r="N154" s="184">
        <f t="shared" si="236"/>
        <v>7550</v>
      </c>
      <c r="O154" s="184">
        <f t="shared" si="236"/>
        <v>5500</v>
      </c>
      <c r="P154" s="184">
        <f t="shared" si="236"/>
        <v>1850</v>
      </c>
      <c r="Q154" s="184">
        <f t="shared" si="236"/>
        <v>0</v>
      </c>
      <c r="R154" s="184">
        <f t="shared" si="237"/>
        <v>17800</v>
      </c>
      <c r="S154" s="184">
        <f t="shared" si="238"/>
        <v>8245500</v>
      </c>
    </row>
    <row r="155" spans="2:19" ht="15" hidden="1" x14ac:dyDescent="0.25">
      <c r="B155" s="86"/>
      <c r="C155" s="87"/>
      <c r="D155" s="87" t="s">
        <v>184</v>
      </c>
      <c r="E155" s="184">
        <f t="shared" ref="E155:K155" si="240">+E153-E154</f>
        <v>-1952000</v>
      </c>
      <c r="F155" s="184">
        <f t="shared" si="240"/>
        <v>-4002000</v>
      </c>
      <c r="G155" s="184">
        <f t="shared" si="240"/>
        <v>-1290000</v>
      </c>
      <c r="H155" s="184">
        <f t="shared" si="240"/>
        <v>-700800</v>
      </c>
      <c r="I155" s="184">
        <f t="shared" si="240"/>
        <v>-555300</v>
      </c>
      <c r="J155" s="184">
        <f t="shared" si="240"/>
        <v>-164200</v>
      </c>
      <c r="K155" s="184">
        <f t="shared" si="240"/>
        <v>-4000</v>
      </c>
      <c r="L155" s="184">
        <f>+SUM(E155:K155)</f>
        <v>-8668300</v>
      </c>
      <c r="M155" s="184">
        <f>+M153-M154</f>
        <v>-10365</v>
      </c>
      <c r="N155" s="184">
        <f>+N153-N154</f>
        <v>-1517.5</v>
      </c>
      <c r="O155" s="184">
        <f>+O153-O154</f>
        <v>-570</v>
      </c>
      <c r="P155" s="184">
        <f>+P153-P154</f>
        <v>-315</v>
      </c>
      <c r="Q155" s="184">
        <f>+Q153-Q154</f>
        <v>0</v>
      </c>
      <c r="R155" s="184">
        <f>+SUM(M155:Q155)</f>
        <v>-12767.5</v>
      </c>
      <c r="S155" s="184">
        <f>+R155+L155</f>
        <v>-8681067.5</v>
      </c>
    </row>
    <row r="156" spans="2:19" ht="15" hidden="1" x14ac:dyDescent="0.25">
      <c r="B156" s="86"/>
      <c r="C156" s="108"/>
      <c r="D156" s="109" t="s">
        <v>186</v>
      </c>
      <c r="E156" s="185">
        <f t="shared" ref="E156:S156" si="241">IF(E153=0,"-",E154/E153)</f>
        <v>1.8019720624486442</v>
      </c>
      <c r="F156" s="185">
        <f t="shared" si="241"/>
        <v>-0.19036287923854847</v>
      </c>
      <c r="G156" s="185">
        <f t="shared" si="241"/>
        <v>19.428571428571427</v>
      </c>
      <c r="H156" s="185">
        <f t="shared" si="241"/>
        <v>12.837837837837839</v>
      </c>
      <c r="I156" s="185">
        <f t="shared" si="241"/>
        <v>3.6645873320537428</v>
      </c>
      <c r="J156" s="185">
        <f t="shared" si="241"/>
        <v>2.245827010622155</v>
      </c>
      <c r="K156" s="185">
        <f t="shared" si="241"/>
        <v>1.2222222222222223</v>
      </c>
      <c r="L156" s="185">
        <f t="shared" si="241"/>
        <v>-18.673853835678621</v>
      </c>
      <c r="M156" s="185">
        <f t="shared" si="241"/>
        <v>-0.3884795713328868</v>
      </c>
      <c r="N156" s="185">
        <f t="shared" si="241"/>
        <v>1.2515540820555324</v>
      </c>
      <c r="O156" s="185">
        <f t="shared" si="241"/>
        <v>1.1156186612576064</v>
      </c>
      <c r="P156" s="185">
        <f t="shared" si="241"/>
        <v>1.2052117263843649</v>
      </c>
      <c r="Q156" s="185" t="str">
        <f t="shared" si="241"/>
        <v>-</v>
      </c>
      <c r="R156" s="185">
        <f t="shared" si="241"/>
        <v>3.5370094386487829</v>
      </c>
      <c r="S156" s="186">
        <f t="shared" si="241"/>
        <v>-18.930475758636721</v>
      </c>
    </row>
    <row r="157" spans="2:19" ht="14.25" hidden="1" x14ac:dyDescent="0.2">
      <c r="B157" s="103"/>
      <c r="C157" s="104"/>
      <c r="D157" s="187">
        <v>0.3</v>
      </c>
      <c r="E157" s="188">
        <f>+E156*30%</f>
        <v>0.54059161873459327</v>
      </c>
      <c r="F157" s="189">
        <f t="shared" ref="F157:K157" si="242">+F156*30%</f>
        <v>-5.7108863771564537E-2</v>
      </c>
      <c r="G157" s="189">
        <f t="shared" si="242"/>
        <v>5.8285714285714283</v>
      </c>
      <c r="H157" s="189">
        <f t="shared" si="242"/>
        <v>3.8513513513513513</v>
      </c>
      <c r="I157" s="189">
        <f t="shared" si="242"/>
        <v>1.0993761996161229</v>
      </c>
      <c r="J157" s="189">
        <f t="shared" si="242"/>
        <v>0.67374810318664646</v>
      </c>
      <c r="K157" s="189">
        <f t="shared" si="242"/>
        <v>0.3666666666666667</v>
      </c>
      <c r="L157" s="190"/>
      <c r="M157" s="189">
        <f t="shared" ref="M157:P157" si="243">+M156*30%</f>
        <v>-0.11654387139986604</v>
      </c>
      <c r="N157" s="189">
        <f t="shared" si="243"/>
        <v>0.37546622461665974</v>
      </c>
      <c r="O157" s="189">
        <f t="shared" si="243"/>
        <v>0.3346855983772819</v>
      </c>
      <c r="P157" s="189">
        <f t="shared" si="243"/>
        <v>0.36156351791530944</v>
      </c>
      <c r="Q157" s="191">
        <v>0</v>
      </c>
    </row>
    <row r="158" spans="2:19" ht="15" hidden="1" x14ac:dyDescent="0.25">
      <c r="B158" s="81">
        <v>9</v>
      </c>
      <c r="C158" s="83" t="s">
        <v>209</v>
      </c>
      <c r="D158" s="83" t="s">
        <v>180</v>
      </c>
      <c r="E158" s="184">
        <f>+IF($D$1="Triwulan I",E159,E50)</f>
        <v>16234000</v>
      </c>
      <c r="F158" s="184">
        <f t="shared" ref="F158:K159" si="244">+F50</f>
        <v>2884000</v>
      </c>
      <c r="G158" s="184">
        <f t="shared" si="244"/>
        <v>-723200</v>
      </c>
      <c r="H158" s="184">
        <f t="shared" si="244"/>
        <v>274200</v>
      </c>
      <c r="I158" s="184">
        <f t="shared" si="244"/>
        <v>471900</v>
      </c>
      <c r="J158" s="184">
        <f t="shared" si="244"/>
        <v>291920</v>
      </c>
      <c r="K158" s="184">
        <f t="shared" si="244"/>
        <v>14860</v>
      </c>
      <c r="L158" s="184">
        <f>SUM(E158:K158)</f>
        <v>19447680</v>
      </c>
      <c r="M158" s="184">
        <f>+IF($D$1="Triwulan I",M159,M50)</f>
        <v>20035</v>
      </c>
      <c r="N158" s="184">
        <f t="shared" ref="N158:Q159" si="245">+N50</f>
        <v>20002.5</v>
      </c>
      <c r="O158" s="184">
        <f t="shared" si="245"/>
        <v>5586</v>
      </c>
      <c r="P158" s="184">
        <f t="shared" si="245"/>
        <v>2511</v>
      </c>
      <c r="Q158" s="184">
        <f t="shared" si="245"/>
        <v>0</v>
      </c>
      <c r="R158" s="184">
        <f t="shared" ref="R158:R159" si="246">+SUM(M158:Q158)</f>
        <v>48134.5</v>
      </c>
      <c r="S158" s="184">
        <f t="shared" ref="S158:S159" si="247">+R158+L158</f>
        <v>19495814.5</v>
      </c>
    </row>
    <row r="159" spans="2:19" ht="15" hidden="1" x14ac:dyDescent="0.25">
      <c r="B159" s="86"/>
      <c r="C159" s="87"/>
      <c r="D159" s="87" t="s">
        <v>182</v>
      </c>
      <c r="E159" s="184">
        <f t="shared" ref="E159" si="248">+E51</f>
        <v>12700000</v>
      </c>
      <c r="F159" s="184">
        <f t="shared" si="244"/>
        <v>4010000</v>
      </c>
      <c r="G159" s="184">
        <f t="shared" si="244"/>
        <v>760000</v>
      </c>
      <c r="H159" s="184">
        <f t="shared" si="244"/>
        <v>640000</v>
      </c>
      <c r="I159" s="184">
        <f t="shared" si="244"/>
        <v>870000</v>
      </c>
      <c r="J159" s="184">
        <f t="shared" si="244"/>
        <v>411600</v>
      </c>
      <c r="K159" s="184">
        <f t="shared" si="244"/>
        <v>17000</v>
      </c>
      <c r="L159" s="184">
        <f>SUM(E159:K159)</f>
        <v>19408600</v>
      </c>
      <c r="M159" s="184">
        <f t="shared" ref="M159" si="249">+M51</f>
        <v>32000</v>
      </c>
      <c r="N159" s="184">
        <f t="shared" si="245"/>
        <v>20375</v>
      </c>
      <c r="O159" s="184">
        <f t="shared" si="245"/>
        <v>6100</v>
      </c>
      <c r="P159" s="184">
        <f t="shared" si="245"/>
        <v>2750</v>
      </c>
      <c r="Q159" s="184">
        <f t="shared" si="245"/>
        <v>0</v>
      </c>
      <c r="R159" s="184">
        <f t="shared" si="246"/>
        <v>61225</v>
      </c>
      <c r="S159" s="184">
        <f t="shared" si="247"/>
        <v>19469825</v>
      </c>
    </row>
    <row r="160" spans="2:19" ht="15" hidden="1" x14ac:dyDescent="0.25">
      <c r="B160" s="86"/>
      <c r="C160" s="87"/>
      <c r="D160" s="87" t="s">
        <v>184</v>
      </c>
      <c r="E160" s="184">
        <f t="shared" ref="E160:K160" si="250">+E158-E159</f>
        <v>3534000</v>
      </c>
      <c r="F160" s="184">
        <f t="shared" si="250"/>
        <v>-1126000</v>
      </c>
      <c r="G160" s="184">
        <f t="shared" si="250"/>
        <v>-1483200</v>
      </c>
      <c r="H160" s="184">
        <f t="shared" si="250"/>
        <v>-365800</v>
      </c>
      <c r="I160" s="184">
        <f t="shared" si="250"/>
        <v>-398100</v>
      </c>
      <c r="J160" s="184">
        <f t="shared" si="250"/>
        <v>-119680</v>
      </c>
      <c r="K160" s="184">
        <f t="shared" si="250"/>
        <v>-2140</v>
      </c>
      <c r="L160" s="184">
        <f>+SUM(E160:K160)</f>
        <v>39080</v>
      </c>
      <c r="M160" s="184">
        <f t="shared" ref="M160" si="251">+M158-M159</f>
        <v>-11965</v>
      </c>
      <c r="N160" s="184">
        <f>+N158-N159</f>
        <v>-372.5</v>
      </c>
      <c r="O160" s="184">
        <f>+O158-O159</f>
        <v>-514</v>
      </c>
      <c r="P160" s="184">
        <f>+P158-P159</f>
        <v>-239</v>
      </c>
      <c r="Q160" s="184">
        <f>+Q158-Q159</f>
        <v>0</v>
      </c>
      <c r="R160" s="184">
        <f>+SUM(M160:Q160)</f>
        <v>-13090.5</v>
      </c>
      <c r="S160" s="184">
        <f>+R160+L160</f>
        <v>25989.5</v>
      </c>
    </row>
    <row r="161" spans="2:19" ht="15" hidden="1" x14ac:dyDescent="0.25">
      <c r="B161" s="86"/>
      <c r="C161" s="108"/>
      <c r="D161" s="109" t="s">
        <v>186</v>
      </c>
      <c r="E161" s="185">
        <f t="shared" ref="E161:S161" si="252">IF(E158=0,"-",E159/E158)</f>
        <v>0.78230873475421958</v>
      </c>
      <c r="F161" s="185">
        <f t="shared" si="252"/>
        <v>1.3904299583911235</v>
      </c>
      <c r="G161" s="185">
        <f t="shared" si="252"/>
        <v>-1.0508849557522124</v>
      </c>
      <c r="H161" s="185">
        <f t="shared" si="252"/>
        <v>2.3340627279358133</v>
      </c>
      <c r="I161" s="185">
        <f t="shared" si="252"/>
        <v>1.8436109345200253</v>
      </c>
      <c r="J161" s="185">
        <f t="shared" si="252"/>
        <v>1.4099753357084133</v>
      </c>
      <c r="K161" s="185">
        <f t="shared" si="252"/>
        <v>1.1440107671601616</v>
      </c>
      <c r="L161" s="185">
        <f t="shared" si="252"/>
        <v>0.99799050580840487</v>
      </c>
      <c r="M161" s="185">
        <f t="shared" si="252"/>
        <v>1.5972048914399801</v>
      </c>
      <c r="N161" s="185">
        <f t="shared" si="252"/>
        <v>1.0186226721659792</v>
      </c>
      <c r="O161" s="185">
        <f t="shared" si="252"/>
        <v>1.0920157536698889</v>
      </c>
      <c r="P161" s="185">
        <f t="shared" si="252"/>
        <v>1.0951812027080845</v>
      </c>
      <c r="Q161" s="185" t="str">
        <f t="shared" si="252"/>
        <v>-</v>
      </c>
      <c r="R161" s="185">
        <f t="shared" si="252"/>
        <v>1.2719567046505105</v>
      </c>
      <c r="S161" s="186">
        <f t="shared" si="252"/>
        <v>0.9986669189943308</v>
      </c>
    </row>
    <row r="162" spans="2:19" ht="14.25" hidden="1" x14ac:dyDescent="0.2">
      <c r="B162" s="103"/>
      <c r="C162" s="104"/>
      <c r="D162" s="187">
        <v>0.3</v>
      </c>
      <c r="E162" s="188">
        <f>+E161*30%</f>
        <v>0.23469262042626587</v>
      </c>
      <c r="F162" s="189">
        <f t="shared" ref="F162:K162" si="253">+F161*30%</f>
        <v>0.41712898751733701</v>
      </c>
      <c r="G162" s="189">
        <f t="shared" si="253"/>
        <v>-0.31526548672566373</v>
      </c>
      <c r="H162" s="189">
        <f t="shared" si="253"/>
        <v>0.70021881838074396</v>
      </c>
      <c r="I162" s="189">
        <f t="shared" si="253"/>
        <v>0.55308328035600762</v>
      </c>
      <c r="J162" s="189">
        <f t="shared" si="253"/>
        <v>0.42299260071252398</v>
      </c>
      <c r="K162" s="189">
        <f t="shared" si="253"/>
        <v>0.34320323014804849</v>
      </c>
      <c r="L162" s="190"/>
      <c r="M162" s="189">
        <f t="shared" ref="M162:P162" si="254">+M161*30%</f>
        <v>0.479161467431994</v>
      </c>
      <c r="N162" s="189">
        <f t="shared" si="254"/>
        <v>0.30558680164979374</v>
      </c>
      <c r="O162" s="189">
        <f t="shared" si="254"/>
        <v>0.32760472610096664</v>
      </c>
      <c r="P162" s="189">
        <f t="shared" si="254"/>
        <v>0.32855436081242534</v>
      </c>
      <c r="Q162" s="191">
        <v>0</v>
      </c>
    </row>
    <row r="163" spans="2:19" ht="15" hidden="1" x14ac:dyDescent="0.25">
      <c r="B163" s="81">
        <v>10</v>
      </c>
      <c r="C163" s="81" t="s">
        <v>210</v>
      </c>
      <c r="D163" s="83" t="s">
        <v>180</v>
      </c>
      <c r="E163" s="184">
        <f>+IF($D$1="Triwulan I",E164,E55)</f>
        <v>5380000</v>
      </c>
      <c r="F163" s="184">
        <f>+IF($D$1="Triwulan I",F164,F55)</f>
        <v>2483000</v>
      </c>
      <c r="G163" s="184">
        <f t="shared" ref="G163:K164" si="255">+G55</f>
        <v>267200</v>
      </c>
      <c r="H163" s="184">
        <f t="shared" si="255"/>
        <v>415600</v>
      </c>
      <c r="I163" s="184">
        <f t="shared" si="255"/>
        <v>220500</v>
      </c>
      <c r="J163" s="184">
        <f t="shared" si="255"/>
        <v>103040</v>
      </c>
      <c r="K163" s="184">
        <f t="shared" si="255"/>
        <v>10000</v>
      </c>
      <c r="L163" s="184">
        <f>SUM(E163:K163)</f>
        <v>8879340</v>
      </c>
      <c r="M163" s="184">
        <f>+IF($D$1="Triwulan I",M164,M55)</f>
        <v>25910</v>
      </c>
      <c r="N163" s="184">
        <f t="shared" ref="N163:Q164" si="256">+N55</f>
        <v>18172.5</v>
      </c>
      <c r="O163" s="184">
        <f t="shared" si="256"/>
        <v>3574</v>
      </c>
      <c r="P163" s="184">
        <f t="shared" si="256"/>
        <v>2236</v>
      </c>
      <c r="Q163" s="184">
        <f t="shared" si="256"/>
        <v>500</v>
      </c>
      <c r="R163" s="184">
        <f t="shared" ref="R163:R164" si="257">+SUM(M163:Q163)</f>
        <v>50392.5</v>
      </c>
      <c r="S163" s="184">
        <f t="shared" ref="S163:S164" si="258">+R163+L163</f>
        <v>8929732.5</v>
      </c>
    </row>
    <row r="164" spans="2:19" ht="15" hidden="1" x14ac:dyDescent="0.25">
      <c r="B164" s="86"/>
      <c r="C164" s="86"/>
      <c r="D164" s="87" t="s">
        <v>182</v>
      </c>
      <c r="E164" s="184">
        <f t="shared" ref="E164:F164" si="259">+E56</f>
        <v>5000000</v>
      </c>
      <c r="F164" s="184">
        <f t="shared" si="259"/>
        <v>2640000</v>
      </c>
      <c r="G164" s="184">
        <f t="shared" si="255"/>
        <v>360000</v>
      </c>
      <c r="H164" s="184">
        <f t="shared" si="255"/>
        <v>480000</v>
      </c>
      <c r="I164" s="184">
        <f t="shared" si="255"/>
        <v>260000</v>
      </c>
      <c r="J164" s="184">
        <f t="shared" si="255"/>
        <v>134000</v>
      </c>
      <c r="K164" s="184">
        <f t="shared" si="255"/>
        <v>10000</v>
      </c>
      <c r="L164" s="184">
        <f>SUM(E164:K164)</f>
        <v>8884000</v>
      </c>
      <c r="M164" s="184">
        <f t="shared" ref="M164" si="260">+M56</f>
        <v>22500</v>
      </c>
      <c r="N164" s="184">
        <f t="shared" si="256"/>
        <v>15375</v>
      </c>
      <c r="O164" s="184">
        <f t="shared" si="256"/>
        <v>3800</v>
      </c>
      <c r="P164" s="184">
        <f t="shared" si="256"/>
        <v>1600</v>
      </c>
      <c r="Q164" s="184">
        <f t="shared" si="256"/>
        <v>800</v>
      </c>
      <c r="R164" s="184">
        <f t="shared" si="257"/>
        <v>44075</v>
      </c>
      <c r="S164" s="184">
        <f t="shared" si="258"/>
        <v>8928075</v>
      </c>
    </row>
    <row r="165" spans="2:19" ht="15" hidden="1" x14ac:dyDescent="0.25">
      <c r="B165" s="86"/>
      <c r="C165" s="86"/>
      <c r="D165" s="87" t="s">
        <v>184</v>
      </c>
      <c r="E165" s="184">
        <f t="shared" ref="E165:K165" si="261">+E163-E164</f>
        <v>380000</v>
      </c>
      <c r="F165" s="184">
        <f t="shared" si="261"/>
        <v>-157000</v>
      </c>
      <c r="G165" s="184">
        <f t="shared" si="261"/>
        <v>-92800</v>
      </c>
      <c r="H165" s="184">
        <f t="shared" si="261"/>
        <v>-64400</v>
      </c>
      <c r="I165" s="184">
        <f t="shared" si="261"/>
        <v>-39500</v>
      </c>
      <c r="J165" s="184">
        <f t="shared" si="261"/>
        <v>-30960</v>
      </c>
      <c r="K165" s="184">
        <f t="shared" si="261"/>
        <v>0</v>
      </c>
      <c r="L165" s="184">
        <f>+SUM(E165:K165)</f>
        <v>-4660</v>
      </c>
      <c r="M165" s="184">
        <f t="shared" ref="M165" si="262">+M163-M164</f>
        <v>3410</v>
      </c>
      <c r="N165" s="184">
        <f>+N163-N164</f>
        <v>2797.5</v>
      </c>
      <c r="O165" s="184">
        <f>+O163-O164</f>
        <v>-226</v>
      </c>
      <c r="P165" s="184">
        <f>+P163-P164</f>
        <v>636</v>
      </c>
      <c r="Q165" s="184">
        <f>+Q163-Q164</f>
        <v>-300</v>
      </c>
      <c r="R165" s="184">
        <f>+SUM(M165:Q165)</f>
        <v>6317.5</v>
      </c>
      <c r="S165" s="184">
        <f>+R165+L165</f>
        <v>1657.5</v>
      </c>
    </row>
    <row r="166" spans="2:19" ht="15" hidden="1" x14ac:dyDescent="0.25">
      <c r="B166" s="86"/>
      <c r="C166" s="112"/>
      <c r="D166" s="109" t="s">
        <v>186</v>
      </c>
      <c r="E166" s="185">
        <f t="shared" ref="E166:S166" si="263">IF(E163=0,"-",E164/E163)</f>
        <v>0.92936802973977695</v>
      </c>
      <c r="F166" s="185">
        <f t="shared" si="263"/>
        <v>1.0632299637535239</v>
      </c>
      <c r="G166" s="185">
        <f t="shared" si="263"/>
        <v>1.347305389221557</v>
      </c>
      <c r="H166" s="185">
        <f t="shared" si="263"/>
        <v>1.1549566891241578</v>
      </c>
      <c r="I166" s="185">
        <f t="shared" si="263"/>
        <v>1.1791383219954648</v>
      </c>
      <c r="J166" s="185">
        <f t="shared" si="263"/>
        <v>1.3004658385093169</v>
      </c>
      <c r="K166" s="185">
        <f t="shared" si="263"/>
        <v>1</v>
      </c>
      <c r="L166" s="185">
        <f t="shared" si="263"/>
        <v>1.0005248137812044</v>
      </c>
      <c r="M166" s="185">
        <f t="shared" si="263"/>
        <v>0.86839058278656889</v>
      </c>
      <c r="N166" s="185">
        <f t="shared" si="263"/>
        <v>0.84605860503508046</v>
      </c>
      <c r="O166" s="185">
        <f t="shared" si="263"/>
        <v>1.0632344711807498</v>
      </c>
      <c r="P166" s="185">
        <f t="shared" si="263"/>
        <v>0.7155635062611807</v>
      </c>
      <c r="Q166" s="185">
        <f t="shared" si="263"/>
        <v>1.6</v>
      </c>
      <c r="R166" s="185">
        <f t="shared" si="263"/>
        <v>0.87463412214119163</v>
      </c>
      <c r="S166" s="186">
        <f t="shared" si="263"/>
        <v>0.9998143841374868</v>
      </c>
    </row>
    <row r="167" spans="2:19" ht="14.25" hidden="1" x14ac:dyDescent="0.2">
      <c r="B167" s="103"/>
      <c r="C167" s="104"/>
      <c r="D167" s="187">
        <v>0.3</v>
      </c>
      <c r="E167" s="188">
        <f>+E166*30%</f>
        <v>0.27881040892193309</v>
      </c>
      <c r="F167" s="189">
        <f t="shared" ref="F167:K167" si="264">+F166*30%</f>
        <v>0.31896898912605715</v>
      </c>
      <c r="G167" s="189">
        <f t="shared" si="264"/>
        <v>0.40419161676646709</v>
      </c>
      <c r="H167" s="189">
        <f t="shared" si="264"/>
        <v>0.34648700673724736</v>
      </c>
      <c r="I167" s="189">
        <f t="shared" si="264"/>
        <v>0.3537414965986394</v>
      </c>
      <c r="J167" s="189">
        <f t="shared" si="264"/>
        <v>0.39013975155279507</v>
      </c>
      <c r="K167" s="189">
        <f t="shared" si="264"/>
        <v>0.3</v>
      </c>
      <c r="L167" s="190"/>
      <c r="M167" s="189">
        <f t="shared" ref="M167:P167" si="265">+M166*30%</f>
        <v>0.26051717483597064</v>
      </c>
      <c r="N167" s="189">
        <f t="shared" si="265"/>
        <v>0.25381758151052414</v>
      </c>
      <c r="O167" s="189">
        <f t="shared" si="265"/>
        <v>0.31897034135422492</v>
      </c>
      <c r="P167" s="189">
        <f t="shared" si="265"/>
        <v>0.21466905187835419</v>
      </c>
      <c r="Q167" s="191">
        <v>0</v>
      </c>
    </row>
    <row r="168" spans="2:19" ht="15" hidden="1" x14ac:dyDescent="0.25">
      <c r="B168" s="81">
        <v>11</v>
      </c>
      <c r="C168" s="83" t="s">
        <v>211</v>
      </c>
      <c r="D168" s="83" t="s">
        <v>180</v>
      </c>
      <c r="E168" s="184">
        <f>+IF($D$1="Triwulan I",E169,E60)</f>
        <v>5536000</v>
      </c>
      <c r="F168" s="184">
        <f>+IF($D$1="Triwulan I",F169,F60)</f>
        <v>2753000</v>
      </c>
      <c r="G168" s="184">
        <f t="shared" ref="G168:K169" si="266">+G60</f>
        <v>270800</v>
      </c>
      <c r="H168" s="184">
        <f t="shared" si="266"/>
        <v>138400</v>
      </c>
      <c r="I168" s="184">
        <f t="shared" si="266"/>
        <v>124500</v>
      </c>
      <c r="J168" s="184">
        <f t="shared" si="266"/>
        <v>62560</v>
      </c>
      <c r="K168" s="184">
        <f t="shared" si="266"/>
        <v>3040</v>
      </c>
      <c r="L168" s="184">
        <f>SUM(E168:K168)</f>
        <v>8888300</v>
      </c>
      <c r="M168" s="184">
        <f>+IF($D$1="Triwulan I",M169,M60)</f>
        <v>14595</v>
      </c>
      <c r="N168" s="184">
        <f t="shared" ref="N168:Q169" si="267">+N60</f>
        <v>7735</v>
      </c>
      <c r="O168" s="184">
        <f t="shared" si="267"/>
        <v>3118</v>
      </c>
      <c r="P168" s="184">
        <f t="shared" si="267"/>
        <v>1669</v>
      </c>
      <c r="Q168" s="184">
        <f t="shared" si="267"/>
        <v>0</v>
      </c>
      <c r="R168" s="184">
        <f t="shared" ref="R168:R169" si="268">+SUM(M168:Q168)</f>
        <v>27117</v>
      </c>
      <c r="S168" s="184">
        <f t="shared" ref="S168:S169" si="269">+R168+L168</f>
        <v>8915417</v>
      </c>
    </row>
    <row r="169" spans="2:19" ht="15" hidden="1" x14ac:dyDescent="0.25">
      <c r="B169" s="86"/>
      <c r="C169" s="87"/>
      <c r="D169" s="87" t="s">
        <v>182</v>
      </c>
      <c r="E169" s="184">
        <f t="shared" ref="E169:F169" si="270">+E61</f>
        <v>5100000</v>
      </c>
      <c r="F169" s="184">
        <f t="shared" si="270"/>
        <v>2900000</v>
      </c>
      <c r="G169" s="184">
        <f t="shared" si="266"/>
        <v>380000</v>
      </c>
      <c r="H169" s="184">
        <f t="shared" si="266"/>
        <v>300000</v>
      </c>
      <c r="I169" s="184">
        <f t="shared" si="266"/>
        <v>220000</v>
      </c>
      <c r="J169" s="184">
        <f t="shared" si="266"/>
        <v>100000</v>
      </c>
      <c r="K169" s="184">
        <f t="shared" si="266"/>
        <v>3000</v>
      </c>
      <c r="L169" s="184">
        <f>SUM(E169:K169)</f>
        <v>9003000</v>
      </c>
      <c r="M169" s="184">
        <f t="shared" ref="M169" si="271">+M61</f>
        <v>17250</v>
      </c>
      <c r="N169" s="184">
        <f t="shared" si="267"/>
        <v>8375</v>
      </c>
      <c r="O169" s="184">
        <f t="shared" si="267"/>
        <v>2900</v>
      </c>
      <c r="P169" s="184">
        <f t="shared" si="267"/>
        <v>1500</v>
      </c>
      <c r="Q169" s="184">
        <f t="shared" si="267"/>
        <v>0</v>
      </c>
      <c r="R169" s="184">
        <f t="shared" si="268"/>
        <v>30025</v>
      </c>
      <c r="S169" s="184">
        <f t="shared" si="269"/>
        <v>9033025</v>
      </c>
    </row>
    <row r="170" spans="2:19" ht="15" hidden="1" x14ac:dyDescent="0.25">
      <c r="B170" s="86"/>
      <c r="C170" s="87"/>
      <c r="D170" s="87" t="s">
        <v>184</v>
      </c>
      <c r="E170" s="184">
        <f t="shared" ref="E170:K170" si="272">+E168-E169</f>
        <v>436000</v>
      </c>
      <c r="F170" s="184">
        <f t="shared" si="272"/>
        <v>-147000</v>
      </c>
      <c r="G170" s="184">
        <f t="shared" si="272"/>
        <v>-109200</v>
      </c>
      <c r="H170" s="184">
        <f t="shared" si="272"/>
        <v>-161600</v>
      </c>
      <c r="I170" s="184">
        <f t="shared" si="272"/>
        <v>-95500</v>
      </c>
      <c r="J170" s="184">
        <f t="shared" si="272"/>
        <v>-37440</v>
      </c>
      <c r="K170" s="184">
        <f t="shared" si="272"/>
        <v>40</v>
      </c>
      <c r="L170" s="184">
        <f>+SUM(E170:K170)</f>
        <v>-114700</v>
      </c>
      <c r="M170" s="184">
        <f t="shared" ref="M170" si="273">+M168-M169</f>
        <v>-2655</v>
      </c>
      <c r="N170" s="184">
        <f>+N168-N169</f>
        <v>-640</v>
      </c>
      <c r="O170" s="184">
        <f>+O168-O169</f>
        <v>218</v>
      </c>
      <c r="P170" s="184">
        <f>+P168-P169</f>
        <v>169</v>
      </c>
      <c r="Q170" s="184">
        <f>+Q168-Q169</f>
        <v>0</v>
      </c>
      <c r="R170" s="184">
        <f>+SUM(M170:Q170)</f>
        <v>-2908</v>
      </c>
      <c r="S170" s="184">
        <f>+R170+L170</f>
        <v>-117608</v>
      </c>
    </row>
    <row r="171" spans="2:19" ht="15" hidden="1" x14ac:dyDescent="0.25">
      <c r="B171" s="86"/>
      <c r="C171" s="108"/>
      <c r="D171" s="109" t="s">
        <v>186</v>
      </c>
      <c r="E171" s="185">
        <f t="shared" ref="E171:S171" si="274">IF(E168=0,"-",E169/E168)</f>
        <v>0.92124277456647397</v>
      </c>
      <c r="F171" s="185">
        <f t="shared" si="274"/>
        <v>1.0533962949509625</v>
      </c>
      <c r="G171" s="185">
        <f t="shared" si="274"/>
        <v>1.4032496307237814</v>
      </c>
      <c r="H171" s="185">
        <f t="shared" si="274"/>
        <v>2.1676300578034682</v>
      </c>
      <c r="I171" s="185">
        <f t="shared" si="274"/>
        <v>1.7670682730923695</v>
      </c>
      <c r="J171" s="185">
        <f t="shared" si="274"/>
        <v>1.5984654731457801</v>
      </c>
      <c r="K171" s="185">
        <f t="shared" si="274"/>
        <v>0.98684210526315785</v>
      </c>
      <c r="L171" s="185">
        <f t="shared" si="274"/>
        <v>1.0129046049300767</v>
      </c>
      <c r="M171" s="185">
        <f t="shared" si="274"/>
        <v>1.1819116135662899</v>
      </c>
      <c r="N171" s="185">
        <f t="shared" si="274"/>
        <v>1.0827407886231415</v>
      </c>
      <c r="O171" s="185">
        <f t="shared" si="274"/>
        <v>0.93008338678640157</v>
      </c>
      <c r="P171" s="185">
        <f t="shared" si="274"/>
        <v>0.89874176153385266</v>
      </c>
      <c r="Q171" s="185" t="str">
        <f t="shared" si="274"/>
        <v>-</v>
      </c>
      <c r="R171" s="185">
        <f t="shared" si="274"/>
        <v>1.1072390013644577</v>
      </c>
      <c r="S171" s="186">
        <f t="shared" si="274"/>
        <v>1.0131915310299002</v>
      </c>
    </row>
    <row r="172" spans="2:19" ht="14.25" hidden="1" x14ac:dyDescent="0.2">
      <c r="B172" s="103"/>
      <c r="C172" s="104"/>
      <c r="D172" s="187">
        <v>0.3</v>
      </c>
      <c r="E172" s="188">
        <f>+E171*30%</f>
        <v>0.2763728323699422</v>
      </c>
      <c r="F172" s="189">
        <f t="shared" ref="F172:K172" si="275">+F171*30%</f>
        <v>0.31601888848528875</v>
      </c>
      <c r="G172" s="189">
        <f t="shared" si="275"/>
        <v>0.42097488921713438</v>
      </c>
      <c r="H172" s="189">
        <f t="shared" si="275"/>
        <v>0.65028901734104039</v>
      </c>
      <c r="I172" s="189">
        <f t="shared" si="275"/>
        <v>0.53012048192771077</v>
      </c>
      <c r="J172" s="189">
        <f t="shared" si="275"/>
        <v>0.479539641943734</v>
      </c>
      <c r="K172" s="189">
        <f t="shared" si="275"/>
        <v>0.29605263157894735</v>
      </c>
      <c r="L172" s="190"/>
      <c r="M172" s="189">
        <f t="shared" ref="M172:P172" si="276">+M171*30%</f>
        <v>0.35457348406988698</v>
      </c>
      <c r="N172" s="189">
        <f t="shared" si="276"/>
        <v>0.32482223658694243</v>
      </c>
      <c r="O172" s="189">
        <f t="shared" si="276"/>
        <v>0.27902501603592045</v>
      </c>
      <c r="P172" s="189">
        <f t="shared" si="276"/>
        <v>0.26962252846015577</v>
      </c>
      <c r="Q172" s="191">
        <v>0</v>
      </c>
    </row>
    <row r="173" spans="2:19" ht="15" hidden="1" x14ac:dyDescent="0.25">
      <c r="B173" s="81">
        <v>12</v>
      </c>
      <c r="C173" s="81" t="s">
        <v>212</v>
      </c>
      <c r="D173" s="83" t="s">
        <v>180</v>
      </c>
      <c r="E173" s="184">
        <f>+IF($D$1="Triwulan I",E174,E65)</f>
        <v>8378000</v>
      </c>
      <c r="F173" s="184">
        <f t="shared" ref="F173:K174" si="277">+F65</f>
        <v>5047000</v>
      </c>
      <c r="G173" s="184">
        <f t="shared" si="277"/>
        <v>-134000</v>
      </c>
      <c r="H173" s="184">
        <f t="shared" si="277"/>
        <v>66600</v>
      </c>
      <c r="I173" s="184">
        <f t="shared" si="277"/>
        <v>94600</v>
      </c>
      <c r="J173" s="184">
        <f t="shared" si="277"/>
        <v>61360</v>
      </c>
      <c r="K173" s="184">
        <f t="shared" si="277"/>
        <v>4900</v>
      </c>
      <c r="L173" s="184">
        <f>SUM(E173:K173)</f>
        <v>13518460</v>
      </c>
      <c r="M173" s="184">
        <f>+IF($D$1="Triwulan I",M174,M65)</f>
        <v>11220</v>
      </c>
      <c r="N173" s="184">
        <f t="shared" ref="N173:Q174" si="278">+N65</f>
        <v>5850</v>
      </c>
      <c r="O173" s="184">
        <f t="shared" si="278"/>
        <v>2180</v>
      </c>
      <c r="P173" s="184">
        <f t="shared" si="278"/>
        <v>1125</v>
      </c>
      <c r="Q173" s="184">
        <f t="shared" si="278"/>
        <v>0</v>
      </c>
      <c r="R173" s="184">
        <f t="shared" ref="R173:R174" si="279">+SUM(M173:Q173)</f>
        <v>20375</v>
      </c>
      <c r="S173" s="184">
        <f t="shared" ref="S173:S174" si="280">+R173+L173</f>
        <v>13538835</v>
      </c>
    </row>
    <row r="174" spans="2:19" ht="15" hidden="1" x14ac:dyDescent="0.25">
      <c r="B174" s="86"/>
      <c r="C174" s="86"/>
      <c r="D174" s="87" t="s">
        <v>182</v>
      </c>
      <c r="E174" s="184">
        <f t="shared" ref="E174" si="281">+E66</f>
        <v>6800000</v>
      </c>
      <c r="F174" s="184">
        <f t="shared" si="277"/>
        <v>5450000</v>
      </c>
      <c r="G174" s="184">
        <f t="shared" si="277"/>
        <v>360000</v>
      </c>
      <c r="H174" s="184">
        <f t="shared" si="277"/>
        <v>420000</v>
      </c>
      <c r="I174" s="184">
        <f t="shared" si="277"/>
        <v>260000</v>
      </c>
      <c r="J174" s="184">
        <f t="shared" si="277"/>
        <v>122000</v>
      </c>
      <c r="K174" s="184">
        <f t="shared" si="277"/>
        <v>6000</v>
      </c>
      <c r="L174" s="184">
        <f>SUM(E174:K174)</f>
        <v>13418000</v>
      </c>
      <c r="M174" s="184">
        <f t="shared" ref="M174" si="282">+M66</f>
        <v>17250</v>
      </c>
      <c r="N174" s="184">
        <f t="shared" si="278"/>
        <v>8750</v>
      </c>
      <c r="O174" s="184">
        <f t="shared" si="278"/>
        <v>3300</v>
      </c>
      <c r="P174" s="184">
        <f t="shared" si="278"/>
        <v>1400</v>
      </c>
      <c r="Q174" s="184">
        <f t="shared" si="278"/>
        <v>0</v>
      </c>
      <c r="R174" s="184">
        <f t="shared" si="279"/>
        <v>30700</v>
      </c>
      <c r="S174" s="184">
        <f t="shared" si="280"/>
        <v>13448700</v>
      </c>
    </row>
    <row r="175" spans="2:19" ht="15" hidden="1" x14ac:dyDescent="0.25">
      <c r="B175" s="86"/>
      <c r="C175" s="86"/>
      <c r="D175" s="87" t="s">
        <v>184</v>
      </c>
      <c r="E175" s="184">
        <f t="shared" ref="E175:K175" si="283">+E173-E174</f>
        <v>1578000</v>
      </c>
      <c r="F175" s="184">
        <f t="shared" si="283"/>
        <v>-403000</v>
      </c>
      <c r="G175" s="184">
        <f t="shared" si="283"/>
        <v>-494000</v>
      </c>
      <c r="H175" s="184">
        <f t="shared" si="283"/>
        <v>-353400</v>
      </c>
      <c r="I175" s="184">
        <f t="shared" si="283"/>
        <v>-165400</v>
      </c>
      <c r="J175" s="184">
        <f t="shared" si="283"/>
        <v>-60640</v>
      </c>
      <c r="K175" s="184">
        <f t="shared" si="283"/>
        <v>-1100</v>
      </c>
      <c r="L175" s="184">
        <f>+SUM(E175:K175)</f>
        <v>100460</v>
      </c>
      <c r="M175" s="184">
        <f t="shared" ref="M175" si="284">+M173-M174</f>
        <v>-6030</v>
      </c>
      <c r="N175" s="184">
        <f>+N173-N174</f>
        <v>-2900</v>
      </c>
      <c r="O175" s="184">
        <f>+O173-O174</f>
        <v>-1120</v>
      </c>
      <c r="P175" s="184">
        <f>+P173-P174</f>
        <v>-275</v>
      </c>
      <c r="Q175" s="184">
        <f>+Q173-Q174</f>
        <v>0</v>
      </c>
      <c r="R175" s="184">
        <f>+SUM(M175:Q175)</f>
        <v>-10325</v>
      </c>
      <c r="S175" s="184">
        <f>+R175+L175</f>
        <v>90135</v>
      </c>
    </row>
    <row r="176" spans="2:19" ht="15" hidden="1" x14ac:dyDescent="0.25">
      <c r="B176" s="86"/>
      <c r="C176" s="112"/>
      <c r="D176" s="109" t="s">
        <v>186</v>
      </c>
      <c r="E176" s="185">
        <f t="shared" ref="E176:S176" si="285">IF(E173=0,"-",E174/E173)</f>
        <v>0.81164955836715202</v>
      </c>
      <c r="F176" s="185">
        <f t="shared" si="285"/>
        <v>1.079849415494353</v>
      </c>
      <c r="G176" s="185">
        <f t="shared" si="285"/>
        <v>-2.6865671641791047</v>
      </c>
      <c r="H176" s="185">
        <f t="shared" si="285"/>
        <v>6.3063063063063067</v>
      </c>
      <c r="I176" s="185">
        <f t="shared" si="285"/>
        <v>2.7484143763213531</v>
      </c>
      <c r="J176" s="185">
        <f t="shared" si="285"/>
        <v>1.9882659713168187</v>
      </c>
      <c r="K176" s="185">
        <f t="shared" si="285"/>
        <v>1.2244897959183674</v>
      </c>
      <c r="L176" s="185">
        <f t="shared" si="285"/>
        <v>0.99256868016031408</v>
      </c>
      <c r="M176" s="185">
        <f t="shared" si="285"/>
        <v>1.5374331550802138</v>
      </c>
      <c r="N176" s="185">
        <f t="shared" si="285"/>
        <v>1.4957264957264957</v>
      </c>
      <c r="O176" s="185">
        <f t="shared" si="285"/>
        <v>1.5137614678899083</v>
      </c>
      <c r="P176" s="185">
        <f t="shared" si="285"/>
        <v>1.2444444444444445</v>
      </c>
      <c r="Q176" s="185" t="str">
        <f t="shared" si="285"/>
        <v>-</v>
      </c>
      <c r="R176" s="185">
        <f t="shared" si="285"/>
        <v>1.5067484662576687</v>
      </c>
      <c r="S176" s="186">
        <f t="shared" si="285"/>
        <v>0.99334248478543385</v>
      </c>
    </row>
    <row r="177" spans="2:19" ht="14.25" hidden="1" x14ac:dyDescent="0.2">
      <c r="B177" s="103"/>
      <c r="C177" s="104"/>
      <c r="D177" s="187">
        <v>0.3</v>
      </c>
      <c r="E177" s="188">
        <f>+E176*30%</f>
        <v>0.2434948675101456</v>
      </c>
      <c r="F177" s="189">
        <f t="shared" ref="F177:K177" si="286">+F176*30%</f>
        <v>0.32395482464830588</v>
      </c>
      <c r="G177" s="189">
        <f t="shared" si="286"/>
        <v>-0.80597014925373134</v>
      </c>
      <c r="H177" s="189">
        <f t="shared" si="286"/>
        <v>1.8918918918918919</v>
      </c>
      <c r="I177" s="189">
        <f t="shared" si="286"/>
        <v>0.82452431289640593</v>
      </c>
      <c r="J177" s="189">
        <f t="shared" si="286"/>
        <v>0.59647979139504559</v>
      </c>
      <c r="K177" s="189">
        <f t="shared" si="286"/>
        <v>0.36734693877551022</v>
      </c>
      <c r="L177" s="190"/>
      <c r="M177" s="189">
        <f t="shared" ref="M177:P177" si="287">+M176*30%</f>
        <v>0.46122994652406413</v>
      </c>
      <c r="N177" s="189">
        <f t="shared" si="287"/>
        <v>0.44871794871794873</v>
      </c>
      <c r="O177" s="189">
        <f t="shared" si="287"/>
        <v>0.45412844036697247</v>
      </c>
      <c r="P177" s="189">
        <f t="shared" si="287"/>
        <v>0.37333333333333335</v>
      </c>
      <c r="Q177" s="191">
        <v>0</v>
      </c>
    </row>
    <row r="178" spans="2:19" ht="15" hidden="1" x14ac:dyDescent="0.25">
      <c r="B178" s="81">
        <v>13</v>
      </c>
      <c r="C178" s="83" t="s">
        <v>213</v>
      </c>
      <c r="D178" s="83" t="s">
        <v>180</v>
      </c>
      <c r="E178" s="184">
        <f t="shared" ref="E178:K178" si="288">+IF($D$1="Triwulan I",E179,E70)</f>
        <v>3648000</v>
      </c>
      <c r="F178" s="184">
        <f t="shared" si="288"/>
        <v>1572000</v>
      </c>
      <c r="G178" s="184">
        <f t="shared" si="288"/>
        <v>48400</v>
      </c>
      <c r="H178" s="184">
        <f t="shared" si="288"/>
        <v>8800</v>
      </c>
      <c r="I178" s="184">
        <f t="shared" si="288"/>
        <v>14100</v>
      </c>
      <c r="J178" s="184">
        <f t="shared" si="288"/>
        <v>13440</v>
      </c>
      <c r="K178" s="184">
        <f t="shared" si="288"/>
        <v>4000</v>
      </c>
      <c r="L178" s="184">
        <f>SUM(E178:K178)</f>
        <v>5308740</v>
      </c>
      <c r="M178" s="184">
        <f>+IF($D$1="Triwulan I",M179,M70)</f>
        <v>11330</v>
      </c>
      <c r="N178" s="184">
        <f t="shared" ref="N178:Q179" si="289">+N70</f>
        <v>3365</v>
      </c>
      <c r="O178" s="184">
        <f t="shared" si="289"/>
        <v>630</v>
      </c>
      <c r="P178" s="184">
        <f t="shared" si="289"/>
        <v>717</v>
      </c>
      <c r="Q178" s="184">
        <f t="shared" si="289"/>
        <v>0</v>
      </c>
      <c r="R178" s="184">
        <f t="shared" ref="R178:R179" si="290">+SUM(M178:Q178)</f>
        <v>16042</v>
      </c>
      <c r="S178" s="184">
        <f t="shared" ref="S178:S179" si="291">+R178+L178</f>
        <v>5324782</v>
      </c>
    </row>
    <row r="179" spans="2:19" ht="15" hidden="1" x14ac:dyDescent="0.25">
      <c r="B179" s="86"/>
      <c r="C179" s="87"/>
      <c r="D179" s="87" t="s">
        <v>182</v>
      </c>
      <c r="E179" s="184">
        <f t="shared" ref="E179:K179" si="292">+E71</f>
        <v>3150000</v>
      </c>
      <c r="F179" s="184">
        <f t="shared" si="292"/>
        <v>1600000</v>
      </c>
      <c r="G179" s="184">
        <f t="shared" si="292"/>
        <v>260000</v>
      </c>
      <c r="H179" s="184">
        <f t="shared" si="292"/>
        <v>190000</v>
      </c>
      <c r="I179" s="184">
        <f t="shared" si="292"/>
        <v>130000</v>
      </c>
      <c r="J179" s="184">
        <f t="shared" si="292"/>
        <v>58000</v>
      </c>
      <c r="K179" s="184">
        <f t="shared" si="292"/>
        <v>4000</v>
      </c>
      <c r="L179" s="184">
        <f>SUM(E179:K179)</f>
        <v>5392000</v>
      </c>
      <c r="M179" s="184">
        <f t="shared" ref="M179" si="293">+M71</f>
        <v>13500</v>
      </c>
      <c r="N179" s="184">
        <f t="shared" si="289"/>
        <v>4000</v>
      </c>
      <c r="O179" s="184">
        <f t="shared" si="289"/>
        <v>1400</v>
      </c>
      <c r="P179" s="184">
        <f t="shared" si="289"/>
        <v>850</v>
      </c>
      <c r="Q179" s="184">
        <f t="shared" si="289"/>
        <v>0</v>
      </c>
      <c r="R179" s="184">
        <f t="shared" si="290"/>
        <v>19750</v>
      </c>
      <c r="S179" s="184">
        <f t="shared" si="291"/>
        <v>5411750</v>
      </c>
    </row>
    <row r="180" spans="2:19" ht="15" hidden="1" x14ac:dyDescent="0.25">
      <c r="B180" s="86"/>
      <c r="C180" s="87"/>
      <c r="D180" s="87" t="s">
        <v>184</v>
      </c>
      <c r="E180" s="184">
        <f t="shared" ref="E180:K180" si="294">+E178-E179</f>
        <v>498000</v>
      </c>
      <c r="F180" s="184">
        <f t="shared" si="294"/>
        <v>-28000</v>
      </c>
      <c r="G180" s="184">
        <f t="shared" si="294"/>
        <v>-211600</v>
      </c>
      <c r="H180" s="184">
        <f t="shared" si="294"/>
        <v>-181200</v>
      </c>
      <c r="I180" s="184">
        <f t="shared" si="294"/>
        <v>-115900</v>
      </c>
      <c r="J180" s="184">
        <f t="shared" si="294"/>
        <v>-44560</v>
      </c>
      <c r="K180" s="184">
        <f t="shared" si="294"/>
        <v>0</v>
      </c>
      <c r="L180" s="184">
        <f>+SUM(E180:K180)</f>
        <v>-83260</v>
      </c>
      <c r="M180" s="184">
        <f t="shared" ref="M180" si="295">+M178-M179</f>
        <v>-2170</v>
      </c>
      <c r="N180" s="184">
        <f>+N178-N179</f>
        <v>-635</v>
      </c>
      <c r="O180" s="184">
        <f>+O178-O179</f>
        <v>-770</v>
      </c>
      <c r="P180" s="184">
        <f>+P178-P179</f>
        <v>-133</v>
      </c>
      <c r="Q180" s="184">
        <f>+Q178-Q179</f>
        <v>0</v>
      </c>
      <c r="R180" s="184">
        <f>+SUM(M180:Q180)</f>
        <v>-3708</v>
      </c>
      <c r="S180" s="184">
        <f>+R180+L180</f>
        <v>-86968</v>
      </c>
    </row>
    <row r="181" spans="2:19" ht="15" hidden="1" x14ac:dyDescent="0.25">
      <c r="B181" s="86"/>
      <c r="C181" s="87"/>
      <c r="D181" s="92" t="s">
        <v>186</v>
      </c>
      <c r="E181" s="185">
        <f t="shared" ref="E181:S181" si="296">IF(E178=0,"-",E179/E178)</f>
        <v>0.86348684210526316</v>
      </c>
      <c r="F181" s="185">
        <f t="shared" si="296"/>
        <v>1.0178117048346056</v>
      </c>
      <c r="G181" s="185">
        <f t="shared" si="296"/>
        <v>5.3719008264462813</v>
      </c>
      <c r="H181" s="185">
        <f t="shared" si="296"/>
        <v>21.59090909090909</v>
      </c>
      <c r="I181" s="185">
        <f t="shared" si="296"/>
        <v>9.2198581560283692</v>
      </c>
      <c r="J181" s="185">
        <f t="shared" si="296"/>
        <v>4.3154761904761907</v>
      </c>
      <c r="K181" s="185">
        <f t="shared" si="296"/>
        <v>1</v>
      </c>
      <c r="L181" s="185">
        <f t="shared" si="296"/>
        <v>1.0156835708661565</v>
      </c>
      <c r="M181" s="185">
        <f t="shared" si="296"/>
        <v>1.1915269196822595</v>
      </c>
      <c r="N181" s="185">
        <f t="shared" si="296"/>
        <v>1.1887072808320951</v>
      </c>
      <c r="O181" s="185">
        <f t="shared" si="296"/>
        <v>2.2222222222222223</v>
      </c>
      <c r="P181" s="185">
        <f t="shared" si="296"/>
        <v>1.185495118549512</v>
      </c>
      <c r="Q181" s="185" t="str">
        <f t="shared" si="296"/>
        <v>-</v>
      </c>
      <c r="R181" s="185">
        <f t="shared" si="296"/>
        <v>1.23114324897145</v>
      </c>
      <c r="S181" s="186">
        <f t="shared" si="296"/>
        <v>1.0163326874226963</v>
      </c>
    </row>
    <row r="182" spans="2:19" ht="14.25" hidden="1" x14ac:dyDescent="0.2">
      <c r="B182" s="96"/>
      <c r="C182" s="97"/>
      <c r="D182" s="187">
        <v>0.3</v>
      </c>
      <c r="E182" s="188">
        <f>+E181*30%</f>
        <v>0.25904605263157893</v>
      </c>
      <c r="F182" s="189">
        <f t="shared" ref="F182:K182" si="297">+F181*30%</f>
        <v>0.30534351145038169</v>
      </c>
      <c r="G182" s="189">
        <f t="shared" si="297"/>
        <v>1.6115702479338843</v>
      </c>
      <c r="H182" s="189">
        <f t="shared" si="297"/>
        <v>6.4772727272727266</v>
      </c>
      <c r="I182" s="189">
        <f t="shared" si="297"/>
        <v>2.7659574468085109</v>
      </c>
      <c r="J182" s="189">
        <f t="shared" si="297"/>
        <v>1.2946428571428572</v>
      </c>
      <c r="K182" s="189">
        <f t="shared" si="297"/>
        <v>0.3</v>
      </c>
      <c r="L182" s="190"/>
      <c r="M182" s="189">
        <f t="shared" ref="M182:P182" si="298">+M181*30%</f>
        <v>0.35745807590467787</v>
      </c>
      <c r="N182" s="189">
        <f t="shared" si="298"/>
        <v>0.35661218424962854</v>
      </c>
      <c r="O182" s="189">
        <f t="shared" si="298"/>
        <v>0.66666666666666663</v>
      </c>
      <c r="P182" s="189">
        <f t="shared" si="298"/>
        <v>0.3556485355648536</v>
      </c>
      <c r="Q182" s="191">
        <v>0</v>
      </c>
    </row>
    <row r="183" spans="2:19" ht="15" hidden="1" x14ac:dyDescent="0.25">
      <c r="B183" s="81">
        <v>14</v>
      </c>
      <c r="C183" s="83" t="s">
        <v>214</v>
      </c>
      <c r="D183" s="83" t="s">
        <v>180</v>
      </c>
      <c r="E183" s="184">
        <f>+IF($D$1="Triwulan I",E184,E75)</f>
        <v>18666000</v>
      </c>
      <c r="F183" s="184">
        <f>+IF($D$1="Triwulan I",F184,F75)</f>
        <v>7363000</v>
      </c>
      <c r="G183" s="184">
        <f t="shared" ref="G183:K184" si="299">+G75</f>
        <v>615600</v>
      </c>
      <c r="H183" s="184">
        <f t="shared" si="299"/>
        <v>545600</v>
      </c>
      <c r="I183" s="184">
        <f t="shared" si="299"/>
        <v>412100</v>
      </c>
      <c r="J183" s="184">
        <f t="shared" si="299"/>
        <v>180320</v>
      </c>
      <c r="K183" s="184">
        <f>+IF($D$1="Triwulan I",K184,K75)</f>
        <v>24640</v>
      </c>
      <c r="L183" s="184">
        <f>SUM(E183:K183)</f>
        <v>27807260</v>
      </c>
      <c r="M183" s="184">
        <f>+IF($D$1="Triwulan I",M184,M75)</f>
        <v>17035</v>
      </c>
      <c r="N183" s="184">
        <f t="shared" ref="N183:Q184" si="300">+N75</f>
        <v>11062.5</v>
      </c>
      <c r="O183" s="184">
        <f t="shared" si="300"/>
        <v>2816</v>
      </c>
      <c r="P183" s="184">
        <f t="shared" si="300"/>
        <v>1925</v>
      </c>
      <c r="Q183" s="184">
        <f t="shared" si="300"/>
        <v>7</v>
      </c>
      <c r="R183" s="184">
        <f t="shared" ref="R183:R184" si="301">+SUM(M183:Q183)</f>
        <v>32845.5</v>
      </c>
      <c r="S183" s="184">
        <f t="shared" ref="S183:S184" si="302">+R183+L183</f>
        <v>27840105.5</v>
      </c>
    </row>
    <row r="184" spans="2:19" ht="15" hidden="1" x14ac:dyDescent="0.25">
      <c r="B184" s="86"/>
      <c r="C184" s="87"/>
      <c r="D184" s="87" t="s">
        <v>182</v>
      </c>
      <c r="E184" s="184">
        <f t="shared" ref="E184:F184" si="303">+E76</f>
        <v>17000000</v>
      </c>
      <c r="F184" s="184">
        <f t="shared" si="303"/>
        <v>8200000</v>
      </c>
      <c r="G184" s="184">
        <f t="shared" si="299"/>
        <v>940000</v>
      </c>
      <c r="H184" s="184">
        <f t="shared" si="299"/>
        <v>780000</v>
      </c>
      <c r="I184" s="184">
        <f t="shared" si="299"/>
        <v>535000</v>
      </c>
      <c r="J184" s="184">
        <f t="shared" si="299"/>
        <v>240000</v>
      </c>
      <c r="K184" s="184">
        <f t="shared" si="299"/>
        <v>28000</v>
      </c>
      <c r="L184" s="184">
        <f>SUM(E184:K184)</f>
        <v>27723000</v>
      </c>
      <c r="M184" s="184">
        <f t="shared" ref="M184" si="304">+M76</f>
        <v>19500</v>
      </c>
      <c r="N184" s="184">
        <f t="shared" si="300"/>
        <v>11250</v>
      </c>
      <c r="O184" s="184">
        <f t="shared" si="300"/>
        <v>3800</v>
      </c>
      <c r="P184" s="184">
        <f t="shared" si="300"/>
        <v>1800</v>
      </c>
      <c r="Q184" s="184">
        <f t="shared" si="300"/>
        <v>0</v>
      </c>
      <c r="R184" s="184">
        <f t="shared" si="301"/>
        <v>36350</v>
      </c>
      <c r="S184" s="184">
        <f t="shared" si="302"/>
        <v>27759350</v>
      </c>
    </row>
    <row r="185" spans="2:19" ht="15" hidden="1" x14ac:dyDescent="0.25">
      <c r="B185" s="86"/>
      <c r="C185" s="87"/>
      <c r="D185" s="87" t="s">
        <v>184</v>
      </c>
      <c r="E185" s="184">
        <f t="shared" ref="E185:K185" si="305">+E183-E184</f>
        <v>1666000</v>
      </c>
      <c r="F185" s="184">
        <f t="shared" si="305"/>
        <v>-837000</v>
      </c>
      <c r="G185" s="184">
        <f t="shared" si="305"/>
        <v>-324400</v>
      </c>
      <c r="H185" s="184">
        <f t="shared" si="305"/>
        <v>-234400</v>
      </c>
      <c r="I185" s="184">
        <f t="shared" si="305"/>
        <v>-122900</v>
      </c>
      <c r="J185" s="184">
        <f t="shared" si="305"/>
        <v>-59680</v>
      </c>
      <c r="K185" s="184">
        <f t="shared" si="305"/>
        <v>-3360</v>
      </c>
      <c r="L185" s="184">
        <f>+SUM(E185:K185)</f>
        <v>84260</v>
      </c>
      <c r="M185" s="184">
        <f t="shared" ref="M185" si="306">+M183-M184</f>
        <v>-2465</v>
      </c>
      <c r="N185" s="184">
        <f>+N183-N184</f>
        <v>-187.5</v>
      </c>
      <c r="O185" s="184">
        <f>+O183-O184</f>
        <v>-984</v>
      </c>
      <c r="P185" s="184">
        <f>+P183-P184</f>
        <v>125</v>
      </c>
      <c r="Q185" s="184">
        <f>+Q183-Q184</f>
        <v>7</v>
      </c>
      <c r="R185" s="184">
        <f>+SUM(M185:Q185)</f>
        <v>-3504.5</v>
      </c>
      <c r="S185" s="184">
        <f>+R185+L185</f>
        <v>80755.5</v>
      </c>
    </row>
    <row r="186" spans="2:19" ht="15" hidden="1" x14ac:dyDescent="0.25">
      <c r="B186" s="86"/>
      <c r="C186" s="108"/>
      <c r="D186" s="109" t="s">
        <v>186</v>
      </c>
      <c r="E186" s="185">
        <f t="shared" ref="E186:S186" si="307">IF(E183=0,"-",E184/E183)</f>
        <v>0.91074681238615662</v>
      </c>
      <c r="F186" s="185">
        <f t="shared" si="307"/>
        <v>1.1136764905609127</v>
      </c>
      <c r="G186" s="185">
        <f t="shared" si="307"/>
        <v>1.5269655620532814</v>
      </c>
      <c r="H186" s="185">
        <f t="shared" si="307"/>
        <v>1.4296187683284458</v>
      </c>
      <c r="I186" s="185">
        <f t="shared" si="307"/>
        <v>1.2982285852948314</v>
      </c>
      <c r="J186" s="185">
        <f t="shared" si="307"/>
        <v>1.3309671694764862</v>
      </c>
      <c r="K186" s="185">
        <f t="shared" si="307"/>
        <v>1.1363636363636365</v>
      </c>
      <c r="L186" s="185">
        <f t="shared" si="307"/>
        <v>0.99696985607355781</v>
      </c>
      <c r="M186" s="185">
        <f t="shared" si="307"/>
        <v>1.1447020839448194</v>
      </c>
      <c r="N186" s="185">
        <f t="shared" si="307"/>
        <v>1.0169491525423728</v>
      </c>
      <c r="O186" s="185">
        <f t="shared" si="307"/>
        <v>1.3494318181818181</v>
      </c>
      <c r="P186" s="185">
        <f t="shared" si="307"/>
        <v>0.93506493506493504</v>
      </c>
      <c r="Q186" s="185">
        <f t="shared" si="307"/>
        <v>0</v>
      </c>
      <c r="R186" s="185">
        <f t="shared" si="307"/>
        <v>1.1066965033261786</v>
      </c>
      <c r="S186" s="186">
        <f t="shared" si="307"/>
        <v>0.99709931056116152</v>
      </c>
    </row>
    <row r="187" spans="2:19" ht="14.25" hidden="1" x14ac:dyDescent="0.2">
      <c r="B187" s="103"/>
      <c r="C187" s="116"/>
      <c r="D187" s="187">
        <v>0.3</v>
      </c>
      <c r="E187" s="188">
        <f>+E186*30%</f>
        <v>0.27322404371584696</v>
      </c>
      <c r="F187" s="189">
        <f t="shared" ref="F187:K187" si="308">+F186*30%</f>
        <v>0.33410294716827377</v>
      </c>
      <c r="G187" s="189">
        <f t="shared" si="308"/>
        <v>0.45808966861598438</v>
      </c>
      <c r="H187" s="189">
        <f t="shared" si="308"/>
        <v>0.42888563049853373</v>
      </c>
      <c r="I187" s="189">
        <f t="shared" si="308"/>
        <v>0.38946857558844944</v>
      </c>
      <c r="J187" s="189">
        <f t="shared" si="308"/>
        <v>0.39929015084294583</v>
      </c>
      <c r="K187" s="189">
        <f t="shared" si="308"/>
        <v>0.34090909090909094</v>
      </c>
      <c r="L187" s="190"/>
      <c r="M187" s="189">
        <f t="shared" ref="M187:P187" si="309">+M186*30%</f>
        <v>0.34341062518344584</v>
      </c>
      <c r="N187" s="189">
        <f t="shared" si="309"/>
        <v>0.30508474576271183</v>
      </c>
      <c r="O187" s="189">
        <f t="shared" si="309"/>
        <v>0.40482954545454541</v>
      </c>
      <c r="P187" s="189">
        <f t="shared" si="309"/>
        <v>0.2805194805194805</v>
      </c>
      <c r="Q187" s="191">
        <v>0</v>
      </c>
    </row>
    <row r="188" spans="2:19" ht="15" hidden="1" x14ac:dyDescent="0.25">
      <c r="B188" s="81">
        <v>15</v>
      </c>
      <c r="C188" s="83" t="s">
        <v>215</v>
      </c>
      <c r="D188" s="83" t="s">
        <v>180</v>
      </c>
      <c r="E188" s="184">
        <f>+IF($D$1="Triwulan I",E189,E80)</f>
        <v>1826000</v>
      </c>
      <c r="F188" s="184">
        <f>+IF($D$1="Triwulan I",F189,F80)</f>
        <v>1541000</v>
      </c>
      <c r="G188" s="184">
        <f>+IF($D$1="Triwulan I",G189,G80)</f>
        <v>-107200</v>
      </c>
      <c r="H188" s="184">
        <f t="shared" ref="H188:K189" si="310">+H80</f>
        <v>-14200</v>
      </c>
      <c r="I188" s="184">
        <f t="shared" si="310"/>
        <v>5200</v>
      </c>
      <c r="J188" s="184">
        <f>+IF($D$1="Triwulan I",J189,J80)</f>
        <v>24280</v>
      </c>
      <c r="K188" s="184">
        <f t="shared" si="310"/>
        <v>6860</v>
      </c>
      <c r="L188" s="184">
        <f>SUM(E188:K188)</f>
        <v>3281940</v>
      </c>
      <c r="M188" s="184">
        <f>+IF($D$1="Triwulan I",M189,M80)</f>
        <v>-2370</v>
      </c>
      <c r="N188" s="184">
        <f t="shared" ref="N188:Q189" si="311">+N80</f>
        <v>2360</v>
      </c>
      <c r="O188" s="184">
        <f t="shared" si="311"/>
        <v>1666</v>
      </c>
      <c r="P188" s="184">
        <f t="shared" si="311"/>
        <v>612</v>
      </c>
      <c r="Q188" s="184">
        <f t="shared" si="311"/>
        <v>0</v>
      </c>
      <c r="R188" s="184">
        <f t="shared" ref="R188:R189" si="312">+SUM(M188:Q188)</f>
        <v>2268</v>
      </c>
      <c r="S188" s="184">
        <f t="shared" ref="S188:S189" si="313">+R188+L188</f>
        <v>3284208</v>
      </c>
    </row>
    <row r="189" spans="2:19" ht="15" hidden="1" x14ac:dyDescent="0.25">
      <c r="B189" s="86"/>
      <c r="C189" s="87"/>
      <c r="D189" s="87" t="s">
        <v>182</v>
      </c>
      <c r="E189" s="184">
        <f t="shared" ref="E189:G189" si="314">+E81</f>
        <v>2100000</v>
      </c>
      <c r="F189" s="184">
        <f t="shared" si="314"/>
        <v>1750000</v>
      </c>
      <c r="G189" s="184">
        <f t="shared" si="314"/>
        <v>320000</v>
      </c>
      <c r="H189" s="184">
        <f t="shared" si="310"/>
        <v>210000</v>
      </c>
      <c r="I189" s="184">
        <f t="shared" si="310"/>
        <v>175000</v>
      </c>
      <c r="J189" s="184">
        <f t="shared" si="310"/>
        <v>78000</v>
      </c>
      <c r="K189" s="184">
        <f t="shared" si="310"/>
        <v>2000</v>
      </c>
      <c r="L189" s="184">
        <f>SUM(E189:K189)</f>
        <v>4635000</v>
      </c>
      <c r="M189" s="184">
        <f t="shared" ref="M189" si="315">+M81</f>
        <v>5500</v>
      </c>
      <c r="N189" s="184">
        <f t="shared" si="311"/>
        <v>3500</v>
      </c>
      <c r="O189" s="184">
        <f t="shared" si="311"/>
        <v>1800</v>
      </c>
      <c r="P189" s="184">
        <f t="shared" si="311"/>
        <v>800</v>
      </c>
      <c r="Q189" s="184">
        <f t="shared" si="311"/>
        <v>0</v>
      </c>
      <c r="R189" s="184">
        <f t="shared" si="312"/>
        <v>11600</v>
      </c>
      <c r="S189" s="184">
        <f t="shared" si="313"/>
        <v>4646600</v>
      </c>
    </row>
    <row r="190" spans="2:19" ht="15" hidden="1" x14ac:dyDescent="0.25">
      <c r="B190" s="86"/>
      <c r="C190" s="87"/>
      <c r="D190" s="87" t="s">
        <v>184</v>
      </c>
      <c r="E190" s="184">
        <f t="shared" ref="E190:K190" si="316">+E188-E189</f>
        <v>-274000</v>
      </c>
      <c r="F190" s="184">
        <f t="shared" si="316"/>
        <v>-209000</v>
      </c>
      <c r="G190" s="184">
        <f t="shared" si="316"/>
        <v>-427200</v>
      </c>
      <c r="H190" s="184">
        <f t="shared" si="316"/>
        <v>-224200</v>
      </c>
      <c r="I190" s="184">
        <f t="shared" si="316"/>
        <v>-169800</v>
      </c>
      <c r="J190" s="184">
        <f t="shared" si="316"/>
        <v>-53720</v>
      </c>
      <c r="K190" s="184">
        <f t="shared" si="316"/>
        <v>4860</v>
      </c>
      <c r="L190" s="184">
        <f>+SUM(E190:K190)</f>
        <v>-1353060</v>
      </c>
      <c r="M190" s="184">
        <f t="shared" ref="M190" si="317">+M188-M189</f>
        <v>-7870</v>
      </c>
      <c r="N190" s="184">
        <f>+N188-N189</f>
        <v>-1140</v>
      </c>
      <c r="O190" s="184">
        <f>+O188-O189</f>
        <v>-134</v>
      </c>
      <c r="P190" s="184">
        <f>+P188-P189</f>
        <v>-188</v>
      </c>
      <c r="Q190" s="184">
        <f>+Q188-Q189</f>
        <v>0</v>
      </c>
      <c r="R190" s="184">
        <f>+SUM(M190:Q190)</f>
        <v>-9332</v>
      </c>
      <c r="S190" s="184">
        <f>+R190+L190</f>
        <v>-1362392</v>
      </c>
    </row>
    <row r="191" spans="2:19" ht="15" hidden="1" x14ac:dyDescent="0.25">
      <c r="B191" s="86"/>
      <c r="C191" s="108"/>
      <c r="D191" s="109" t="s">
        <v>186</v>
      </c>
      <c r="E191" s="185">
        <f t="shared" ref="E191:S191" si="318">IF(E188=0,"-",E189/E188)</f>
        <v>1.1500547645125958</v>
      </c>
      <c r="F191" s="185">
        <f t="shared" si="318"/>
        <v>1.1356262167423752</v>
      </c>
      <c r="G191" s="185">
        <f t="shared" si="318"/>
        <v>-2.9850746268656718</v>
      </c>
      <c r="H191" s="185">
        <f t="shared" si="318"/>
        <v>-14.788732394366198</v>
      </c>
      <c r="I191" s="185">
        <f t="shared" si="318"/>
        <v>33.653846153846153</v>
      </c>
      <c r="J191" s="185">
        <f t="shared" si="318"/>
        <v>3.212520593080725</v>
      </c>
      <c r="K191" s="185">
        <f t="shared" si="318"/>
        <v>0.29154518950437319</v>
      </c>
      <c r="L191" s="185">
        <f t="shared" si="318"/>
        <v>1.4122744474304831</v>
      </c>
      <c r="M191" s="185">
        <f t="shared" si="318"/>
        <v>-2.3206751054852321</v>
      </c>
      <c r="N191" s="185">
        <f t="shared" si="318"/>
        <v>1.4830508474576272</v>
      </c>
      <c r="O191" s="185">
        <f t="shared" si="318"/>
        <v>1.0804321728691477</v>
      </c>
      <c r="P191" s="185">
        <f t="shared" si="318"/>
        <v>1.3071895424836601</v>
      </c>
      <c r="Q191" s="185" t="str">
        <f t="shared" si="318"/>
        <v>-</v>
      </c>
      <c r="R191" s="185">
        <f t="shared" si="318"/>
        <v>5.1146384479717817</v>
      </c>
      <c r="S191" s="186">
        <f t="shared" si="318"/>
        <v>1.4148312165368333</v>
      </c>
    </row>
    <row r="192" spans="2:19" ht="14.25" hidden="1" x14ac:dyDescent="0.2">
      <c r="B192" s="103"/>
      <c r="C192" s="116"/>
      <c r="D192" s="187">
        <v>0.3</v>
      </c>
      <c r="E192" s="188">
        <f>+E191*30%</f>
        <v>0.34501642935377874</v>
      </c>
      <c r="F192" s="189">
        <f t="shared" ref="F192:K192" si="319">+F191*30%</f>
        <v>0.34068786502271253</v>
      </c>
      <c r="G192" s="189">
        <f t="shared" si="319"/>
        <v>-0.89552238805970152</v>
      </c>
      <c r="H192" s="189">
        <f t="shared" si="319"/>
        <v>-4.436619718309859</v>
      </c>
      <c r="I192" s="189">
        <f t="shared" si="319"/>
        <v>10.096153846153845</v>
      </c>
      <c r="J192" s="189">
        <f t="shared" si="319"/>
        <v>0.96375617792421742</v>
      </c>
      <c r="K192" s="189">
        <f t="shared" si="319"/>
        <v>8.7463556851311949E-2</v>
      </c>
      <c r="L192" s="190"/>
      <c r="M192" s="189">
        <f t="shared" ref="M192:O192" si="320">+M191*30%</f>
        <v>-0.69620253164556967</v>
      </c>
      <c r="N192" s="189">
        <f t="shared" si="320"/>
        <v>0.44491525423728812</v>
      </c>
      <c r="O192" s="189">
        <f t="shared" si="320"/>
        <v>0.32412965186074433</v>
      </c>
      <c r="P192" s="189">
        <v>0</v>
      </c>
      <c r="Q192" s="191">
        <v>0</v>
      </c>
    </row>
    <row r="193" spans="2:20" ht="15" hidden="1" x14ac:dyDescent="0.25">
      <c r="B193" s="81">
        <v>16</v>
      </c>
      <c r="C193" s="83" t="s">
        <v>216</v>
      </c>
      <c r="D193" s="83" t="s">
        <v>180</v>
      </c>
      <c r="E193" s="184">
        <f t="shared" ref="E193:K194" si="321">+E85</f>
        <v>1068000</v>
      </c>
      <c r="F193" s="184">
        <f t="shared" si="321"/>
        <v>-1257000</v>
      </c>
      <c r="G193" s="184">
        <f>+IF($D$1="Triwulan I",G194,G85)</f>
        <v>-67200</v>
      </c>
      <c r="H193" s="184">
        <f>+IF($D$1="Triwulan I",H194,H85)</f>
        <v>33600</v>
      </c>
      <c r="I193" s="184">
        <f>+IF($D$1="Triwulan I",I194,I85)</f>
        <v>44600</v>
      </c>
      <c r="J193" s="184">
        <f>+IF($D$1="Triwulan I",J194,J85)</f>
        <v>47200</v>
      </c>
      <c r="K193" s="184">
        <f>+IF($D$1="Triwulan I",K194,K85)</f>
        <v>2360</v>
      </c>
      <c r="L193" s="184">
        <f>SUM(E193:K193)</f>
        <v>-128440</v>
      </c>
      <c r="M193" s="184">
        <f>+IF($D$1="Triwulan I",M194,M85)</f>
        <v>-15385</v>
      </c>
      <c r="N193" s="184">
        <f t="shared" ref="N193:Q194" si="322">+N85</f>
        <v>-2875</v>
      </c>
      <c r="O193" s="184">
        <f t="shared" si="322"/>
        <v>-140</v>
      </c>
      <c r="P193" s="184">
        <f t="shared" si="322"/>
        <v>225</v>
      </c>
      <c r="Q193" s="184">
        <f t="shared" si="322"/>
        <v>0</v>
      </c>
      <c r="R193" s="184">
        <f t="shared" ref="R193:R194" si="323">+SUM(M193:Q193)</f>
        <v>-18175</v>
      </c>
      <c r="S193" s="184">
        <f t="shared" ref="S193:S194" si="324">+R193+L193</f>
        <v>-146615</v>
      </c>
    </row>
    <row r="194" spans="2:20" ht="15" hidden="1" x14ac:dyDescent="0.25">
      <c r="B194" s="86"/>
      <c r="C194" s="87"/>
      <c r="D194" s="87" t="s">
        <v>182</v>
      </c>
      <c r="E194" s="184">
        <f t="shared" si="321"/>
        <v>1600000</v>
      </c>
      <c r="F194" s="184">
        <f t="shared" si="321"/>
        <v>-950000</v>
      </c>
      <c r="G194" s="184">
        <f t="shared" si="321"/>
        <v>180000</v>
      </c>
      <c r="H194" s="184">
        <f t="shared" si="321"/>
        <v>180000</v>
      </c>
      <c r="I194" s="184">
        <f t="shared" si="321"/>
        <v>130000</v>
      </c>
      <c r="J194" s="184">
        <f t="shared" si="321"/>
        <v>79000</v>
      </c>
      <c r="K194" s="184">
        <f t="shared" si="321"/>
        <v>3000</v>
      </c>
      <c r="L194" s="184">
        <f>SUM(E194:K194)</f>
        <v>1222000</v>
      </c>
      <c r="M194" s="184">
        <f t="shared" ref="M194" si="325">+M86</f>
        <v>-5250</v>
      </c>
      <c r="N194" s="184">
        <f t="shared" si="322"/>
        <v>0</v>
      </c>
      <c r="O194" s="184">
        <f t="shared" si="322"/>
        <v>0</v>
      </c>
      <c r="P194" s="184">
        <f t="shared" si="322"/>
        <v>280</v>
      </c>
      <c r="Q194" s="184">
        <f t="shared" si="322"/>
        <v>0</v>
      </c>
      <c r="R194" s="184">
        <f t="shared" si="323"/>
        <v>-4970</v>
      </c>
      <c r="S194" s="184">
        <f t="shared" si="324"/>
        <v>1217030</v>
      </c>
    </row>
    <row r="195" spans="2:20" ht="15" hidden="1" x14ac:dyDescent="0.25">
      <c r="B195" s="86"/>
      <c r="C195" s="87"/>
      <c r="D195" s="92" t="s">
        <v>184</v>
      </c>
      <c r="E195" s="184">
        <f t="shared" ref="E195:K195" si="326">+E193-E194</f>
        <v>-532000</v>
      </c>
      <c r="F195" s="184">
        <f t="shared" si="326"/>
        <v>-307000</v>
      </c>
      <c r="G195" s="184">
        <f t="shared" si="326"/>
        <v>-247200</v>
      </c>
      <c r="H195" s="184">
        <f t="shared" si="326"/>
        <v>-146400</v>
      </c>
      <c r="I195" s="184">
        <f t="shared" si="326"/>
        <v>-85400</v>
      </c>
      <c r="J195" s="184">
        <f t="shared" si="326"/>
        <v>-31800</v>
      </c>
      <c r="K195" s="184">
        <f t="shared" si="326"/>
        <v>-640</v>
      </c>
      <c r="L195" s="184">
        <f>+SUM(E195:K195)</f>
        <v>-1350440</v>
      </c>
      <c r="M195" s="184">
        <f t="shared" ref="M195" si="327">+M193-M194</f>
        <v>-10135</v>
      </c>
      <c r="N195" s="184">
        <f>+N193-N194</f>
        <v>-2875</v>
      </c>
      <c r="O195" s="184">
        <f>+O193-O194</f>
        <v>-140</v>
      </c>
      <c r="P195" s="184">
        <f>+P193-P194</f>
        <v>-55</v>
      </c>
      <c r="Q195" s="184">
        <f>+Q193-Q194</f>
        <v>0</v>
      </c>
      <c r="R195" s="184">
        <f>+SUM(M195:Q195)</f>
        <v>-13205</v>
      </c>
      <c r="S195" s="184">
        <f>+R195+L195</f>
        <v>-1363645</v>
      </c>
    </row>
    <row r="196" spans="2:20" ht="15" hidden="1" x14ac:dyDescent="0.25">
      <c r="B196" s="112"/>
      <c r="C196" s="108"/>
      <c r="D196" s="108" t="s">
        <v>186</v>
      </c>
      <c r="E196" s="185">
        <f t="shared" ref="E196:S196" si="328">IF(E193=0,"-",E194/E193)</f>
        <v>1.4981273408239701</v>
      </c>
      <c r="F196" s="185">
        <f t="shared" si="328"/>
        <v>0.75576770087509948</v>
      </c>
      <c r="G196" s="185">
        <f t="shared" si="328"/>
        <v>-2.6785714285714284</v>
      </c>
      <c r="H196" s="185">
        <f t="shared" si="328"/>
        <v>5.3571428571428568</v>
      </c>
      <c r="I196" s="185">
        <f t="shared" si="328"/>
        <v>2.9147982062780269</v>
      </c>
      <c r="J196" s="185">
        <f t="shared" si="328"/>
        <v>1.673728813559322</v>
      </c>
      <c r="K196" s="185">
        <f t="shared" si="328"/>
        <v>1.271186440677966</v>
      </c>
      <c r="L196" s="185">
        <f t="shared" si="328"/>
        <v>-9.5141700404858298</v>
      </c>
      <c r="M196" s="185">
        <f t="shared" si="328"/>
        <v>0.3412414689632759</v>
      </c>
      <c r="N196" s="185">
        <f t="shared" si="328"/>
        <v>0</v>
      </c>
      <c r="O196" s="185">
        <f t="shared" si="328"/>
        <v>0</v>
      </c>
      <c r="P196" s="185">
        <f t="shared" si="328"/>
        <v>1.2444444444444445</v>
      </c>
      <c r="Q196" s="185" t="str">
        <f t="shared" si="328"/>
        <v>-</v>
      </c>
      <c r="R196" s="185">
        <f t="shared" si="328"/>
        <v>0.27345254470426411</v>
      </c>
      <c r="S196" s="186">
        <f t="shared" si="328"/>
        <v>-8.3008559833577742</v>
      </c>
    </row>
    <row r="197" spans="2:20" ht="14.25" hidden="1" x14ac:dyDescent="0.2">
      <c r="B197" s="103"/>
      <c r="C197" s="116"/>
      <c r="D197" s="187">
        <v>0.3</v>
      </c>
      <c r="E197" s="188">
        <f>+E196*30%</f>
        <v>0.44943820224719105</v>
      </c>
      <c r="F197" s="189">
        <f t="shared" ref="F197:K197" si="329">+F196*30%</f>
        <v>0.22673031026252982</v>
      </c>
      <c r="G197" s="189">
        <f t="shared" si="329"/>
        <v>-0.80357142857142849</v>
      </c>
      <c r="H197" s="189">
        <f t="shared" si="329"/>
        <v>1.607142857142857</v>
      </c>
      <c r="I197" s="189">
        <f t="shared" si="329"/>
        <v>0.87443946188340804</v>
      </c>
      <c r="J197" s="189">
        <f t="shared" si="329"/>
        <v>0.5021186440677966</v>
      </c>
      <c r="K197" s="189">
        <f t="shared" si="329"/>
        <v>0.38135593220338981</v>
      </c>
      <c r="L197" s="190"/>
      <c r="M197" s="189">
        <f t="shared" ref="M197:P197" si="330">+M196*30%</f>
        <v>0.10237244068898277</v>
      </c>
      <c r="N197" s="189">
        <f t="shared" si="330"/>
        <v>0</v>
      </c>
      <c r="O197" s="189">
        <f t="shared" si="330"/>
        <v>0</v>
      </c>
      <c r="P197" s="189">
        <f t="shared" si="330"/>
        <v>0.37333333333333335</v>
      </c>
      <c r="Q197" s="191">
        <v>0</v>
      </c>
    </row>
    <row r="198" spans="2:20" ht="15" hidden="1" x14ac:dyDescent="0.25">
      <c r="B198" s="81">
        <v>17</v>
      </c>
      <c r="C198" s="83" t="s">
        <v>217</v>
      </c>
      <c r="D198" s="83" t="s">
        <v>180</v>
      </c>
      <c r="E198" s="184">
        <f>+IF($D$1="Triwulan I",E199,E90)</f>
        <v>200000</v>
      </c>
      <c r="F198" s="184">
        <f>+IF($D$1="Triwulan I",F199,F90)</f>
        <v>-554000</v>
      </c>
      <c r="G198" s="184">
        <f t="shared" ref="G198:K199" si="331">+G90</f>
        <v>-4800</v>
      </c>
      <c r="H198" s="184">
        <f t="shared" si="331"/>
        <v>36600</v>
      </c>
      <c r="I198" s="184">
        <f t="shared" si="331"/>
        <v>25100</v>
      </c>
      <c r="J198" s="184">
        <f>+IF($D$1="Triwulan I",J199,J90)</f>
        <v>10040</v>
      </c>
      <c r="K198" s="184">
        <f>+IF($D$1="Triwulan I",K199,K90)</f>
        <v>2000</v>
      </c>
      <c r="L198" s="184">
        <f>SUM(E198:K198)</f>
        <v>-285060</v>
      </c>
      <c r="M198" s="184">
        <f t="shared" ref="M198:Q199" si="332">+M90</f>
        <v>-80</v>
      </c>
      <c r="N198" s="184">
        <f t="shared" si="332"/>
        <v>502.5</v>
      </c>
      <c r="O198" s="184">
        <f t="shared" si="332"/>
        <v>-120</v>
      </c>
      <c r="P198" s="184">
        <f t="shared" si="332"/>
        <v>-21</v>
      </c>
      <c r="Q198" s="184">
        <f t="shared" si="332"/>
        <v>0</v>
      </c>
      <c r="R198" s="184">
        <f t="shared" ref="R198:R199" si="333">+SUM(M198:Q198)</f>
        <v>281.5</v>
      </c>
      <c r="S198" s="184">
        <f t="shared" ref="S198:S199" si="334">+R198+L198</f>
        <v>-284778.5</v>
      </c>
    </row>
    <row r="199" spans="2:20" ht="15" hidden="1" x14ac:dyDescent="0.25">
      <c r="B199" s="86"/>
      <c r="C199" s="87"/>
      <c r="D199" s="87" t="s">
        <v>182</v>
      </c>
      <c r="E199" s="184">
        <f t="shared" ref="E199:F199" si="335">+E91</f>
        <v>270000</v>
      </c>
      <c r="F199" s="184">
        <f t="shared" si="335"/>
        <v>-159000</v>
      </c>
      <c r="G199" s="184">
        <f t="shared" si="331"/>
        <v>100000</v>
      </c>
      <c r="H199" s="184">
        <f t="shared" si="331"/>
        <v>80000</v>
      </c>
      <c r="I199" s="184">
        <f t="shared" si="331"/>
        <v>105000</v>
      </c>
      <c r="J199" s="184">
        <f t="shared" si="331"/>
        <v>56000</v>
      </c>
      <c r="K199" s="184">
        <f t="shared" si="331"/>
        <v>4000</v>
      </c>
      <c r="L199" s="184">
        <f>SUM(E199:K199)</f>
        <v>456000</v>
      </c>
      <c r="M199" s="184">
        <f t="shared" si="332"/>
        <v>1300</v>
      </c>
      <c r="N199" s="184">
        <f t="shared" si="332"/>
        <v>800</v>
      </c>
      <c r="O199" s="184">
        <f t="shared" si="332"/>
        <v>220</v>
      </c>
      <c r="P199" s="184">
        <f t="shared" si="332"/>
        <v>60</v>
      </c>
      <c r="Q199" s="184">
        <f t="shared" si="332"/>
        <v>0</v>
      </c>
      <c r="R199" s="184">
        <f t="shared" si="333"/>
        <v>2380</v>
      </c>
      <c r="S199" s="184">
        <f t="shared" si="334"/>
        <v>458380</v>
      </c>
    </row>
    <row r="200" spans="2:20" ht="15" hidden="1" x14ac:dyDescent="0.25">
      <c r="B200" s="86"/>
      <c r="C200" s="87"/>
      <c r="D200" s="92" t="s">
        <v>184</v>
      </c>
      <c r="E200" s="184">
        <f t="shared" ref="E200:K200" si="336">+E198-E199</f>
        <v>-70000</v>
      </c>
      <c r="F200" s="184">
        <f t="shared" si="336"/>
        <v>-395000</v>
      </c>
      <c r="G200" s="184">
        <f t="shared" si="336"/>
        <v>-104800</v>
      </c>
      <c r="H200" s="184">
        <f t="shared" si="336"/>
        <v>-43400</v>
      </c>
      <c r="I200" s="184">
        <f t="shared" si="336"/>
        <v>-79900</v>
      </c>
      <c r="J200" s="184">
        <f t="shared" si="336"/>
        <v>-45960</v>
      </c>
      <c r="K200" s="184">
        <f t="shared" si="336"/>
        <v>-2000</v>
      </c>
      <c r="L200" s="184">
        <f>+SUM(E200:K200)</f>
        <v>-741060</v>
      </c>
      <c r="M200" s="184">
        <f>+M198-M199</f>
        <v>-1380</v>
      </c>
      <c r="N200" s="184">
        <f>+N198-N199</f>
        <v>-297.5</v>
      </c>
      <c r="O200" s="184">
        <f>+O198-O199</f>
        <v>-340</v>
      </c>
      <c r="P200" s="184">
        <f>+P198-P199</f>
        <v>-81</v>
      </c>
      <c r="Q200" s="184">
        <f>+Q198-Q199</f>
        <v>0</v>
      </c>
      <c r="R200" s="184">
        <f>+SUM(M200:Q200)</f>
        <v>-2098.5</v>
      </c>
      <c r="S200" s="184">
        <f>+R200+L200</f>
        <v>-743158.5</v>
      </c>
    </row>
    <row r="201" spans="2:20" ht="15" hidden="1" x14ac:dyDescent="0.25">
      <c r="B201" s="112"/>
      <c r="C201" s="108"/>
      <c r="D201" s="87" t="s">
        <v>186</v>
      </c>
      <c r="E201" s="185">
        <f t="shared" ref="E201:S201" si="337">IF(E198=0,"-",E199/E198)</f>
        <v>1.35</v>
      </c>
      <c r="F201" s="185">
        <f t="shared" si="337"/>
        <v>0.28700361010830328</v>
      </c>
      <c r="G201" s="185">
        <f t="shared" si="337"/>
        <v>-20.833333333333332</v>
      </c>
      <c r="H201" s="185">
        <f t="shared" si="337"/>
        <v>2.1857923497267762</v>
      </c>
      <c r="I201" s="185">
        <f t="shared" si="337"/>
        <v>4.1832669322709162</v>
      </c>
      <c r="J201" s="185">
        <f t="shared" si="337"/>
        <v>5.5776892430278888</v>
      </c>
      <c r="K201" s="185">
        <f t="shared" si="337"/>
        <v>2</v>
      </c>
      <c r="L201" s="185">
        <f t="shared" si="337"/>
        <v>-1.5996632287939381</v>
      </c>
      <c r="M201" s="185">
        <f t="shared" si="337"/>
        <v>-16.25</v>
      </c>
      <c r="N201" s="185">
        <f t="shared" si="337"/>
        <v>1.592039800995025</v>
      </c>
      <c r="O201" s="185">
        <f t="shared" si="337"/>
        <v>-1.8333333333333333</v>
      </c>
      <c r="P201" s="185">
        <f t="shared" si="337"/>
        <v>-2.8571428571428572</v>
      </c>
      <c r="Q201" s="185" t="str">
        <f t="shared" si="337"/>
        <v>-</v>
      </c>
      <c r="R201" s="185">
        <f t="shared" si="337"/>
        <v>8.4547069271758435</v>
      </c>
      <c r="S201" s="186">
        <f t="shared" si="337"/>
        <v>-1.6096018484541494</v>
      </c>
    </row>
    <row r="202" spans="2:20" ht="15" hidden="1" x14ac:dyDescent="0.25">
      <c r="B202" s="192"/>
      <c r="C202" s="193"/>
      <c r="D202" s="187">
        <v>0.3</v>
      </c>
      <c r="E202" s="188">
        <f>+E201*30%</f>
        <v>0.40500000000000003</v>
      </c>
      <c r="F202" s="189">
        <f t="shared" ref="F202:K202" si="338">+F201*30%</f>
        <v>8.6101083032490977E-2</v>
      </c>
      <c r="G202" s="189">
        <f t="shared" si="338"/>
        <v>-6.2499999999999991</v>
      </c>
      <c r="H202" s="189">
        <f t="shared" si="338"/>
        <v>0.65573770491803285</v>
      </c>
      <c r="I202" s="189">
        <f t="shared" si="338"/>
        <v>1.2549800796812749</v>
      </c>
      <c r="J202" s="189">
        <f t="shared" si="338"/>
        <v>1.6733067729083666</v>
      </c>
      <c r="K202" s="189">
        <f t="shared" si="338"/>
        <v>0.6</v>
      </c>
      <c r="L202" s="190"/>
      <c r="M202" s="189">
        <f t="shared" ref="M202:P202" si="339">+M201*30%</f>
        <v>-4.875</v>
      </c>
      <c r="N202" s="189">
        <f t="shared" si="339"/>
        <v>0.47761194029850745</v>
      </c>
      <c r="O202" s="189">
        <f t="shared" si="339"/>
        <v>-0.54999999999999993</v>
      </c>
      <c r="P202" s="189">
        <f t="shared" si="339"/>
        <v>-0.8571428571428571</v>
      </c>
      <c r="Q202" s="191">
        <v>0</v>
      </c>
      <c r="R202" s="154"/>
      <c r="S202" s="154"/>
    </row>
    <row r="203" spans="2:20" ht="15" hidden="1" x14ac:dyDescent="0.25">
      <c r="D203" s="83" t="s">
        <v>180</v>
      </c>
      <c r="E203" s="194">
        <f>+E118+E123+E128+E133+E138+E143+E148+E153+E158+E163+E168+E173+E178+E183+E188+E193+E198</f>
        <v>152463966.30000001</v>
      </c>
      <c r="F203" s="195">
        <f>+F118+F123+F128+F133+F138+F143+F148+F153+F158+F163+F168+F173+F178+F183+F188+F193+F198</f>
        <v>49186497</v>
      </c>
      <c r="G203" s="195">
        <f t="shared" ref="G203:K204" si="340">+G118+G123+G128+G133+G138+G143+G148+G153+G158+G163+G168+G173+G178+G183+G188+G193+G198</f>
        <v>2858385</v>
      </c>
      <c r="H203" s="195">
        <f t="shared" si="340"/>
        <v>5568250.0300000003</v>
      </c>
      <c r="I203" s="195">
        <f t="shared" si="340"/>
        <v>5475449.5150000006</v>
      </c>
      <c r="J203" s="195">
        <f t="shared" si="340"/>
        <v>2836857.6059999997</v>
      </c>
      <c r="K203" s="195">
        <f t="shared" si="340"/>
        <v>157695.30300000001</v>
      </c>
      <c r="L203" s="196">
        <f>SUM(E203:K203)</f>
        <v>218547100.75400004</v>
      </c>
      <c r="M203" s="195">
        <f t="shared" ref="M203:Q204" si="341">+M118+M123+M128+M133+M138+M143+M148+M153+M158+M163+M168+M173+M178+M183+M188+M193+M198</f>
        <v>206683.13199999998</v>
      </c>
      <c r="N203" s="195">
        <f t="shared" si="341"/>
        <v>218802.5</v>
      </c>
      <c r="O203" s="195">
        <f t="shared" si="341"/>
        <v>54954</v>
      </c>
      <c r="P203" s="195">
        <f t="shared" si="341"/>
        <v>34139</v>
      </c>
      <c r="Q203" s="195">
        <f t="shared" si="341"/>
        <v>653</v>
      </c>
      <c r="R203" s="196">
        <f t="shared" ref="R203:R204" si="342">+SUM(M203:Q203)</f>
        <v>515231.63199999998</v>
      </c>
      <c r="S203" s="197">
        <f t="shared" ref="S203:S204" si="343">+R203+L203</f>
        <v>219062332.38600004</v>
      </c>
    </row>
    <row r="204" spans="2:20" ht="15" hidden="1" x14ac:dyDescent="0.25">
      <c r="D204" s="87" t="s">
        <v>182</v>
      </c>
      <c r="E204" s="198">
        <f>+E119+E124+E129+E134+E139+E144+E149+E154+E159+E164+E169+E174+E179+E184+E189+E194+E199</f>
        <v>147795966.30000001</v>
      </c>
      <c r="F204" s="199">
        <f>+F119+F124+F129+F134+F139+F144+F149+F154+F159+F164+F169+F174+F179+F184+F189+F194+F199</f>
        <v>58630497</v>
      </c>
      <c r="G204" s="199">
        <f t="shared" si="340"/>
        <v>12593185</v>
      </c>
      <c r="H204" s="199">
        <f t="shared" si="340"/>
        <v>9162050.0300000012</v>
      </c>
      <c r="I204" s="199">
        <f t="shared" si="340"/>
        <v>8470749.5150000006</v>
      </c>
      <c r="J204" s="199">
        <f t="shared" si="340"/>
        <v>3798657.6060000001</v>
      </c>
      <c r="K204" s="199">
        <f t="shared" si="340"/>
        <v>156195.30300000001</v>
      </c>
      <c r="L204" s="200">
        <f>SUM(E204:K204)</f>
        <v>240607300.75400004</v>
      </c>
      <c r="M204" s="199">
        <f t="shared" si="341"/>
        <v>366538.13199999998</v>
      </c>
      <c r="N204" s="199">
        <f t="shared" si="341"/>
        <v>254955</v>
      </c>
      <c r="O204" s="199">
        <f t="shared" si="341"/>
        <v>63774</v>
      </c>
      <c r="P204" s="199">
        <f t="shared" si="341"/>
        <v>33344</v>
      </c>
      <c r="Q204" s="199">
        <f t="shared" si="341"/>
        <v>1010</v>
      </c>
      <c r="R204" s="200">
        <f t="shared" si="342"/>
        <v>719621.13199999998</v>
      </c>
      <c r="S204" s="201">
        <f t="shared" si="343"/>
        <v>241326921.88600004</v>
      </c>
    </row>
    <row r="205" spans="2:20" ht="15" hidden="1" x14ac:dyDescent="0.25">
      <c r="D205" s="87" t="s">
        <v>184</v>
      </c>
      <c r="E205" s="202">
        <f t="shared" ref="E205:K205" si="344">+E203-E204</f>
        <v>4668000</v>
      </c>
      <c r="F205" s="200">
        <f t="shared" si="344"/>
        <v>-9444000</v>
      </c>
      <c r="G205" s="200">
        <f t="shared" si="344"/>
        <v>-9734800</v>
      </c>
      <c r="H205" s="200">
        <f t="shared" si="344"/>
        <v>-3593800.0000000009</v>
      </c>
      <c r="I205" s="200">
        <f t="shared" si="344"/>
        <v>-2995300</v>
      </c>
      <c r="J205" s="200">
        <f t="shared" si="344"/>
        <v>-961800.00000000047</v>
      </c>
      <c r="K205" s="200">
        <f t="shared" si="344"/>
        <v>1500</v>
      </c>
      <c r="L205" s="200">
        <f>+SUM(E205:K205)</f>
        <v>-22060200</v>
      </c>
      <c r="M205" s="200">
        <f t="shared" ref="M205:Q205" si="345">+M203-M204</f>
        <v>-159855</v>
      </c>
      <c r="N205" s="200">
        <f t="shared" si="345"/>
        <v>-36152.5</v>
      </c>
      <c r="O205" s="200">
        <f t="shared" si="345"/>
        <v>-8820</v>
      </c>
      <c r="P205" s="200">
        <f t="shared" si="345"/>
        <v>795</v>
      </c>
      <c r="Q205" s="200">
        <f t="shared" si="345"/>
        <v>-357</v>
      </c>
      <c r="R205" s="200">
        <f>+SUM(M205:Q205)</f>
        <v>-204389.5</v>
      </c>
      <c r="S205" s="201">
        <f>+R205+L205</f>
        <v>-22264589.5</v>
      </c>
    </row>
    <row r="206" spans="2:20" ht="15" hidden="1" x14ac:dyDescent="0.25">
      <c r="D206" s="108" t="s">
        <v>186</v>
      </c>
      <c r="E206" s="203">
        <f t="shared" ref="E206:S206" si="346">IF(E203=0,"-",E204/E203)</f>
        <v>0.96938292953224847</v>
      </c>
      <c r="F206" s="204">
        <f t="shared" si="346"/>
        <v>1.1920039152208786</v>
      </c>
      <c r="G206" s="204">
        <f t="shared" si="346"/>
        <v>4.4056993721979367</v>
      </c>
      <c r="H206" s="204">
        <f t="shared" si="346"/>
        <v>1.6454092364095942</v>
      </c>
      <c r="I206" s="204">
        <f t="shared" si="346"/>
        <v>1.5470418441069307</v>
      </c>
      <c r="J206" s="204">
        <f t="shared" si="346"/>
        <v>1.3390371085125239</v>
      </c>
      <c r="K206" s="204">
        <f t="shared" si="346"/>
        <v>0.99048798555528317</v>
      </c>
      <c r="L206" s="204">
        <f t="shared" si="346"/>
        <v>1.1009402546356875</v>
      </c>
      <c r="M206" s="204">
        <f t="shared" si="346"/>
        <v>1.7734303155421509</v>
      </c>
      <c r="N206" s="204">
        <f t="shared" si="346"/>
        <v>1.1652289164886143</v>
      </c>
      <c r="O206" s="204">
        <f t="shared" si="346"/>
        <v>1.1604978709466098</v>
      </c>
      <c r="P206" s="204">
        <f t="shared" si="346"/>
        <v>0.97671285040569433</v>
      </c>
      <c r="Q206" s="204">
        <f t="shared" si="346"/>
        <v>1.5467075038284839</v>
      </c>
      <c r="R206" s="204">
        <f t="shared" si="346"/>
        <v>1.3966943939497876</v>
      </c>
      <c r="S206" s="205">
        <f t="shared" si="346"/>
        <v>1.1016358643564907</v>
      </c>
      <c r="T206" s="171">
        <f>+S206*70%</f>
        <v>0.77114510504954348</v>
      </c>
    </row>
    <row r="207" spans="2:20" hidden="1" x14ac:dyDescent="0.2">
      <c r="D207" s="173">
        <v>0.3</v>
      </c>
      <c r="E207" s="171">
        <f>+E206*30%</f>
        <v>0.29081487885967455</v>
      </c>
      <c r="F207" s="171">
        <f t="shared" ref="F207:Q207" si="347">+F206*30%</f>
        <v>0.35760117456626356</v>
      </c>
      <c r="G207" s="171">
        <f t="shared" si="347"/>
        <v>1.3217098116593811</v>
      </c>
      <c r="H207" s="171">
        <f t="shared" si="347"/>
        <v>0.49362277092287826</v>
      </c>
      <c r="I207" s="171">
        <f t="shared" si="347"/>
        <v>0.46411255323207917</v>
      </c>
      <c r="J207" s="171">
        <f t="shared" si="347"/>
        <v>0.40171113255375718</v>
      </c>
      <c r="K207" s="171">
        <f t="shared" si="347"/>
        <v>0.29714639566658496</v>
      </c>
      <c r="M207" s="171">
        <f t="shared" si="347"/>
        <v>0.53202909466264525</v>
      </c>
      <c r="N207" s="171">
        <f t="shared" si="347"/>
        <v>0.34956867494658428</v>
      </c>
      <c r="O207" s="171">
        <f t="shared" si="347"/>
        <v>0.34814936128398294</v>
      </c>
      <c r="P207" s="171">
        <f t="shared" si="347"/>
        <v>0.2930138551217083</v>
      </c>
      <c r="Q207" s="171">
        <f t="shared" si="347"/>
        <v>0.46401225114854516</v>
      </c>
      <c r="S207" s="173">
        <f>+AVERAGE(E207:Q207)</f>
        <v>0.46779099621867365</v>
      </c>
      <c r="T207" s="173">
        <f>+S207+T206</f>
        <v>1.2389361012682172</v>
      </c>
    </row>
    <row r="208" spans="2:20" hidden="1" x14ac:dyDescent="0.2">
      <c r="D208" s="206" t="s">
        <v>235</v>
      </c>
      <c r="E208" s="173">
        <f>+AVERAGE(E122+E127+E132+E137+E142+E147+E152+E157+E162+E167+E172+E177+E182+E187+E192+E197+E202)</f>
        <v>5.4318089946143946</v>
      </c>
      <c r="F208" s="173">
        <f t="shared" ref="F208:Q208" si="348">+AVERAGE(F122+F127+F132+F137+F142+F147+F152+F157+F162+F167+F172+F177+F182+F187+F192+F197+F202)</f>
        <v>5.52727724200449</v>
      </c>
      <c r="G208" s="173">
        <f t="shared" si="348"/>
        <v>-1.3225234251270814</v>
      </c>
      <c r="H208" s="173">
        <f t="shared" si="348"/>
        <v>-127.58993950935806</v>
      </c>
      <c r="I208" s="173">
        <f t="shared" si="348"/>
        <v>22.968059568852706</v>
      </c>
      <c r="J208" s="173">
        <f t="shared" si="348"/>
        <v>10.664924432994617</v>
      </c>
      <c r="K208" s="173">
        <f t="shared" si="348"/>
        <v>5.1259758148374734</v>
      </c>
      <c r="M208" s="173">
        <f t="shared" si="348"/>
        <v>-0.87917859847567037</v>
      </c>
      <c r="N208" s="173">
        <f t="shared" si="348"/>
        <v>6.4112629596762751</v>
      </c>
      <c r="O208" s="173">
        <f t="shared" si="348"/>
        <v>5.8356191553048431</v>
      </c>
      <c r="P208" s="173">
        <f t="shared" si="348"/>
        <v>3.816696755874879</v>
      </c>
      <c r="Q208" s="173">
        <f t="shared" si="348"/>
        <v>0</v>
      </c>
      <c r="S208" s="173">
        <f t="shared" ref="S208:S209" si="349">+AVERAGE(E208:Q208)</f>
        <v>-5.3341680507334281</v>
      </c>
      <c r="T208" s="173">
        <f>+S208+T206</f>
        <v>-4.5630229456838851</v>
      </c>
    </row>
    <row r="209" spans="4:20" hidden="1" x14ac:dyDescent="0.2">
      <c r="D209" s="173">
        <v>0.3</v>
      </c>
      <c r="E209" s="171">
        <f>+E208*30%</f>
        <v>1.6295426983843184</v>
      </c>
      <c r="F209" s="171">
        <f t="shared" ref="F209:Q209" si="350">+F208*30%</f>
        <v>1.658183172601347</v>
      </c>
      <c r="G209" s="171">
        <f t="shared" si="350"/>
        <v>-0.39675702753812442</v>
      </c>
      <c r="H209" s="171">
        <f t="shared" si="350"/>
        <v>-38.276981852807417</v>
      </c>
      <c r="I209" s="171">
        <f t="shared" si="350"/>
        <v>6.8904178706558117</v>
      </c>
      <c r="J209" s="171">
        <f t="shared" si="350"/>
        <v>3.199477329898385</v>
      </c>
      <c r="K209" s="171">
        <f t="shared" si="350"/>
        <v>1.537792744451242</v>
      </c>
      <c r="M209" s="171">
        <f t="shared" si="350"/>
        <v>-0.26375357954270112</v>
      </c>
      <c r="N209" s="171">
        <f t="shared" si="350"/>
        <v>1.9233788879028824</v>
      </c>
      <c r="O209" s="171">
        <f t="shared" si="350"/>
        <v>1.7506857465914529</v>
      </c>
      <c r="P209" s="171">
        <f t="shared" si="350"/>
        <v>1.1450090267624637</v>
      </c>
      <c r="Q209" s="171">
        <f t="shared" si="350"/>
        <v>0</v>
      </c>
      <c r="S209" s="173">
        <f t="shared" si="349"/>
        <v>-1.6002504152200288</v>
      </c>
      <c r="T209" s="173">
        <f>+S209+T206</f>
        <v>-0.82910531017048528</v>
      </c>
    </row>
    <row r="210" spans="4:20" hidden="1" x14ac:dyDescent="0.2"/>
  </sheetData>
  <mergeCells count="24">
    <mergeCell ref="B4:S4"/>
    <mergeCell ref="U4:AL4"/>
    <mergeCell ref="B5:S5"/>
    <mergeCell ref="U5:AL5"/>
    <mergeCell ref="B7:B8"/>
    <mergeCell ref="C7:C8"/>
    <mergeCell ref="D7:D8"/>
    <mergeCell ref="E7:K7"/>
    <mergeCell ref="L7:L8"/>
    <mergeCell ref="M7:Q7"/>
    <mergeCell ref="AL7:AL8"/>
    <mergeCell ref="W7:W8"/>
    <mergeCell ref="X7:AD7"/>
    <mergeCell ref="B105:C108"/>
    <mergeCell ref="B110:C113"/>
    <mergeCell ref="AE7:AE8"/>
    <mergeCell ref="AF7:AJ7"/>
    <mergeCell ref="AK7:AK8"/>
    <mergeCell ref="B95:C95"/>
    <mergeCell ref="U95:V95"/>
    <mergeCell ref="R7:R8"/>
    <mergeCell ref="S7:S8"/>
    <mergeCell ref="U7:U8"/>
    <mergeCell ref="V7:V8"/>
  </mergeCells>
  <conditionalFormatting sqref="E10:S12 E15:S17 E20:S22 E25:S27 E30:S32 E35:S37 E40:S42 E50:S52 E55:S57 E60:S62 E65:S67 E70:S72 E75:S77 E80:S82 E85:S87 X10:AL12 X15:AL17 X20:AL22 X25:AL27 X30:AL32 X35:AL37 X40:AL42 X45:AL47 X50:AL52 X55:AL57 X60:AL62 X65:AL67 X70:AL72 X75:AL77 X80:AL82 X85:AL87 E45:S47">
    <cfRule type="cellIs" dxfId="31" priority="32" operator="lessThan">
      <formula>0</formula>
    </cfRule>
  </conditionalFormatting>
  <conditionalFormatting sqref="S97">
    <cfRule type="cellIs" dxfId="30" priority="31" operator="lessThan">
      <formula>0</formula>
    </cfRule>
  </conditionalFormatting>
  <conditionalFormatting sqref="T16">
    <cfRule type="cellIs" dxfId="29" priority="30" operator="lessThan">
      <formula>0</formula>
    </cfRule>
  </conditionalFormatting>
  <conditionalFormatting sqref="T71">
    <cfRule type="cellIs" dxfId="28" priority="29" operator="lessThan">
      <formula>0</formula>
    </cfRule>
  </conditionalFormatting>
  <conditionalFormatting sqref="T11">
    <cfRule type="cellIs" dxfId="27" priority="28" operator="lessThan">
      <formula>0</formula>
    </cfRule>
  </conditionalFormatting>
  <conditionalFormatting sqref="T12">
    <cfRule type="cellIs" dxfId="26" priority="27" operator="lessThan">
      <formula>0</formula>
    </cfRule>
  </conditionalFormatting>
  <conditionalFormatting sqref="T17">
    <cfRule type="cellIs" dxfId="25" priority="26" operator="lessThan">
      <formula>0</formula>
    </cfRule>
  </conditionalFormatting>
  <conditionalFormatting sqref="T22">
    <cfRule type="cellIs" dxfId="24" priority="25" operator="lessThan">
      <formula>0</formula>
    </cfRule>
  </conditionalFormatting>
  <conditionalFormatting sqref="T27">
    <cfRule type="cellIs" dxfId="23" priority="24" operator="lessThan">
      <formula>0</formula>
    </cfRule>
  </conditionalFormatting>
  <conditionalFormatting sqref="T47">
    <cfRule type="cellIs" dxfId="22" priority="23" operator="lessThan">
      <formula>0</formula>
    </cfRule>
  </conditionalFormatting>
  <conditionalFormatting sqref="T52">
    <cfRule type="cellIs" dxfId="21" priority="22" operator="lessThan">
      <formula>0</formula>
    </cfRule>
  </conditionalFormatting>
  <conditionalFormatting sqref="T57">
    <cfRule type="cellIs" dxfId="20" priority="21" operator="lessThan">
      <formula>0</formula>
    </cfRule>
  </conditionalFormatting>
  <conditionalFormatting sqref="T62">
    <cfRule type="cellIs" dxfId="19" priority="20" operator="lessThan">
      <formula>0</formula>
    </cfRule>
  </conditionalFormatting>
  <conditionalFormatting sqref="T67">
    <cfRule type="cellIs" dxfId="18" priority="19" operator="lessThan">
      <formula>0</formula>
    </cfRule>
  </conditionalFormatting>
  <conditionalFormatting sqref="T72">
    <cfRule type="cellIs" dxfId="17" priority="18" operator="lessThan">
      <formula>0</formula>
    </cfRule>
  </conditionalFormatting>
  <conditionalFormatting sqref="T77">
    <cfRule type="cellIs" dxfId="16" priority="17" operator="lessThan">
      <formula>0</formula>
    </cfRule>
  </conditionalFormatting>
  <conditionalFormatting sqref="T82">
    <cfRule type="cellIs" dxfId="15" priority="16" operator="lessThan">
      <formula>0</formula>
    </cfRule>
  </conditionalFormatting>
  <conditionalFormatting sqref="T87">
    <cfRule type="cellIs" dxfId="14" priority="15" operator="lessThan">
      <formula>0</formula>
    </cfRule>
  </conditionalFormatting>
  <conditionalFormatting sqref="E13:S13 E18:S18 E23:S23">
    <cfRule type="cellIs" dxfId="13" priority="14" operator="lessThan">
      <formula>1</formula>
    </cfRule>
  </conditionalFormatting>
  <conditionalFormatting sqref="E28:S28 E33:S33 E38:S38">
    <cfRule type="cellIs" dxfId="12" priority="13" operator="lessThan">
      <formula>1</formula>
    </cfRule>
  </conditionalFormatting>
  <conditionalFormatting sqref="E43:S43 E48:S48 E53:S53">
    <cfRule type="cellIs" dxfId="11" priority="12" operator="lessThan">
      <formula>1</formula>
    </cfRule>
  </conditionalFormatting>
  <conditionalFormatting sqref="E58:S58 E63:S63 E68:S68">
    <cfRule type="cellIs" dxfId="10" priority="11" operator="lessThan">
      <formula>1</formula>
    </cfRule>
  </conditionalFormatting>
  <conditionalFormatting sqref="E73:S73 E78:S78 E83:S83">
    <cfRule type="cellIs" dxfId="9" priority="10" operator="lessThan">
      <formula>1</formula>
    </cfRule>
  </conditionalFormatting>
  <conditionalFormatting sqref="E88:S88">
    <cfRule type="cellIs" dxfId="8" priority="9" operator="lessThan">
      <formula>1</formula>
    </cfRule>
  </conditionalFormatting>
  <conditionalFormatting sqref="E98:S98">
    <cfRule type="cellIs" dxfId="7" priority="8" operator="lessThan">
      <formula>1</formula>
    </cfRule>
  </conditionalFormatting>
  <conditionalFormatting sqref="E101:K101 M101:Q101">
    <cfRule type="cellIs" dxfId="6" priority="7" operator="lessThan">
      <formula>0.9</formula>
    </cfRule>
  </conditionalFormatting>
  <conditionalFormatting sqref="E90:S92 X90:AL92">
    <cfRule type="cellIs" dxfId="5" priority="6" operator="lessThan">
      <formula>0</formula>
    </cfRule>
  </conditionalFormatting>
  <conditionalFormatting sqref="T92">
    <cfRule type="cellIs" dxfId="4" priority="5" operator="lessThan">
      <formula>0</formula>
    </cfRule>
  </conditionalFormatting>
  <conditionalFormatting sqref="E93:S93">
    <cfRule type="cellIs" dxfId="3" priority="4" operator="lessThan">
      <formula>1</formula>
    </cfRule>
  </conditionalFormatting>
  <conditionalFormatting sqref="S101">
    <cfRule type="cellIs" dxfId="2" priority="3" operator="lessThan">
      <formula>1</formula>
    </cfRule>
  </conditionalFormatting>
  <conditionalFormatting sqref="R101">
    <cfRule type="cellIs" dxfId="1" priority="2" operator="lessThan">
      <formula>1</formula>
    </cfRule>
  </conditionalFormatting>
  <conditionalFormatting sqref="L101">
    <cfRule type="cellIs" dxfId="0" priority="1" operator="lessThan">
      <formula>1</formula>
    </cfRule>
  </conditionalFormatting>
  <dataValidations count="2">
    <dataValidation type="list" allowBlank="1" showInputMessage="1" showErrorMessage="1" sqref="D2" xr:uid="{00000000-0002-0000-0100-000000000000}">
      <formula1>"Kirim, Retur, Kirim+Retur (Net)"</formula1>
    </dataValidation>
    <dataValidation type="list" allowBlank="1" showInputMessage="1" showErrorMessage="1" sqref="D1" xr:uid="{00000000-0002-0000-0100-000001000000}">
      <formula1>$AN$3:$AN$28</formula1>
    </dataValidation>
  </dataValidations>
  <printOptions horizontalCentered="1"/>
  <pageMargins left="0" right="0.75" top="0.511811023622047" bottom="0.23622047244094499" header="0.21181102399999999" footer="0.2"/>
  <pageSetup paperSize="9" scale="48" fitToHeight="2" orientation="landscape" r:id="rId1"/>
  <headerFooter alignWithMargins="0">
    <oddHeader xml:space="preserve">&amp;R
</oddHeader>
  </headerFooter>
  <rowBreaks count="1" manualBreakCount="1">
    <brk id="7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2018</vt:lpstr>
      <vt:lpstr>Monitoring</vt:lpstr>
      <vt:lpstr>'2018'!Print_Area</vt:lpstr>
      <vt:lpstr>Monitoring!Print_Area</vt:lpstr>
      <vt:lpstr>Monitoring!Print_Titles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 Malikussalam (THI)</dc:creator>
  <cp:lastModifiedBy>Youn_Pc</cp:lastModifiedBy>
  <dcterms:created xsi:type="dcterms:W3CDTF">2019-03-26T06:21:20Z</dcterms:created>
  <dcterms:modified xsi:type="dcterms:W3CDTF">2019-05-03T04:24:37Z</dcterms:modified>
</cp:coreProperties>
</file>